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omments5.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drawings/drawing7.xml" ContentType="application/vnd.openxmlformats-officedocument.drawing+xml"/>
  <Override PartName="/xl/comments6.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comments7.xml" ContentType="application/vnd.openxmlformats-officedocument.spreadsheetml.comments+xml"/>
  <Override PartName="/xl/drawings/drawing11.xml" ContentType="application/vnd.openxmlformats-officedocument.drawing+xml"/>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drawings/drawing12.xml" ContentType="application/vnd.openxmlformats-officedocument.drawing+xml"/>
  <Override PartName="/xl/embeddings/oleObject31.bin" ContentType="application/vnd.openxmlformats-officedocument.oleObject"/>
  <Override PartName="/xl/embeddings/oleObject32.bin" ContentType="application/vnd.openxmlformats-officedocument.oleObject"/>
  <Override PartName="/xl/comments8.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comments9.xml" ContentType="application/vnd.openxmlformats-officedocument.spreadsheetml.comments+xml"/>
  <Override PartName="/xl/drawings/drawing15.xml" ContentType="application/vnd.openxmlformats-officedocument.drawing+xml"/>
  <Override PartName="/xl/embeddings/oleObject33.bin" ContentType="application/vnd.openxmlformats-officedocument.oleObject"/>
  <Override PartName="/xl/drawings/drawing16.xml" ContentType="application/vnd.openxmlformats-officedocument.drawing+xml"/>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comments10.xml" ContentType="application/vnd.openxmlformats-officedocument.spreadsheetml.comments+xml"/>
  <Override PartName="/xl/comments11.xml" ContentType="application/vnd.openxmlformats-officedocument.spreadsheetml.comments+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embeddings/oleObject37.bin" ContentType="application/vnd.openxmlformats-officedocument.oleObject"/>
  <Override PartName="/xl/drawings/drawing20.xml" ContentType="application/vnd.openxmlformats-officedocument.drawing+xml"/>
  <Override PartName="/xl/drawings/drawing2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drawings/drawing22.xml" ContentType="application/vnd.openxmlformats-officedocument.drawing+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harts/chart17.xml" ContentType="application/vnd.openxmlformats-officedocument.drawingml.chart+xml"/>
  <Override PartName="/xl/drawings/drawing23.xml" ContentType="application/vnd.openxmlformats-officedocument.drawing+xml"/>
  <Override PartName="/xl/comments12.xml" ContentType="application/vnd.openxmlformats-officedocument.spreadsheetml.comments+xml"/>
  <Override PartName="/xl/charts/chart18.xml" ContentType="application/vnd.openxmlformats-officedocument.drawingml.chart+xml"/>
  <Override PartName="/xl/drawings/drawing24.xml" ContentType="application/vnd.openxmlformats-officedocument.drawingml.chartshapes+xml"/>
  <Override PartName="/xl/charts/chart19.xml" ContentType="application/vnd.openxmlformats-officedocument.drawingml.chart+xml"/>
  <Override PartName="/xl/drawings/drawing25.xml" ContentType="application/vnd.openxmlformats-officedocument.drawingml.chartshapes+xml"/>
  <Override PartName="/xl/charts/chart20.xml" ContentType="application/vnd.openxmlformats-officedocument.drawingml.chart+xml"/>
  <Override PartName="/xl/drawings/drawing26.xml" ContentType="application/vnd.openxmlformats-officedocument.drawingml.chartshapes+xml"/>
  <Override PartName="/xl/charts/chart21.xml" ContentType="application/vnd.openxmlformats-officedocument.drawingml.chart+xml"/>
  <Override PartName="/xl/drawings/drawing27.xml" ContentType="application/vnd.openxmlformats-officedocument.drawingml.chartshapes+xml"/>
  <Override PartName="/xl/comments13.xml" ContentType="application/vnd.openxmlformats-officedocument.spreadsheetml.comments+xml"/>
  <Override PartName="/xl/drawings/drawing28.xml" ContentType="application/vnd.openxmlformats-officedocument.drawing+xml"/>
  <Override PartName="/xl/comments14.xml" ContentType="application/vnd.openxmlformats-officedocument.spreadsheetml.comments+xml"/>
  <Override PartName="/xl/drawings/drawing29.xml" ContentType="application/vnd.openxmlformats-officedocument.drawing+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codeName="{51196F13-6AD0-C1B8-E2B4-A1F9AE17003E}"/>
  <workbookPr codeName="ThisWorkbook" defaultThemeVersion="124226"/>
  <mc:AlternateContent xmlns:mc="http://schemas.openxmlformats.org/markup-compatibility/2006">
    <mc:Choice Requires="x15">
      <x15ac:absPath xmlns:x15ac="http://schemas.microsoft.com/office/spreadsheetml/2010/11/ac" url="C:\Users\1622005\Desktop\ventilation Exam Preparations\multi_calculations Speadsheet\"/>
    </mc:Choice>
  </mc:AlternateContent>
  <bookViews>
    <workbookView xWindow="0" yWindow="0" windowWidth="24000" windowHeight="9600" tabRatio="974" firstSheet="28" activeTab="28"/>
  </bookViews>
  <sheets>
    <sheet name="INDEX" sheetId="42" r:id="rId1"/>
    <sheet name="Calendar" sheetId="9" r:id="rId2"/>
    <sheet name="Planning Tool (New)" sheetId="33" r:id="rId3"/>
    <sheet name="Planning Graph Calcs 1 " sheetId="11" r:id="rId4"/>
    <sheet name="Planning Graph Calcs 2" sheetId="12" r:id="rId5"/>
    <sheet name="Tons generator" sheetId="13" r:id="rId6"/>
    <sheet name="Refuge Bays" sheetId="14" r:id="rId7"/>
    <sheet name="Gas" sheetId="39" r:id="rId8"/>
    <sheet name="Air Flow" sheetId="15" r:id="rId9"/>
    <sheet name="Psychometry" sheetId="16" r:id="rId10"/>
    <sheet name="Comp Air" sheetId="43" r:id="rId11"/>
    <sheet name="Water" sheetId="17" r:id="rId12"/>
    <sheet name="Fans" sheetId="18" r:id="rId13"/>
    <sheet name="FAN LAWS" sheetId="46" r:id="rId14"/>
    <sheet name="Trig &amp; Volume" sheetId="19" r:id="rId15"/>
    <sheet name="Cost" sheetId="20" r:id="rId16"/>
    <sheet name="PLoss Atkins &amp; Resist" sheetId="21" r:id="rId17"/>
    <sheet name="Stope Calcs" sheetId="22" r:id="rId18"/>
    <sheet name="Long Columns" sheetId="23" r:id="rId19"/>
    <sheet name="Dev Calcs" sheetId="24" r:id="rId20"/>
    <sheet name="Dev Qtys" sheetId="40" r:id="rId21"/>
    <sheet name="Interpolation" sheetId="41" r:id="rId22"/>
    <sheet name="Dust" sheetId="38" r:id="rId23"/>
    <sheet name="DUST Treatment" sheetId="36" r:id="rId24"/>
    <sheet name="Stores Req Dev" sheetId="35" r:id="rId25"/>
    <sheet name="Heat Calc" sheetId="25" r:id="rId26"/>
    <sheet name="Vent calculator" sheetId="26" r:id="rId27"/>
    <sheet name="Flammable gas" sheetId="34" r:id="rId28"/>
    <sheet name="Airchange re-entry" sheetId="27" r:id="rId29"/>
    <sheet name="Cold Stress" sheetId="37" r:id="rId30"/>
    <sheet name="SCP - Kata - Vel" sheetId="28" r:id="rId31"/>
    <sheet name="WP" sheetId="29" r:id="rId32"/>
    <sheet name="B" sheetId="30" r:id="rId33"/>
    <sheet name="DATA" sheetId="31" r:id="rId34"/>
    <sheet name="Unit Conversion" sheetId="32" r:id="rId35"/>
    <sheet name="Duct and Fan Selection" sheetId="6" r:id="rId36"/>
    <sheet name="Vehicle Qty &amp; heat graph" sheetId="45" r:id="rId37"/>
    <sheet name="T-less Veh + Qtys" sheetId="44" r:id="rId38"/>
    <sheet name="Planning Tool (Old)" sheetId="10" r:id="rId39"/>
    <sheet name="Sheet1" sheetId="47" r:id="rId40"/>
    <sheet name="Chart Information" sheetId="7" state="hidden" r:id="rId41"/>
    <sheet name="Fan Data" sheetId="2" state="hidden" r:id="rId42"/>
    <sheet name="Resistance Criteria" sheetId="1" state="hidden" r:id="rId43"/>
    <sheet name="Duct Components" sheetId="8" state="hidden" r:id="rId44"/>
  </sheets>
  <externalReferences>
    <externalReference r:id="rId45"/>
    <externalReference r:id="rId46"/>
  </externalReferences>
  <definedNames>
    <definedName name="_Order1" hidden="1">255</definedName>
    <definedName name="_Order2" hidden="1">255</definedName>
    <definedName name="_Ref257269071" localSheetId="37">'T-less Veh + Qtys'!$B$122</definedName>
    <definedName name="_Toc255485583" localSheetId="37">'T-less Veh + Qtys'!$B$75</definedName>
    <definedName name="AREA_A" localSheetId="20">#REF!</definedName>
    <definedName name="AREA_A">#REF!</definedName>
    <definedName name="AREA_B" localSheetId="20">#REF!</definedName>
    <definedName name="AREA_B">#REF!</definedName>
    <definedName name="AREA_C" localSheetId="20">#REF!</definedName>
    <definedName name="AREA_C">#REF!</definedName>
    <definedName name="AREA_D" localSheetId="20">#REF!</definedName>
    <definedName name="AREA_D">#REF!</definedName>
    <definedName name="AREA_E" localSheetId="20">#REF!</definedName>
    <definedName name="AREA_E">#REF!</definedName>
    <definedName name="AREA_FG" localSheetId="20">#REF!</definedName>
    <definedName name="AREA_FG">#REF!</definedName>
    <definedName name="AREA_H" localSheetId="20">#REF!</definedName>
    <definedName name="AREA_H">#REF!</definedName>
    <definedName name="AREA_J" localSheetId="20">#REF!</definedName>
    <definedName name="AREA_J">#REF!</definedName>
    <definedName name="AREA_M" localSheetId="20">#REF!</definedName>
    <definedName name="AREA_M">#REF!</definedName>
    <definedName name="AREA_N" localSheetId="20">#REF!</definedName>
    <definedName name="AREA_N">#REF!</definedName>
    <definedName name="AREA_P" localSheetId="20">#REF!</definedName>
    <definedName name="AREA_P">#REF!</definedName>
    <definedName name="AREA_R" localSheetId="20">#REF!</definedName>
    <definedName name="AREA_R">#REF!</definedName>
    <definedName name="AREA8M" localSheetId="20">#REF!</definedName>
    <definedName name="AREA8M">#REF!</definedName>
    <definedName name="AREA8S" localSheetId="20">#REF!</definedName>
    <definedName name="AREA8S">#REF!</definedName>
    <definedName name="CONV_M3H_CFM">'[1]CONVERSION _DATA'!$B$7</definedName>
    <definedName name="CONV_M3H_LS">'[1]CONVERSION _DATA'!$F$7</definedName>
    <definedName name="CP_INST_1">'[1]GLOBAL DATA'!$C$105</definedName>
    <definedName name="CP_INST_2">'[1]GLOBAL DATA'!$C$106</definedName>
    <definedName name="CP_INST_3">'[1]GLOBAL DATA'!$C$107</definedName>
    <definedName name="CUR_CURRENCY">'[1]GLOBAL DATA'!$E$9</definedName>
    <definedName name="DOORNKOM" localSheetId="20">#REF!</definedName>
    <definedName name="DOORNKOM">#REF!</definedName>
    <definedName name="GERAR" localSheetId="20">#REF!</definedName>
    <definedName name="GERAR">#REF!</definedName>
    <definedName name="GOLDENVAAL" localSheetId="20">#REF!</definedName>
    <definedName name="GOLDENVAAL">#REF!</definedName>
    <definedName name="HEADDAYA3">[2]Calendar!$U$65:$AA$70,[2]Calendar!$L$65:$R$70,[2]Calendar!$C$65:$I$70,[2]Calendar!$C$51:$I$56,[2]Calendar!$L$51:$R$56,[2]Calendar!$U$51:$AA$56,[2]Calendar!$U$37:$AA$42,[2]Calendar!$L$37:$R$41,[2]Calendar!$L$42:$R$42,[2]Calendar!$C$37:$I$42,[2]Calendar!$C$23:$I$28,[2]Calendar!$L$23:$R$28,[2]Calendar!$U$23:$AA$28</definedName>
    <definedName name="HEADDAYA4">[2]Calendar!$C$23:$I$28,[2]Calendar!$L$23,[2]Calendar!$R$23,[2]Calendar!$L$23:$R$28,[2]Calendar!$U$23:$AA$28,[2]Calendar!$C$37:$I$42,[2]Calendar!$L$37:$R$42,[2]Calendar!$U$37:$AA$42,[2]Calendar!$C$51:$I$56,[2]Calendar!$L$51:$R$55,[2]Calendar!$L$51:$R$56,[2]Calendar!$U$51:$AA$55,[2]Calendar!$AA$55,[2]Calendar!$U$51:$AA$56,[2]Calendar!$C$65:$I$70,[2]Calendar!$L$65:$R$70,[2]Calendar!$U$65:$AA$70</definedName>
    <definedName name="HEADWEEKA3">[2]Calendar!$C$22:$I$22,[2]Calendar!$L$22:$R$22,[2]Calendar!$U$22:$AA$22,[2]Calendar!$C$36:$I$36,[2]Calendar!$L$36:$R$36,[2]Calendar!$U$36:$AA$36,[2]Calendar!$C$50:$I$50,[2]Calendar!$L$50:$R$50,[2]Calendar!$U$50:$AA$50,[2]Calendar!$C$64:$I$64,[2]Calendar!$L$64:$R$64,[2]Calendar!$U$64:$AA$64</definedName>
    <definedName name="HEADWEEKA4">[2]Calendar!$C$22:$I$22,[2]Calendar!$L$22:$R$22,[2]Calendar!$U$22:$AA$22,[2]Calendar!$U$36:$AA$36,[2]Calendar!$L$36:$R$36,[2]Calendar!$C$36:$I$36,[2]Calendar!$U$50:$AA$50,[2]Calendar!$L$50:$R$50,[2]Calendar!$C$50:$I$50,[2]Calendar!$U$64:$AA$64,[2]Calendar!$L$64:$R$64,[2]Calendar!$C$64:$I$64</definedName>
    <definedName name="INST_ANN_HOURS">'Comp Air'!$I$1</definedName>
    <definedName name="INST_WORK_PRESS">'Comp Air'!$O$1</definedName>
    <definedName name="INSTALL_DIST1_TYPE">'[1]GLOBAL DATA'!$C$141</definedName>
    <definedName name="INSTALL_DIST2_TYPE">'[1]GLOBAL DATA'!$C$142</definedName>
    <definedName name="INSTALL_MAIN_TYPE">'[1]GLOBAL DATA'!$C$140</definedName>
    <definedName name="KLEINFONTEIN" localSheetId="20">#REF!</definedName>
    <definedName name="KLEINFONTEIN">#REF!</definedName>
    <definedName name="KW_COST">'[1]GLOBAL DATA'!$E$12</definedName>
    <definedName name="MISPAH" localSheetId="20">#REF!</definedName>
    <definedName name="MISPAH">#REF!</definedName>
    <definedName name="MOAB" localSheetId="20">#REF!</definedName>
    <definedName name="MOAB">#REF!</definedName>
    <definedName name="Natural_Ventilation_Pressure__NVP__No_Fans_B4">INDEX!$A$10</definedName>
    <definedName name="PIPE_DIAMETERS">'[1]GLOBAL DATA'!$B$58:$C$72</definedName>
    <definedName name="_xlnm.Print_Area" localSheetId="28">'Airchange re-entry'!$B$1:$L$20</definedName>
    <definedName name="_xlnm.Print_Area" localSheetId="1">Calendar!$B$10:$AA$50</definedName>
    <definedName name="_xlnm.Print_Area" localSheetId="2">'Planning Tool (New)'!$A$1:$U$60</definedName>
    <definedName name="_xlnm.Print_Area" localSheetId="6">'Refuge Bays'!$B$28:$D$52</definedName>
    <definedName name="_xlnm.Print_Area" localSheetId="14">'Trig &amp; Volume'!$B$1:$I$21</definedName>
    <definedName name="_xlnm.Print_Area" localSheetId="34">'Unit Conversion'!$A$1:$U$24</definedName>
    <definedName name="_xlnm.Print_Area" localSheetId="26">'Vent calculator'!$A$2:$BT$50</definedName>
    <definedName name="Z_588EC669_6797_4CA8_839F_B89D9D6DF999_.wvu.Cols" localSheetId="9" hidden="1">Psychometry!$A:$G</definedName>
    <definedName name="Z_588EC669_6797_4CA8_839F_B89D9D6DF999_.wvu.PrintArea" localSheetId="28" hidden="1">'Airchange re-entry'!$B$1:$L$20</definedName>
    <definedName name="Z_588EC669_6797_4CA8_839F_B89D9D6DF999_.wvu.PrintArea" localSheetId="26" hidden="1">'Vent calculator'!$A$2:$BK$50</definedName>
    <definedName name="ZAAIPLAATS" localSheetId="20">#REF!</definedName>
    <definedName name="ZAAIPLAATS">#REF!</definedName>
  </definedNames>
  <calcPr calcId="162913"/>
</workbook>
</file>

<file path=xl/calcChain.xml><?xml version="1.0" encoding="utf-8"?>
<calcChain xmlns="http://schemas.openxmlformats.org/spreadsheetml/2006/main">
  <c r="E5" i="24" l="1"/>
  <c r="C8" i="24" s="1"/>
  <c r="E6" i="24"/>
  <c r="C7" i="24" s="1"/>
  <c r="C10" i="25"/>
  <c r="C30" i="25" l="1"/>
  <c r="C29" i="25"/>
  <c r="C28" i="25"/>
  <c r="C27" i="25"/>
  <c r="L24" i="46" l="1"/>
  <c r="L26" i="46" s="1"/>
  <c r="M23" i="46"/>
  <c r="K25" i="46"/>
  <c r="K24" i="46"/>
  <c r="E24" i="46"/>
  <c r="E25" i="46"/>
  <c r="E38" i="46" s="1"/>
  <c r="D12" i="42"/>
  <c r="C12" i="42"/>
  <c r="B12" i="42"/>
  <c r="D62" i="43"/>
  <c r="F15" i="42"/>
  <c r="E15" i="42"/>
  <c r="E63" i="46"/>
  <c r="E50" i="46"/>
  <c r="E37" i="46"/>
  <c r="D15" i="42"/>
  <c r="C15" i="42"/>
  <c r="B15" i="42"/>
  <c r="E14" i="46"/>
  <c r="E27" i="46" l="1"/>
  <c r="E40" i="46"/>
  <c r="E51" i="46"/>
  <c r="E64" i="46" s="1"/>
  <c r="E66" i="46" s="1"/>
  <c r="H6" i="24"/>
  <c r="P12" i="9"/>
  <c r="C2" i="9"/>
  <c r="C3" i="9" s="1"/>
  <c r="E53" i="46" l="1"/>
  <c r="J95" i="45"/>
  <c r="H95" i="45"/>
  <c r="F95" i="45"/>
  <c r="E95" i="45"/>
  <c r="B81" i="45"/>
  <c r="J72" i="45"/>
  <c r="H72" i="45"/>
  <c r="F72" i="45"/>
  <c r="E72" i="45"/>
  <c r="L63" i="45"/>
  <c r="J63" i="45"/>
  <c r="H63" i="45"/>
  <c r="G63" i="45"/>
  <c r="R57" i="45"/>
  <c r="Q57" i="45"/>
  <c r="P57" i="45"/>
  <c r="O57" i="45"/>
  <c r="N57" i="45"/>
  <c r="M57" i="45"/>
  <c r="L57" i="45"/>
  <c r="K57" i="45"/>
  <c r="J57" i="45"/>
  <c r="I57" i="45"/>
  <c r="H57" i="45"/>
  <c r="G57" i="45"/>
  <c r="F57" i="45"/>
  <c r="E57" i="45"/>
  <c r="D57" i="45"/>
  <c r="R50" i="45"/>
  <c r="Q50" i="45"/>
  <c r="P50" i="45"/>
  <c r="O50" i="45"/>
  <c r="N50" i="45"/>
  <c r="M50" i="45"/>
  <c r="L50" i="45"/>
  <c r="K50" i="45"/>
  <c r="J50" i="45"/>
  <c r="I50" i="45"/>
  <c r="H50" i="45"/>
  <c r="G50" i="45"/>
  <c r="F50" i="45"/>
  <c r="E50" i="45"/>
  <c r="D50" i="45"/>
  <c r="C49" i="45"/>
  <c r="R48" i="45"/>
  <c r="Q48" i="45"/>
  <c r="P48" i="45"/>
  <c r="O48" i="45"/>
  <c r="N48" i="45"/>
  <c r="M48" i="45"/>
  <c r="L48" i="45"/>
  <c r="K48" i="45"/>
  <c r="J48" i="45"/>
  <c r="I48" i="45"/>
  <c r="H48" i="45"/>
  <c r="G48" i="45"/>
  <c r="F48" i="45"/>
  <c r="E48" i="45"/>
  <c r="D48" i="45"/>
  <c r="C46" i="45"/>
  <c r="R45" i="45"/>
  <c r="Q45" i="45"/>
  <c r="P45" i="45"/>
  <c r="O45" i="45"/>
  <c r="N45" i="45"/>
  <c r="M45" i="45"/>
  <c r="L45" i="45"/>
  <c r="K45" i="45"/>
  <c r="J45" i="45"/>
  <c r="I45" i="45"/>
  <c r="H45" i="45"/>
  <c r="G45" i="45"/>
  <c r="F45" i="45"/>
  <c r="E45" i="45"/>
  <c r="D45" i="45"/>
  <c r="R44" i="45"/>
  <c r="Q44" i="45"/>
  <c r="P44" i="45"/>
  <c r="O44" i="45"/>
  <c r="N44" i="45"/>
  <c r="M44" i="45"/>
  <c r="L44" i="45"/>
  <c r="K44" i="45"/>
  <c r="J44" i="45"/>
  <c r="I44" i="45"/>
  <c r="H44" i="45"/>
  <c r="G44" i="45"/>
  <c r="F44" i="45"/>
  <c r="E44" i="45"/>
  <c r="D44" i="45"/>
  <c r="R43" i="45"/>
  <c r="Q43" i="45"/>
  <c r="P43" i="45"/>
  <c r="O43" i="45"/>
  <c r="N43" i="45"/>
  <c r="M43" i="45"/>
  <c r="L43" i="45"/>
  <c r="K43" i="45"/>
  <c r="K46" i="45" s="1"/>
  <c r="J43" i="45"/>
  <c r="I43" i="45"/>
  <c r="H43" i="45"/>
  <c r="G43" i="45"/>
  <c r="F43" i="45"/>
  <c r="E43" i="45"/>
  <c r="D43" i="45"/>
  <c r="C40" i="45"/>
  <c r="C81" i="45" s="1"/>
  <c r="C39" i="45"/>
  <c r="O39" i="45" s="1"/>
  <c r="C38" i="45"/>
  <c r="O38" i="45" s="1"/>
  <c r="C28" i="45"/>
  <c r="Q28" i="45" s="1"/>
  <c r="R27" i="45"/>
  <c r="Q27" i="45"/>
  <c r="P27" i="45"/>
  <c r="O27" i="45"/>
  <c r="N27" i="45"/>
  <c r="M27" i="45"/>
  <c r="L27" i="45"/>
  <c r="K27" i="45"/>
  <c r="J27" i="45"/>
  <c r="I27" i="45"/>
  <c r="H27" i="45"/>
  <c r="G27" i="45"/>
  <c r="F27" i="45"/>
  <c r="E27" i="45"/>
  <c r="D27" i="45"/>
  <c r="R26" i="45"/>
  <c r="Q26" i="45"/>
  <c r="P26" i="45"/>
  <c r="O26" i="45"/>
  <c r="N26" i="45"/>
  <c r="M26" i="45"/>
  <c r="L26" i="45"/>
  <c r="K26" i="45"/>
  <c r="J26" i="45"/>
  <c r="I26" i="45"/>
  <c r="H26" i="45"/>
  <c r="G26" i="45"/>
  <c r="F26" i="45"/>
  <c r="E26" i="45"/>
  <c r="D26" i="45"/>
  <c r="C16" i="45"/>
  <c r="C24" i="45" s="1"/>
  <c r="R15" i="45"/>
  <c r="Q15" i="45"/>
  <c r="P15" i="45"/>
  <c r="O15" i="45"/>
  <c r="N15" i="45"/>
  <c r="M15" i="45"/>
  <c r="L15" i="45"/>
  <c r="K15" i="45"/>
  <c r="J15" i="45"/>
  <c r="I15" i="45"/>
  <c r="H15" i="45"/>
  <c r="G15" i="45"/>
  <c r="F15" i="45"/>
  <c r="E15" i="45"/>
  <c r="D15" i="45"/>
  <c r="R14" i="45"/>
  <c r="Q14" i="45"/>
  <c r="P14" i="45"/>
  <c r="O14" i="45"/>
  <c r="N14" i="45"/>
  <c r="M14" i="45"/>
  <c r="L14" i="45"/>
  <c r="K14" i="45"/>
  <c r="J14" i="45"/>
  <c r="I14" i="45"/>
  <c r="H14" i="45"/>
  <c r="G14" i="45"/>
  <c r="F14" i="45"/>
  <c r="E14" i="45"/>
  <c r="D14" i="45"/>
  <c r="R13" i="45"/>
  <c r="Q13" i="45"/>
  <c r="P13" i="45"/>
  <c r="O13" i="45"/>
  <c r="N13" i="45"/>
  <c r="M13" i="45"/>
  <c r="L13" i="45"/>
  <c r="K13" i="45"/>
  <c r="J13" i="45"/>
  <c r="I13" i="45"/>
  <c r="H13" i="45"/>
  <c r="G13" i="45"/>
  <c r="F13" i="45"/>
  <c r="E13" i="45"/>
  <c r="D13" i="45"/>
  <c r="R12" i="45"/>
  <c r="Q12" i="45"/>
  <c r="P12" i="45"/>
  <c r="O12" i="45"/>
  <c r="N12" i="45"/>
  <c r="M12" i="45"/>
  <c r="L12" i="45"/>
  <c r="K12" i="45"/>
  <c r="J12" i="45"/>
  <c r="I12" i="45"/>
  <c r="H12" i="45"/>
  <c r="G12" i="45"/>
  <c r="F12" i="45"/>
  <c r="E12" i="45"/>
  <c r="D12" i="45"/>
  <c r="R11" i="45"/>
  <c r="Q11" i="45"/>
  <c r="P11" i="45"/>
  <c r="O11" i="45"/>
  <c r="N11" i="45"/>
  <c r="M11" i="45"/>
  <c r="L11" i="45"/>
  <c r="K11" i="45"/>
  <c r="J11" i="45"/>
  <c r="I11" i="45"/>
  <c r="H11" i="45"/>
  <c r="G11" i="45"/>
  <c r="F11" i="45"/>
  <c r="E11" i="45"/>
  <c r="D11" i="45"/>
  <c r="D8" i="45"/>
  <c r="P38" i="45" l="1"/>
  <c r="F16" i="45"/>
  <c r="J16" i="45"/>
  <c r="N16" i="45"/>
  <c r="N24" i="45" s="1"/>
  <c r="R16" i="45"/>
  <c r="H38" i="45"/>
  <c r="D49" i="45"/>
  <c r="H49" i="45"/>
  <c r="P49" i="45"/>
  <c r="H16" i="45"/>
  <c r="P16" i="45"/>
  <c r="P19" i="45" s="1"/>
  <c r="O28" i="45"/>
  <c r="E46" i="45"/>
  <c r="I49" i="45"/>
  <c r="M46" i="45"/>
  <c r="Q49" i="45"/>
  <c r="F49" i="45"/>
  <c r="R49" i="45"/>
  <c r="D16" i="45"/>
  <c r="D24" i="45" s="1"/>
  <c r="L16" i="45"/>
  <c r="L24" i="45" s="1"/>
  <c r="L49" i="45"/>
  <c r="G16" i="45"/>
  <c r="G24" i="45" s="1"/>
  <c r="I39" i="45"/>
  <c r="L46" i="45"/>
  <c r="M49" i="45"/>
  <c r="E16" i="45"/>
  <c r="E17" i="45" s="1"/>
  <c r="E21" i="45" s="1"/>
  <c r="E22" i="45" s="1"/>
  <c r="I16" i="45"/>
  <c r="I24" i="45" s="1"/>
  <c r="Q16" i="45"/>
  <c r="Q24" i="45" s="1"/>
  <c r="F46" i="45"/>
  <c r="N46" i="45"/>
  <c r="D28" i="45"/>
  <c r="D29" i="45" s="1"/>
  <c r="D30" i="45" s="1"/>
  <c r="K16" i="45"/>
  <c r="K24" i="45" s="1"/>
  <c r="O16" i="45"/>
  <c r="O17" i="45" s="1"/>
  <c r="I28" i="45"/>
  <c r="E38" i="45"/>
  <c r="M38" i="45"/>
  <c r="D39" i="45"/>
  <c r="E49" i="45"/>
  <c r="Q29" i="45"/>
  <c r="Q36" i="45" s="1"/>
  <c r="I38" i="45"/>
  <c r="Q38" i="45"/>
  <c r="J46" i="45"/>
  <c r="R46" i="45"/>
  <c r="Q46" i="45"/>
  <c r="O29" i="45"/>
  <c r="O37" i="45" s="1"/>
  <c r="D38" i="45"/>
  <c r="L38" i="45"/>
  <c r="D40" i="45"/>
  <c r="G49" i="45"/>
  <c r="K49" i="45"/>
  <c r="I46" i="45"/>
  <c r="C51" i="45"/>
  <c r="N39" i="45"/>
  <c r="E39" i="45"/>
  <c r="J39" i="45"/>
  <c r="P39" i="45"/>
  <c r="F39" i="45"/>
  <c r="L39" i="45"/>
  <c r="Q39" i="45"/>
  <c r="H39" i="45"/>
  <c r="M39" i="45"/>
  <c r="R39" i="45"/>
  <c r="O30" i="45"/>
  <c r="O23" i="45"/>
  <c r="F24" i="45"/>
  <c r="F23" i="45"/>
  <c r="F17" i="45"/>
  <c r="F21" i="45" s="1"/>
  <c r="F22" i="45" s="1"/>
  <c r="J24" i="45"/>
  <c r="J23" i="45"/>
  <c r="J17" i="45"/>
  <c r="N17" i="45"/>
  <c r="N21" i="45" s="1"/>
  <c r="N22" i="45" s="1"/>
  <c r="R24" i="45"/>
  <c r="R23" i="45"/>
  <c r="R17" i="45"/>
  <c r="E24" i="45"/>
  <c r="E23" i="45"/>
  <c r="O19" i="45"/>
  <c r="D17" i="45"/>
  <c r="H24" i="45"/>
  <c r="H23" i="45"/>
  <c r="H17" i="45"/>
  <c r="H21" i="45" s="1"/>
  <c r="H22" i="45" s="1"/>
  <c r="C17" i="45"/>
  <c r="C19" i="45"/>
  <c r="C23" i="45"/>
  <c r="E28" i="45"/>
  <c r="E29" i="45" s="1"/>
  <c r="K28" i="45"/>
  <c r="P28" i="45"/>
  <c r="P29" i="45" s="1"/>
  <c r="O49" i="45"/>
  <c r="O46" i="45"/>
  <c r="D46" i="45"/>
  <c r="H46" i="45"/>
  <c r="G46" i="45"/>
  <c r="P46" i="45"/>
  <c r="J19" i="45"/>
  <c r="G28" i="45"/>
  <c r="G29" i="45" s="1"/>
  <c r="L28" i="45"/>
  <c r="L29" i="45" s="1"/>
  <c r="L17" i="45"/>
  <c r="L21" i="45" s="1"/>
  <c r="L22" i="45" s="1"/>
  <c r="H19" i="45"/>
  <c r="L19" i="45"/>
  <c r="F19" i="45"/>
  <c r="J29" i="45"/>
  <c r="J32" i="45" s="1"/>
  <c r="R28" i="45"/>
  <c r="R29" i="45" s="1"/>
  <c r="N28" i="45"/>
  <c r="N29" i="45" s="1"/>
  <c r="J28" i="45"/>
  <c r="F28" i="45"/>
  <c r="H28" i="45"/>
  <c r="H29" i="45" s="1"/>
  <c r="M28" i="45"/>
  <c r="C29" i="45"/>
  <c r="C32" i="45"/>
  <c r="P24" i="45"/>
  <c r="M16" i="45"/>
  <c r="R19" i="45"/>
  <c r="I29" i="45"/>
  <c r="G17" i="45"/>
  <c r="G19" i="45"/>
  <c r="M19" i="45"/>
  <c r="G23" i="45"/>
  <c r="F38" i="45"/>
  <c r="J38" i="45"/>
  <c r="N38" i="45"/>
  <c r="R38" i="45"/>
  <c r="N49" i="45"/>
  <c r="G38" i="45"/>
  <c r="K38" i="45"/>
  <c r="J49" i="45"/>
  <c r="G39" i="45"/>
  <c r="K39" i="45"/>
  <c r="C41" i="45"/>
  <c r="C42" i="45"/>
  <c r="N19" i="45" l="1"/>
  <c r="D23" i="45"/>
  <c r="I17" i="45"/>
  <c r="I21" i="45" s="1"/>
  <c r="I22" i="45" s="1"/>
  <c r="N23" i="45"/>
  <c r="C47" i="45"/>
  <c r="D32" i="45"/>
  <c r="P17" i="45"/>
  <c r="P21" i="45" s="1"/>
  <c r="P22" i="45" s="1"/>
  <c r="D19" i="45"/>
  <c r="I19" i="45"/>
  <c r="I23" i="45"/>
  <c r="D37" i="45"/>
  <c r="P23" i="45"/>
  <c r="Q37" i="45"/>
  <c r="D36" i="45"/>
  <c r="D41" i="45"/>
  <c r="O32" i="45"/>
  <c r="O36" i="45"/>
  <c r="Q19" i="45"/>
  <c r="L23" i="45"/>
  <c r="O24" i="45"/>
  <c r="D51" i="45"/>
  <c r="D42" i="45"/>
  <c r="K29" i="45"/>
  <c r="K32" i="45" s="1"/>
  <c r="Q17" i="45"/>
  <c r="Q21" i="45" s="1"/>
  <c r="Q22" i="45" s="1"/>
  <c r="K17" i="45"/>
  <c r="E40" i="45"/>
  <c r="E81" i="45" s="1"/>
  <c r="F32" i="45"/>
  <c r="Q30" i="45"/>
  <c r="Q34" i="45" s="1"/>
  <c r="Q35" i="45" s="1"/>
  <c r="K19" i="45"/>
  <c r="Q23" i="45"/>
  <c r="K23" i="45"/>
  <c r="D81" i="45"/>
  <c r="F29" i="45"/>
  <c r="F37" i="45" s="1"/>
  <c r="Q32" i="45"/>
  <c r="E19" i="45"/>
  <c r="E20" i="45" s="1"/>
  <c r="N37" i="45"/>
  <c r="N36" i="45"/>
  <c r="N30" i="45"/>
  <c r="N32" i="45"/>
  <c r="L30" i="45"/>
  <c r="L37" i="45"/>
  <c r="L36" i="45"/>
  <c r="R37" i="45"/>
  <c r="R36" i="45"/>
  <c r="R30" i="45"/>
  <c r="R32" i="45"/>
  <c r="G37" i="45"/>
  <c r="G36" i="45"/>
  <c r="G30" i="45"/>
  <c r="G32" i="45"/>
  <c r="P37" i="45"/>
  <c r="P36" i="45"/>
  <c r="P30" i="45"/>
  <c r="P32" i="45"/>
  <c r="G21" i="45"/>
  <c r="G22" i="45" s="1"/>
  <c r="G20" i="45"/>
  <c r="G18" i="45"/>
  <c r="H32" i="45"/>
  <c r="F36" i="45"/>
  <c r="F30" i="45"/>
  <c r="J20" i="45"/>
  <c r="J18" i="45"/>
  <c r="C56" i="45"/>
  <c r="D20" i="45"/>
  <c r="D18" i="45"/>
  <c r="N20" i="45"/>
  <c r="N18" i="45"/>
  <c r="E42" i="45"/>
  <c r="E41" i="45"/>
  <c r="M24" i="45"/>
  <c r="M23" i="45"/>
  <c r="M17" i="45"/>
  <c r="C37" i="45"/>
  <c r="C36" i="45"/>
  <c r="C30" i="45"/>
  <c r="D21" i="45"/>
  <c r="D22" i="45" s="1"/>
  <c r="H20" i="45"/>
  <c r="H18" i="45"/>
  <c r="J21" i="45"/>
  <c r="J22" i="45" s="1"/>
  <c r="E18" i="45"/>
  <c r="R21" i="45"/>
  <c r="R22" i="45" s="1"/>
  <c r="R20" i="45"/>
  <c r="R18" i="45"/>
  <c r="D33" i="45"/>
  <c r="D52" i="45" s="1"/>
  <c r="D31" i="45"/>
  <c r="O34" i="45"/>
  <c r="O35" i="45" s="1"/>
  <c r="O33" i="45"/>
  <c r="O52" i="45" s="1"/>
  <c r="O31" i="45"/>
  <c r="I37" i="45"/>
  <c r="I36" i="45"/>
  <c r="I30" i="45"/>
  <c r="H37" i="45"/>
  <c r="H36" i="45"/>
  <c r="H30" i="45"/>
  <c r="E37" i="45"/>
  <c r="E36" i="45"/>
  <c r="E30" i="45"/>
  <c r="O21" i="45"/>
  <c r="O22" i="45" s="1"/>
  <c r="O20" i="45"/>
  <c r="O18" i="45"/>
  <c r="E32" i="45"/>
  <c r="C21" i="45"/>
  <c r="C22" i="45" s="1"/>
  <c r="C20" i="45"/>
  <c r="C18" i="45"/>
  <c r="P20" i="45"/>
  <c r="P18" i="45"/>
  <c r="M29" i="45"/>
  <c r="M32" i="45" s="1"/>
  <c r="J37" i="45"/>
  <c r="J36" i="45"/>
  <c r="J30" i="45"/>
  <c r="L20" i="45"/>
  <c r="L18" i="45"/>
  <c r="L32" i="45"/>
  <c r="I20" i="45"/>
  <c r="I18" i="45"/>
  <c r="F20" i="45"/>
  <c r="F18" i="45"/>
  <c r="I32" i="45"/>
  <c r="K21" i="45"/>
  <c r="K22" i="45" s="1"/>
  <c r="K18" i="45"/>
  <c r="D34" i="45"/>
  <c r="D35" i="45" s="1"/>
  <c r="M6" i="24"/>
  <c r="Q33" i="45" l="1"/>
  <c r="Q52" i="45" s="1"/>
  <c r="D47" i="45"/>
  <c r="D56" i="45" s="1"/>
  <c r="Q18" i="45"/>
  <c r="Q20" i="45"/>
  <c r="Q31" i="45"/>
  <c r="K37" i="45"/>
  <c r="K20" i="45"/>
  <c r="D69" i="45"/>
  <c r="F40" i="45"/>
  <c r="F42" i="45" s="1"/>
  <c r="K30" i="45"/>
  <c r="K34" i="45" s="1"/>
  <c r="K35" i="45" s="1"/>
  <c r="E51" i="45"/>
  <c r="K36" i="45"/>
  <c r="G33" i="45"/>
  <c r="G52" i="45" s="1"/>
  <c r="G31" i="45"/>
  <c r="G34" i="45"/>
  <c r="G35" i="45" s="1"/>
  <c r="R33" i="45"/>
  <c r="R52" i="45" s="1"/>
  <c r="R31" i="45"/>
  <c r="R34" i="45"/>
  <c r="R35" i="45" s="1"/>
  <c r="E33" i="45"/>
  <c r="E52" i="45" s="1"/>
  <c r="E31" i="45"/>
  <c r="E34" i="45"/>
  <c r="E35" i="45" s="1"/>
  <c r="D59" i="45"/>
  <c r="D58" i="45" s="1"/>
  <c r="D70" i="45"/>
  <c r="D66" i="45"/>
  <c r="M18" i="45"/>
  <c r="M20" i="45"/>
  <c r="M21" i="45"/>
  <c r="M22" i="45" s="1"/>
  <c r="E47" i="45"/>
  <c r="D67" i="45"/>
  <c r="L33" i="45"/>
  <c r="L52" i="45" s="1"/>
  <c r="L31" i="45"/>
  <c r="L34" i="45"/>
  <c r="L35" i="45" s="1"/>
  <c r="M30" i="45"/>
  <c r="M37" i="45"/>
  <c r="M36" i="45"/>
  <c r="D53" i="45"/>
  <c r="D68" i="45"/>
  <c r="C34" i="45"/>
  <c r="C35" i="45" s="1"/>
  <c r="C33" i="45"/>
  <c r="C52" i="45" s="1"/>
  <c r="C31" i="45"/>
  <c r="K33" i="45"/>
  <c r="K52" i="45" s="1"/>
  <c r="K31" i="45"/>
  <c r="D65" i="45"/>
  <c r="H33" i="45"/>
  <c r="H52" i="45" s="1"/>
  <c r="H31" i="45"/>
  <c r="H34" i="45"/>
  <c r="H35" i="45" s="1"/>
  <c r="F33" i="45"/>
  <c r="F52" i="45" s="1"/>
  <c r="F31" i="45"/>
  <c r="F34" i="45"/>
  <c r="F35" i="45" s="1"/>
  <c r="P33" i="45"/>
  <c r="P52" i="45" s="1"/>
  <c r="P31" i="45"/>
  <c r="P34" i="45"/>
  <c r="P35" i="45" s="1"/>
  <c r="J33" i="45"/>
  <c r="J52" i="45" s="1"/>
  <c r="J31" i="45"/>
  <c r="J34" i="45"/>
  <c r="J35" i="45" s="1"/>
  <c r="I33" i="45"/>
  <c r="I52" i="45" s="1"/>
  <c r="I31" i="45"/>
  <c r="I34" i="45"/>
  <c r="I35" i="45" s="1"/>
  <c r="D64" i="45"/>
  <c r="F81" i="45"/>
  <c r="N33" i="45"/>
  <c r="N52" i="45" s="1"/>
  <c r="N31" i="45"/>
  <c r="N34" i="45"/>
  <c r="N35" i="45" s="1"/>
  <c r="E64" i="45" l="1"/>
  <c r="F51" i="45"/>
  <c r="F41" i="45"/>
  <c r="F69" i="45" s="1"/>
  <c r="G40" i="45"/>
  <c r="G41" i="45" s="1"/>
  <c r="C64" i="45"/>
  <c r="E66" i="45"/>
  <c r="E67" i="45"/>
  <c r="E69" i="45"/>
  <c r="E70" i="45"/>
  <c r="E68" i="45"/>
  <c r="G42" i="45"/>
  <c r="D54" i="45"/>
  <c r="D55" i="45" s="1"/>
  <c r="D102" i="45"/>
  <c r="D79" i="45"/>
  <c r="D75" i="45"/>
  <c r="D97" i="45"/>
  <c r="D98" i="45"/>
  <c r="D99" i="45"/>
  <c r="D101" i="45"/>
  <c r="D78" i="45"/>
  <c r="D74" i="45"/>
  <c r="D100" i="45"/>
  <c r="D77" i="45"/>
  <c r="D73" i="45"/>
  <c r="D76" i="45"/>
  <c r="D96" i="45"/>
  <c r="M34" i="45"/>
  <c r="M35" i="45" s="1"/>
  <c r="M33" i="45"/>
  <c r="M52" i="45" s="1"/>
  <c r="M31" i="45"/>
  <c r="C53" i="45"/>
  <c r="C68" i="45"/>
  <c r="C59" i="45"/>
  <c r="C58" i="45" s="1"/>
  <c r="E65" i="45"/>
  <c r="F68" i="45"/>
  <c r="F67" i="45"/>
  <c r="F64" i="45"/>
  <c r="F70" i="45"/>
  <c r="C69" i="45"/>
  <c r="C65" i="45"/>
  <c r="C66" i="45"/>
  <c r="C67" i="45"/>
  <c r="C70" i="45"/>
  <c r="E56" i="45"/>
  <c r="E59" i="45"/>
  <c r="E58" i="45" s="1"/>
  <c r="E53" i="45"/>
  <c r="W101" i="16"/>
  <c r="U104" i="16"/>
  <c r="U105" i="16" s="1"/>
  <c r="AL95" i="16"/>
  <c r="H40" i="45" l="1"/>
  <c r="I40" i="45" s="1"/>
  <c r="G81" i="45"/>
  <c r="F65" i="45"/>
  <c r="G51" i="45"/>
  <c r="F47" i="45"/>
  <c r="F59" i="45" s="1"/>
  <c r="F66" i="45"/>
  <c r="C54" i="45"/>
  <c r="C55" i="45" s="1"/>
  <c r="C73" i="45"/>
  <c r="C96" i="45" s="1"/>
  <c r="C74" i="45"/>
  <c r="C97" i="45" s="1"/>
  <c r="C79" i="45"/>
  <c r="C102" i="45" s="1"/>
  <c r="C78" i="45"/>
  <c r="C101" i="45" s="1"/>
  <c r="C77" i="45"/>
  <c r="C100" i="45" s="1"/>
  <c r="C76" i="45"/>
  <c r="C99" i="45" s="1"/>
  <c r="C75" i="45"/>
  <c r="C98" i="45" s="1"/>
  <c r="G70" i="45"/>
  <c r="G69" i="45"/>
  <c r="G68" i="45"/>
  <c r="G67" i="45"/>
  <c r="G66" i="45"/>
  <c r="G65" i="45"/>
  <c r="G64" i="45"/>
  <c r="G47" i="45"/>
  <c r="F53" i="45"/>
  <c r="F56" i="45"/>
  <c r="E54" i="45"/>
  <c r="E55" i="45" s="1"/>
  <c r="E78" i="45"/>
  <c r="E74" i="45"/>
  <c r="E100" i="45"/>
  <c r="E96" i="45"/>
  <c r="E77" i="45"/>
  <c r="E73" i="45"/>
  <c r="E99" i="45"/>
  <c r="E76" i="45"/>
  <c r="E102" i="45"/>
  <c r="E97" i="45"/>
  <c r="E79" i="45"/>
  <c r="E75" i="45"/>
  <c r="E101" i="45"/>
  <c r="E98" i="45"/>
  <c r="H81" i="45"/>
  <c r="H41" i="45"/>
  <c r="H42" i="45"/>
  <c r="H51" i="45"/>
  <c r="G83" i="45"/>
  <c r="M19" i="19"/>
  <c r="M20" i="19"/>
  <c r="M21" i="19" s="1"/>
  <c r="M8" i="19"/>
  <c r="M9" i="19" s="1"/>
  <c r="M10" i="19" s="1"/>
  <c r="F58" i="45" l="1"/>
  <c r="D88" i="45"/>
  <c r="D84" i="45"/>
  <c r="D85" i="45"/>
  <c r="D87" i="45"/>
  <c r="D83" i="45"/>
  <c r="D86" i="45"/>
  <c r="D89" i="45"/>
  <c r="E88" i="45"/>
  <c r="E84" i="45"/>
  <c r="E87" i="45"/>
  <c r="E83" i="45"/>
  <c r="E86" i="45"/>
  <c r="E89" i="45"/>
  <c r="E85" i="45"/>
  <c r="F89" i="45"/>
  <c r="F86" i="45"/>
  <c r="F83" i="45"/>
  <c r="F88" i="45"/>
  <c r="F85" i="45"/>
  <c r="F87" i="45"/>
  <c r="F84" i="45"/>
  <c r="G88" i="45"/>
  <c r="G85" i="45"/>
  <c r="G84" i="45"/>
  <c r="G87" i="45"/>
  <c r="I81" i="45"/>
  <c r="J40" i="45"/>
  <c r="I41" i="45"/>
  <c r="I42" i="45"/>
  <c r="I51" i="45"/>
  <c r="G53" i="45"/>
  <c r="G56" i="45"/>
  <c r="G59" i="45"/>
  <c r="G58" i="45" s="1"/>
  <c r="G86" i="45"/>
  <c r="G89" i="45"/>
  <c r="H70" i="45"/>
  <c r="H69" i="45"/>
  <c r="H68" i="45"/>
  <c r="H67" i="45"/>
  <c r="H66" i="45"/>
  <c r="H65" i="45"/>
  <c r="H64" i="45"/>
  <c r="H47" i="45"/>
  <c r="F54" i="45"/>
  <c r="F55" i="45" s="1"/>
  <c r="F100" i="45"/>
  <c r="F75" i="45"/>
  <c r="F74" i="45"/>
  <c r="F77" i="45"/>
  <c r="F99" i="45"/>
  <c r="F73" i="45"/>
  <c r="F97" i="45"/>
  <c r="F102" i="45"/>
  <c r="F79" i="45"/>
  <c r="F78" i="45"/>
  <c r="F96" i="45"/>
  <c r="F101" i="45"/>
  <c r="F76" i="45"/>
  <c r="F98" i="45"/>
  <c r="M22" i="19"/>
  <c r="M11" i="19"/>
  <c r="B7" i="37"/>
  <c r="H56" i="45" l="1"/>
  <c r="H53" i="45"/>
  <c r="H59" i="45"/>
  <c r="H58" i="45" s="1"/>
  <c r="I69" i="45"/>
  <c r="I68" i="45"/>
  <c r="I67" i="45"/>
  <c r="I66" i="45"/>
  <c r="I65" i="45"/>
  <c r="I64" i="45"/>
  <c r="I70" i="45"/>
  <c r="I47" i="45"/>
  <c r="G54" i="45"/>
  <c r="G55" i="45" s="1"/>
  <c r="G100" i="45"/>
  <c r="G77" i="45"/>
  <c r="G73" i="45"/>
  <c r="G99" i="45"/>
  <c r="G76" i="45"/>
  <c r="G97" i="45"/>
  <c r="G102" i="45"/>
  <c r="G79" i="45"/>
  <c r="G75" i="45"/>
  <c r="G96" i="45"/>
  <c r="G101" i="45"/>
  <c r="G78" i="45"/>
  <c r="G74" i="45"/>
  <c r="G98" i="45"/>
  <c r="K40" i="45"/>
  <c r="J81" i="45"/>
  <c r="J42" i="45"/>
  <c r="J41" i="45"/>
  <c r="J51" i="45"/>
  <c r="H7" i="44"/>
  <c r="H8" i="44"/>
  <c r="H9" i="44"/>
  <c r="N4" i="18"/>
  <c r="L4" i="18"/>
  <c r="J4" i="18"/>
  <c r="H4" i="18"/>
  <c r="F4" i="18"/>
  <c r="H54" i="45" l="1"/>
  <c r="H55" i="45" s="1"/>
  <c r="H99" i="45"/>
  <c r="H76" i="45"/>
  <c r="H98" i="45"/>
  <c r="H102" i="45"/>
  <c r="H79" i="45"/>
  <c r="H75" i="45"/>
  <c r="H96" i="45"/>
  <c r="H101" i="45"/>
  <c r="H78" i="45"/>
  <c r="H74" i="45"/>
  <c r="H97" i="45"/>
  <c r="H100" i="45"/>
  <c r="H77" i="45"/>
  <c r="H73" i="45"/>
  <c r="K81" i="45"/>
  <c r="K42" i="45"/>
  <c r="K41" i="45"/>
  <c r="L40" i="45"/>
  <c r="K51" i="45"/>
  <c r="I56" i="45"/>
  <c r="I59" i="45"/>
  <c r="I58" i="45"/>
  <c r="I53" i="45"/>
  <c r="J69" i="45"/>
  <c r="J68" i="45"/>
  <c r="J67" i="45"/>
  <c r="J66" i="45"/>
  <c r="J65" i="45"/>
  <c r="J64" i="45"/>
  <c r="J70" i="45"/>
  <c r="J47" i="45"/>
  <c r="C311" i="18"/>
  <c r="C312" i="18"/>
  <c r="C313" i="18"/>
  <c r="C314" i="18"/>
  <c r="C315" i="18"/>
  <c r="C316" i="18"/>
  <c r="C317" i="18"/>
  <c r="C318" i="18"/>
  <c r="C310" i="18"/>
  <c r="L81" i="45" l="1"/>
  <c r="K87" i="45" s="1"/>
  <c r="L42" i="45"/>
  <c r="L41" i="45"/>
  <c r="M40" i="45"/>
  <c r="L51" i="45"/>
  <c r="J59" i="45"/>
  <c r="J58" i="45" s="1"/>
  <c r="J56" i="45"/>
  <c r="J53" i="45"/>
  <c r="I54" i="45"/>
  <c r="I55" i="45" s="1"/>
  <c r="I98" i="45"/>
  <c r="I79" i="45"/>
  <c r="I75" i="45"/>
  <c r="I101" i="45"/>
  <c r="I97" i="45"/>
  <c r="I78" i="45"/>
  <c r="I74" i="45"/>
  <c r="I100" i="45"/>
  <c r="I96" i="45"/>
  <c r="I77" i="45"/>
  <c r="I73" i="45"/>
  <c r="I99" i="45"/>
  <c r="I76" i="45"/>
  <c r="I102" i="45"/>
  <c r="K89" i="45"/>
  <c r="K83" i="45"/>
  <c r="K86" i="45"/>
  <c r="K70" i="45"/>
  <c r="K69" i="45"/>
  <c r="K68" i="45"/>
  <c r="K67" i="45"/>
  <c r="K66" i="45"/>
  <c r="K65" i="45"/>
  <c r="K64" i="45"/>
  <c r="K47" i="45"/>
  <c r="D37" i="21"/>
  <c r="K37" i="21"/>
  <c r="K47" i="21"/>
  <c r="M81" i="45" l="1"/>
  <c r="N40" i="45"/>
  <c r="M42" i="45"/>
  <c r="M51" i="45"/>
  <c r="M41" i="45"/>
  <c r="K56" i="45"/>
  <c r="K53" i="45"/>
  <c r="K59" i="45"/>
  <c r="K58" i="45" s="1"/>
  <c r="K84" i="45"/>
  <c r="K85" i="45"/>
  <c r="L70" i="45"/>
  <c r="L69" i="45"/>
  <c r="L68" i="45"/>
  <c r="L67" i="45"/>
  <c r="L66" i="45"/>
  <c r="L65" i="45"/>
  <c r="L64" i="45"/>
  <c r="L47" i="45"/>
  <c r="K88" i="45"/>
  <c r="J54" i="45"/>
  <c r="J55" i="45" s="1"/>
  <c r="J77" i="45"/>
  <c r="J73" i="45"/>
  <c r="J99" i="45"/>
  <c r="J79" i="45"/>
  <c r="J101" i="45"/>
  <c r="J97" i="45"/>
  <c r="J74" i="45"/>
  <c r="J96" i="45"/>
  <c r="J76" i="45"/>
  <c r="J102" i="45"/>
  <c r="J98" i="45"/>
  <c r="J75" i="45"/>
  <c r="J78" i="45"/>
  <c r="J100" i="45"/>
  <c r="I87" i="45"/>
  <c r="I83" i="45"/>
  <c r="I86" i="45"/>
  <c r="I89" i="45"/>
  <c r="I85" i="45"/>
  <c r="I88" i="45"/>
  <c r="I84" i="45"/>
  <c r="J88" i="45"/>
  <c r="J84" i="45"/>
  <c r="J89" i="45"/>
  <c r="J85" i="45"/>
  <c r="J87" i="45"/>
  <c r="J83" i="45"/>
  <c r="J86" i="45"/>
  <c r="C31" i="32"/>
  <c r="C32" i="32" s="1"/>
  <c r="C28" i="32"/>
  <c r="N81" i="45" l="1"/>
  <c r="O40" i="45"/>
  <c r="N42" i="45"/>
  <c r="N51" i="45"/>
  <c r="N41" i="45"/>
  <c r="L56" i="45"/>
  <c r="L53" i="45"/>
  <c r="L59" i="45"/>
  <c r="L58" i="45" s="1"/>
  <c r="K54" i="45"/>
  <c r="K55" i="45" s="1"/>
  <c r="K100" i="45"/>
  <c r="K77" i="45"/>
  <c r="K73" i="45"/>
  <c r="K99" i="45"/>
  <c r="K76" i="45"/>
  <c r="K96" i="45"/>
  <c r="K102" i="45"/>
  <c r="K79" i="45"/>
  <c r="K75" i="45"/>
  <c r="K98" i="45"/>
  <c r="K101" i="45"/>
  <c r="K78" i="45"/>
  <c r="K74" i="45"/>
  <c r="K97" i="45"/>
  <c r="M70" i="45"/>
  <c r="M69" i="45"/>
  <c r="M68" i="45"/>
  <c r="M67" i="45"/>
  <c r="M66" i="45"/>
  <c r="M65" i="45"/>
  <c r="M64" i="45"/>
  <c r="M47" i="45"/>
  <c r="C96" i="15"/>
  <c r="M56" i="45" l="1"/>
  <c r="M59" i="45"/>
  <c r="M58" i="45" s="1"/>
  <c r="M53" i="45"/>
  <c r="O81" i="45"/>
  <c r="O42" i="45"/>
  <c r="O41" i="45"/>
  <c r="P40" i="45"/>
  <c r="O51" i="45"/>
  <c r="N69" i="45"/>
  <c r="N68" i="45"/>
  <c r="N67" i="45"/>
  <c r="N66" i="45"/>
  <c r="N65" i="45"/>
  <c r="N64" i="45"/>
  <c r="N70" i="45"/>
  <c r="N47" i="45"/>
  <c r="L54" i="45"/>
  <c r="L55" i="45" s="1"/>
  <c r="L100" i="45"/>
  <c r="L77" i="45"/>
  <c r="L73" i="45"/>
  <c r="L79" i="45"/>
  <c r="L97" i="45"/>
  <c r="L101" i="45"/>
  <c r="L74" i="45"/>
  <c r="L99" i="45"/>
  <c r="L76" i="45"/>
  <c r="L98" i="45"/>
  <c r="L102" i="45"/>
  <c r="L75" i="45"/>
  <c r="L78" i="45"/>
  <c r="L96" i="45"/>
  <c r="M4" i="18"/>
  <c r="K4" i="18"/>
  <c r="I4" i="18"/>
  <c r="G4" i="18"/>
  <c r="E4" i="18"/>
  <c r="C4" i="18"/>
  <c r="N11" i="18" l="1"/>
  <c r="D9" i="18"/>
  <c r="N59" i="45"/>
  <c r="N58" i="45" s="1"/>
  <c r="N56" i="45"/>
  <c r="N53" i="45"/>
  <c r="P81" i="45"/>
  <c r="Q40" i="45"/>
  <c r="P42" i="45"/>
  <c r="P41" i="45"/>
  <c r="P51" i="45"/>
  <c r="M54" i="45"/>
  <c r="M55" i="45" s="1"/>
  <c r="M77" i="45"/>
  <c r="M73" i="45"/>
  <c r="M99" i="45"/>
  <c r="M76" i="45"/>
  <c r="M102" i="45"/>
  <c r="M96" i="45"/>
  <c r="M79" i="45"/>
  <c r="M75" i="45"/>
  <c r="M101" i="45"/>
  <c r="M97" i="45"/>
  <c r="M78" i="45"/>
  <c r="M74" i="45"/>
  <c r="M100" i="45"/>
  <c r="M98" i="45"/>
  <c r="O70" i="45"/>
  <c r="O69" i="45"/>
  <c r="O68" i="45"/>
  <c r="O67" i="45"/>
  <c r="O66" i="45"/>
  <c r="O65" i="45"/>
  <c r="O64" i="45"/>
  <c r="O47" i="45"/>
  <c r="D7" i="18"/>
  <c r="J11" i="18"/>
  <c r="N10" i="18"/>
  <c r="F9" i="18"/>
  <c r="J9" i="18"/>
  <c r="J10" i="18"/>
  <c r="L11" i="18"/>
  <c r="N13" i="18"/>
  <c r="F8" i="18"/>
  <c r="N14" i="18"/>
  <c r="D6" i="18"/>
  <c r="F6" i="18"/>
  <c r="H7" i="18"/>
  <c r="L9" i="18"/>
  <c r="J13" i="18"/>
  <c r="L14" i="18"/>
  <c r="L10" i="18"/>
  <c r="N12" i="18"/>
  <c r="H9" i="18"/>
  <c r="H10" i="18"/>
  <c r="L12" i="18"/>
  <c r="D8" i="18"/>
  <c r="F7" i="18"/>
  <c r="H8" i="18"/>
  <c r="H11" i="18"/>
  <c r="J12" i="18"/>
  <c r="L13" i="18"/>
  <c r="N15" i="18"/>
  <c r="J232" i="1"/>
  <c r="I232" i="1"/>
  <c r="M232" i="1" s="1"/>
  <c r="F232" i="1"/>
  <c r="E232" i="1"/>
  <c r="A232" i="1"/>
  <c r="J231" i="1"/>
  <c r="K231" i="1" s="1"/>
  <c r="L231" i="1" s="1"/>
  <c r="I231" i="1"/>
  <c r="F231" i="1"/>
  <c r="E231" i="1"/>
  <c r="A231" i="1"/>
  <c r="J230" i="1"/>
  <c r="I230" i="1"/>
  <c r="F230" i="1"/>
  <c r="E230" i="1"/>
  <c r="A230" i="1"/>
  <c r="J229" i="1"/>
  <c r="I229" i="1"/>
  <c r="F229" i="1"/>
  <c r="E229" i="1"/>
  <c r="A229" i="1"/>
  <c r="J228" i="1"/>
  <c r="I228" i="1"/>
  <c r="M228" i="1" s="1"/>
  <c r="F228" i="1"/>
  <c r="E228" i="1"/>
  <c r="A228" i="1"/>
  <c r="J227" i="1"/>
  <c r="K227" i="1" s="1"/>
  <c r="L227" i="1" s="1"/>
  <c r="I227" i="1"/>
  <c r="F227" i="1"/>
  <c r="E227" i="1"/>
  <c r="A227" i="1"/>
  <c r="Q226" i="1"/>
  <c r="F226" i="1"/>
  <c r="E226" i="1"/>
  <c r="A226" i="1"/>
  <c r="Q225" i="1"/>
  <c r="F225" i="1"/>
  <c r="E225" i="1"/>
  <c r="G225" i="1" s="1"/>
  <c r="B225" i="1" s="1"/>
  <c r="A225" i="1"/>
  <c r="Q224" i="1"/>
  <c r="F224" i="1"/>
  <c r="E224" i="1"/>
  <c r="A224" i="1"/>
  <c r="Q223" i="1"/>
  <c r="F223" i="1"/>
  <c r="E223" i="1"/>
  <c r="A223" i="1"/>
  <c r="Q222" i="1"/>
  <c r="F222" i="1"/>
  <c r="E222" i="1"/>
  <c r="A222" i="1"/>
  <c r="F221" i="1"/>
  <c r="E221" i="1"/>
  <c r="F220" i="1"/>
  <c r="E220" i="1"/>
  <c r="F219" i="1"/>
  <c r="E219" i="1"/>
  <c r="F218" i="1"/>
  <c r="E218" i="1"/>
  <c r="F217" i="1"/>
  <c r="E217" i="1"/>
  <c r="F216" i="1"/>
  <c r="E216" i="1"/>
  <c r="F215" i="1"/>
  <c r="E215" i="1"/>
  <c r="F214" i="1"/>
  <c r="E214" i="1"/>
  <c r="F213" i="1"/>
  <c r="E213" i="1"/>
  <c r="F212" i="1"/>
  <c r="E212" i="1"/>
  <c r="F211" i="1"/>
  <c r="E211" i="1"/>
  <c r="F210" i="1"/>
  <c r="E210" i="1"/>
  <c r="F209" i="1"/>
  <c r="E209" i="1"/>
  <c r="F208" i="1"/>
  <c r="E208" i="1"/>
  <c r="F207" i="1"/>
  <c r="E207" i="1"/>
  <c r="F206" i="1"/>
  <c r="E206" i="1"/>
  <c r="O205" i="1"/>
  <c r="Q205" i="1" s="1"/>
  <c r="F205" i="1"/>
  <c r="E205" i="1"/>
  <c r="Q204" i="1"/>
  <c r="F204" i="1"/>
  <c r="E204" i="1"/>
  <c r="A204" i="1"/>
  <c r="F203" i="1"/>
  <c r="E203" i="1"/>
  <c r="F202" i="1"/>
  <c r="E202" i="1"/>
  <c r="F201" i="1"/>
  <c r="E201" i="1"/>
  <c r="F200" i="1"/>
  <c r="E200" i="1"/>
  <c r="F199" i="1"/>
  <c r="E199" i="1"/>
  <c r="F198" i="1"/>
  <c r="E198" i="1"/>
  <c r="Q197" i="1"/>
  <c r="A197" i="1" s="1"/>
  <c r="F197" i="1"/>
  <c r="E197" i="1"/>
  <c r="F196" i="1"/>
  <c r="E196" i="1"/>
  <c r="A196" i="1"/>
  <c r="J195" i="1"/>
  <c r="I195" i="1"/>
  <c r="F195" i="1"/>
  <c r="G195" i="1" s="1"/>
  <c r="E195" i="1"/>
  <c r="A195" i="1"/>
  <c r="J194" i="1"/>
  <c r="I194" i="1"/>
  <c r="F194" i="1"/>
  <c r="E194" i="1"/>
  <c r="A194" i="1"/>
  <c r="J193" i="1"/>
  <c r="I193" i="1"/>
  <c r="F193" i="1"/>
  <c r="E193" i="1"/>
  <c r="A193" i="1"/>
  <c r="J192" i="1"/>
  <c r="I192" i="1"/>
  <c r="F192" i="1"/>
  <c r="E192" i="1"/>
  <c r="A192" i="1"/>
  <c r="J191" i="1"/>
  <c r="I191" i="1"/>
  <c r="F191" i="1"/>
  <c r="E191" i="1"/>
  <c r="A191" i="1"/>
  <c r="J190" i="1"/>
  <c r="I190" i="1"/>
  <c r="F190" i="1"/>
  <c r="E190" i="1"/>
  <c r="A190" i="1"/>
  <c r="Q189" i="1"/>
  <c r="F189" i="1"/>
  <c r="E189" i="1"/>
  <c r="A189" i="1"/>
  <c r="Q188" i="1"/>
  <c r="F188" i="1"/>
  <c r="E188" i="1"/>
  <c r="A188" i="1"/>
  <c r="Q187" i="1"/>
  <c r="F187" i="1"/>
  <c r="E187" i="1"/>
  <c r="A187" i="1"/>
  <c r="Q186" i="1"/>
  <c r="F186" i="1"/>
  <c r="E186" i="1"/>
  <c r="A186" i="1"/>
  <c r="Q185" i="1"/>
  <c r="F185" i="1"/>
  <c r="E185" i="1"/>
  <c r="A185" i="1"/>
  <c r="F184" i="1"/>
  <c r="E184" i="1"/>
  <c r="F183" i="1"/>
  <c r="E183" i="1"/>
  <c r="F182" i="1"/>
  <c r="E182" i="1"/>
  <c r="F181" i="1"/>
  <c r="E181" i="1"/>
  <c r="F180" i="1"/>
  <c r="E180" i="1"/>
  <c r="F179" i="1"/>
  <c r="E179" i="1"/>
  <c r="F178" i="1"/>
  <c r="E178" i="1"/>
  <c r="F177" i="1"/>
  <c r="E177" i="1"/>
  <c r="F176" i="1"/>
  <c r="E176" i="1"/>
  <c r="F175" i="1"/>
  <c r="E175" i="1"/>
  <c r="F174" i="1"/>
  <c r="E174" i="1"/>
  <c r="F173" i="1"/>
  <c r="E173" i="1"/>
  <c r="F172" i="1"/>
  <c r="E172" i="1"/>
  <c r="F171" i="1"/>
  <c r="E171" i="1"/>
  <c r="F170" i="1"/>
  <c r="E170" i="1"/>
  <c r="F169" i="1"/>
  <c r="E169" i="1"/>
  <c r="O168" i="1"/>
  <c r="Q168" i="1" s="1"/>
  <c r="F168" i="1"/>
  <c r="E168" i="1"/>
  <c r="Q167" i="1"/>
  <c r="F167" i="1"/>
  <c r="E167" i="1"/>
  <c r="A167" i="1"/>
  <c r="F166" i="1"/>
  <c r="E166" i="1"/>
  <c r="F165" i="1"/>
  <c r="E165" i="1"/>
  <c r="F164" i="1"/>
  <c r="E164" i="1"/>
  <c r="F163" i="1"/>
  <c r="E163" i="1"/>
  <c r="F162" i="1"/>
  <c r="E162" i="1"/>
  <c r="F161" i="1"/>
  <c r="E161" i="1"/>
  <c r="Q160" i="1"/>
  <c r="A160" i="1" s="1"/>
  <c r="F160" i="1"/>
  <c r="E160" i="1"/>
  <c r="F159" i="1"/>
  <c r="E159" i="1"/>
  <c r="A159" i="1"/>
  <c r="J158" i="1"/>
  <c r="I158" i="1"/>
  <c r="F158" i="1"/>
  <c r="E158" i="1"/>
  <c r="A158" i="1"/>
  <c r="J157" i="1"/>
  <c r="I157" i="1"/>
  <c r="F157" i="1"/>
  <c r="E157" i="1"/>
  <c r="A157" i="1"/>
  <c r="J156" i="1"/>
  <c r="I156" i="1"/>
  <c r="F156" i="1"/>
  <c r="E156" i="1"/>
  <c r="A156" i="1"/>
  <c r="J155" i="1"/>
  <c r="I155" i="1"/>
  <c r="F155" i="1"/>
  <c r="E155" i="1"/>
  <c r="A155" i="1"/>
  <c r="J154" i="1"/>
  <c r="I154" i="1"/>
  <c r="F154" i="1"/>
  <c r="E154" i="1"/>
  <c r="A154" i="1"/>
  <c r="J153" i="1"/>
  <c r="I153" i="1"/>
  <c r="F153" i="1"/>
  <c r="G153" i="1" s="1"/>
  <c r="E153" i="1"/>
  <c r="A153" i="1"/>
  <c r="Q152" i="1"/>
  <c r="F152" i="1"/>
  <c r="E152" i="1"/>
  <c r="A152" i="1"/>
  <c r="Q151" i="1"/>
  <c r="F151" i="1"/>
  <c r="E151" i="1"/>
  <c r="A151" i="1"/>
  <c r="Q150" i="1"/>
  <c r="F150" i="1"/>
  <c r="E150" i="1"/>
  <c r="A150" i="1"/>
  <c r="Q149" i="1"/>
  <c r="F149" i="1"/>
  <c r="E149" i="1"/>
  <c r="A149" i="1"/>
  <c r="Q148" i="1"/>
  <c r="F148" i="1"/>
  <c r="E148" i="1"/>
  <c r="A148" i="1"/>
  <c r="F147" i="1"/>
  <c r="E147" i="1"/>
  <c r="F146" i="1"/>
  <c r="E146" i="1"/>
  <c r="F145" i="1"/>
  <c r="E145" i="1"/>
  <c r="F144" i="1"/>
  <c r="E144" i="1"/>
  <c r="F143" i="1"/>
  <c r="E143" i="1"/>
  <c r="F142" i="1"/>
  <c r="E142" i="1"/>
  <c r="F141" i="1"/>
  <c r="E141" i="1"/>
  <c r="F140" i="1"/>
  <c r="E140" i="1"/>
  <c r="F139" i="1"/>
  <c r="E139" i="1"/>
  <c r="F138" i="1"/>
  <c r="E138" i="1"/>
  <c r="F137" i="1"/>
  <c r="E137" i="1"/>
  <c r="F136" i="1"/>
  <c r="E136" i="1"/>
  <c r="F135" i="1"/>
  <c r="E135" i="1"/>
  <c r="F134" i="1"/>
  <c r="E134" i="1"/>
  <c r="F133" i="1"/>
  <c r="E133" i="1"/>
  <c r="F132" i="1"/>
  <c r="E132" i="1"/>
  <c r="O131" i="1"/>
  <c r="Q131" i="1" s="1"/>
  <c r="F131" i="1"/>
  <c r="E131" i="1"/>
  <c r="Q130" i="1"/>
  <c r="F130" i="1"/>
  <c r="E130" i="1"/>
  <c r="A130" i="1"/>
  <c r="F129" i="1"/>
  <c r="E129" i="1"/>
  <c r="F128" i="1"/>
  <c r="E128" i="1"/>
  <c r="F127" i="1"/>
  <c r="E127" i="1"/>
  <c r="F126" i="1"/>
  <c r="E126" i="1"/>
  <c r="F125" i="1"/>
  <c r="E125" i="1"/>
  <c r="F124" i="1"/>
  <c r="E124" i="1"/>
  <c r="Q123" i="1"/>
  <c r="F123" i="1"/>
  <c r="E123" i="1"/>
  <c r="F122" i="1"/>
  <c r="E122" i="1"/>
  <c r="A122" i="1"/>
  <c r="J121" i="1"/>
  <c r="I121" i="1"/>
  <c r="F121" i="1"/>
  <c r="E121" i="1"/>
  <c r="A121" i="1"/>
  <c r="J120" i="1"/>
  <c r="I120" i="1"/>
  <c r="F120" i="1"/>
  <c r="E120" i="1"/>
  <c r="G120" i="1" s="1"/>
  <c r="A120" i="1"/>
  <c r="J119" i="1"/>
  <c r="K119" i="1" s="1"/>
  <c r="L119" i="1" s="1"/>
  <c r="I119" i="1"/>
  <c r="M119" i="1" s="1"/>
  <c r="F119" i="1"/>
  <c r="E119" i="1"/>
  <c r="A119" i="1"/>
  <c r="J118" i="1"/>
  <c r="I118" i="1"/>
  <c r="F118" i="1"/>
  <c r="E118" i="1"/>
  <c r="A118" i="1"/>
  <c r="J117" i="1"/>
  <c r="I117" i="1"/>
  <c r="F117" i="1"/>
  <c r="E117" i="1"/>
  <c r="A117" i="1"/>
  <c r="J116" i="1"/>
  <c r="I116" i="1"/>
  <c r="F116" i="1"/>
  <c r="E116" i="1"/>
  <c r="G116" i="1" s="1"/>
  <c r="A116" i="1"/>
  <c r="Q115" i="1"/>
  <c r="F115" i="1"/>
  <c r="E115" i="1"/>
  <c r="A115" i="1"/>
  <c r="Q114" i="1"/>
  <c r="F114" i="1"/>
  <c r="E114" i="1"/>
  <c r="A114" i="1"/>
  <c r="Q113" i="1"/>
  <c r="F113" i="1"/>
  <c r="E113" i="1"/>
  <c r="A113" i="1"/>
  <c r="Q112" i="1"/>
  <c r="F112" i="1"/>
  <c r="E112" i="1"/>
  <c r="A112" i="1"/>
  <c r="Q111" i="1"/>
  <c r="F111" i="1"/>
  <c r="E111" i="1"/>
  <c r="A111" i="1"/>
  <c r="F110" i="1"/>
  <c r="E110" i="1"/>
  <c r="F109" i="1"/>
  <c r="E109" i="1"/>
  <c r="F108" i="1"/>
  <c r="E108" i="1"/>
  <c r="F107" i="1"/>
  <c r="E107" i="1"/>
  <c r="F106" i="1"/>
  <c r="E106" i="1"/>
  <c r="F105" i="1"/>
  <c r="E105" i="1"/>
  <c r="F104" i="1"/>
  <c r="E104" i="1"/>
  <c r="F103" i="1"/>
  <c r="E103" i="1"/>
  <c r="F102" i="1"/>
  <c r="E102" i="1"/>
  <c r="F101" i="1"/>
  <c r="E101" i="1"/>
  <c r="F100" i="1"/>
  <c r="E100" i="1"/>
  <c r="F99" i="1"/>
  <c r="E99" i="1"/>
  <c r="F98" i="1"/>
  <c r="E98" i="1"/>
  <c r="F97" i="1"/>
  <c r="E97" i="1"/>
  <c r="F96" i="1"/>
  <c r="E96" i="1"/>
  <c r="F95" i="1"/>
  <c r="E95" i="1"/>
  <c r="O94" i="1"/>
  <c r="Q94" i="1" s="1"/>
  <c r="F94" i="1"/>
  <c r="E94" i="1"/>
  <c r="Q93" i="1"/>
  <c r="F93" i="1"/>
  <c r="E93" i="1"/>
  <c r="A93" i="1"/>
  <c r="F92" i="1"/>
  <c r="E92" i="1"/>
  <c r="F91" i="1"/>
  <c r="E91" i="1"/>
  <c r="F90" i="1"/>
  <c r="E90" i="1"/>
  <c r="F89" i="1"/>
  <c r="E89" i="1"/>
  <c r="F88" i="1"/>
  <c r="E88" i="1"/>
  <c r="F87" i="1"/>
  <c r="E87" i="1"/>
  <c r="Q86" i="1"/>
  <c r="A86" i="1" s="1"/>
  <c r="F86" i="1"/>
  <c r="E86" i="1"/>
  <c r="F85" i="1"/>
  <c r="E85" i="1"/>
  <c r="A85" i="1"/>
  <c r="J84" i="1"/>
  <c r="I84" i="1"/>
  <c r="F84" i="1"/>
  <c r="E84" i="1"/>
  <c r="A84" i="1"/>
  <c r="J83" i="1"/>
  <c r="I83" i="1"/>
  <c r="F83" i="1"/>
  <c r="E83" i="1"/>
  <c r="A83" i="1"/>
  <c r="J82" i="1"/>
  <c r="I82" i="1"/>
  <c r="F82" i="1"/>
  <c r="E82" i="1"/>
  <c r="A82" i="1"/>
  <c r="J81" i="1"/>
  <c r="I81" i="1"/>
  <c r="F81" i="1"/>
  <c r="E81" i="1"/>
  <c r="M81" i="1" s="1"/>
  <c r="A81" i="1"/>
  <c r="J80" i="1"/>
  <c r="I80" i="1"/>
  <c r="F80" i="1"/>
  <c r="E80" i="1"/>
  <c r="A80" i="1"/>
  <c r="J79" i="1"/>
  <c r="I79" i="1"/>
  <c r="M79" i="1" s="1"/>
  <c r="F79" i="1"/>
  <c r="E79" i="1"/>
  <c r="A79" i="1"/>
  <c r="Q78" i="1"/>
  <c r="F78" i="1"/>
  <c r="E78" i="1"/>
  <c r="A78" i="1"/>
  <c r="Q77" i="1"/>
  <c r="F77" i="1"/>
  <c r="E77" i="1"/>
  <c r="A77" i="1"/>
  <c r="Q76" i="1"/>
  <c r="F76" i="1"/>
  <c r="E76" i="1"/>
  <c r="A76" i="1"/>
  <c r="Q75" i="1"/>
  <c r="F75" i="1"/>
  <c r="E75" i="1"/>
  <c r="A75" i="1"/>
  <c r="Q74" i="1"/>
  <c r="F74" i="1"/>
  <c r="E74" i="1"/>
  <c r="A74" i="1"/>
  <c r="F73" i="1"/>
  <c r="E73" i="1"/>
  <c r="F72" i="1"/>
  <c r="E72" i="1"/>
  <c r="F71" i="1"/>
  <c r="E71" i="1"/>
  <c r="F70" i="1"/>
  <c r="E70" i="1"/>
  <c r="F69" i="1"/>
  <c r="E69" i="1"/>
  <c r="F68" i="1"/>
  <c r="E68" i="1"/>
  <c r="F67" i="1"/>
  <c r="E67" i="1"/>
  <c r="F66" i="1"/>
  <c r="E66" i="1"/>
  <c r="F65" i="1"/>
  <c r="E65" i="1"/>
  <c r="F64" i="1"/>
  <c r="E64" i="1"/>
  <c r="F63" i="1"/>
  <c r="E63" i="1"/>
  <c r="F62" i="1"/>
  <c r="E62" i="1"/>
  <c r="F61" i="1"/>
  <c r="E61" i="1"/>
  <c r="F60" i="1"/>
  <c r="E60" i="1"/>
  <c r="F59" i="1"/>
  <c r="E59" i="1"/>
  <c r="F58" i="1"/>
  <c r="E58" i="1"/>
  <c r="O57" i="1"/>
  <c r="Q57" i="1" s="1"/>
  <c r="G57" i="1" s="1"/>
  <c r="B57" i="1" s="1"/>
  <c r="F57" i="1"/>
  <c r="E57" i="1"/>
  <c r="Q56" i="1"/>
  <c r="F56" i="1"/>
  <c r="G56" i="1" s="1"/>
  <c r="B56" i="1" s="1"/>
  <c r="E56" i="1"/>
  <c r="A56" i="1"/>
  <c r="F55" i="1"/>
  <c r="E55" i="1"/>
  <c r="F54" i="1"/>
  <c r="E54" i="1"/>
  <c r="F53" i="1"/>
  <c r="E53" i="1"/>
  <c r="F52" i="1"/>
  <c r="E52" i="1"/>
  <c r="F51" i="1"/>
  <c r="E51" i="1"/>
  <c r="F50" i="1"/>
  <c r="E50" i="1"/>
  <c r="Q49" i="1"/>
  <c r="Q50" i="1" s="1"/>
  <c r="F49" i="1"/>
  <c r="E49" i="1"/>
  <c r="F48" i="1"/>
  <c r="E48" i="1"/>
  <c r="A48" i="1"/>
  <c r="J47" i="1"/>
  <c r="I47" i="1"/>
  <c r="F47" i="1"/>
  <c r="E47" i="1"/>
  <c r="G47" i="1" s="1"/>
  <c r="A47" i="1"/>
  <c r="J46" i="1"/>
  <c r="I46" i="1"/>
  <c r="F46" i="1"/>
  <c r="E46" i="1"/>
  <c r="A46" i="1"/>
  <c r="J45" i="1"/>
  <c r="I45" i="1"/>
  <c r="F45" i="1"/>
  <c r="E45" i="1"/>
  <c r="A45" i="1"/>
  <c r="J44" i="1"/>
  <c r="I44" i="1"/>
  <c r="F44" i="1"/>
  <c r="E44" i="1"/>
  <c r="A44" i="1"/>
  <c r="J43" i="1"/>
  <c r="I43" i="1"/>
  <c r="F43" i="1"/>
  <c r="E43" i="1"/>
  <c r="G43" i="1" s="1"/>
  <c r="A43" i="1"/>
  <c r="J42" i="1"/>
  <c r="I42" i="1"/>
  <c r="F42" i="1"/>
  <c r="E42" i="1"/>
  <c r="A42" i="1"/>
  <c r="J41" i="1"/>
  <c r="I41" i="1"/>
  <c r="F41" i="1"/>
  <c r="E41" i="1"/>
  <c r="A41" i="1"/>
  <c r="J40" i="1"/>
  <c r="I40" i="1"/>
  <c r="F40" i="1"/>
  <c r="E40" i="1"/>
  <c r="A40" i="1"/>
  <c r="J39" i="1"/>
  <c r="I39" i="1"/>
  <c r="F39" i="1"/>
  <c r="E39" i="1"/>
  <c r="G39" i="1" s="1"/>
  <c r="A39" i="1"/>
  <c r="J38" i="1"/>
  <c r="I38" i="1"/>
  <c r="F38" i="1"/>
  <c r="E38" i="1"/>
  <c r="A38" i="1"/>
  <c r="J37" i="1"/>
  <c r="I37" i="1"/>
  <c r="F37" i="1"/>
  <c r="E37" i="1"/>
  <c r="A37" i="1"/>
  <c r="J36" i="1"/>
  <c r="I36" i="1"/>
  <c r="F36" i="1"/>
  <c r="E36" i="1"/>
  <c r="A36" i="1"/>
  <c r="Q35" i="1"/>
  <c r="F35" i="1"/>
  <c r="E35" i="1"/>
  <c r="A35" i="1"/>
  <c r="Q34" i="1"/>
  <c r="F34" i="1"/>
  <c r="E34" i="1"/>
  <c r="A34" i="1"/>
  <c r="Q33" i="1"/>
  <c r="F33" i="1"/>
  <c r="E33" i="1"/>
  <c r="A33" i="1"/>
  <c r="Q32" i="1"/>
  <c r="F32" i="1"/>
  <c r="E32" i="1"/>
  <c r="A32" i="1"/>
  <c r="Q31" i="1"/>
  <c r="F31" i="1"/>
  <c r="E31" i="1"/>
  <c r="A31" i="1"/>
  <c r="F30" i="1"/>
  <c r="E30" i="1"/>
  <c r="F29" i="1"/>
  <c r="E29" i="1"/>
  <c r="F28" i="1"/>
  <c r="E28" i="1"/>
  <c r="F27" i="1"/>
  <c r="E27" i="1"/>
  <c r="F26" i="1"/>
  <c r="E26" i="1"/>
  <c r="F25" i="1"/>
  <c r="E25" i="1"/>
  <c r="F24" i="1"/>
  <c r="E24" i="1"/>
  <c r="F23" i="1"/>
  <c r="E23" i="1"/>
  <c r="F22" i="1"/>
  <c r="E22" i="1"/>
  <c r="F21" i="1"/>
  <c r="E21" i="1"/>
  <c r="F20" i="1"/>
  <c r="E20" i="1"/>
  <c r="F19" i="1"/>
  <c r="E19" i="1"/>
  <c r="F18" i="1"/>
  <c r="E18" i="1"/>
  <c r="F17" i="1"/>
  <c r="E17" i="1"/>
  <c r="F16" i="1"/>
  <c r="E16" i="1"/>
  <c r="F15" i="1"/>
  <c r="E15" i="1"/>
  <c r="O14" i="1"/>
  <c r="Q14" i="1" s="1"/>
  <c r="F14" i="1"/>
  <c r="E14" i="1"/>
  <c r="A14" i="1"/>
  <c r="Q13" i="1"/>
  <c r="F13" i="1"/>
  <c r="E13" i="1"/>
  <c r="A13" i="1"/>
  <c r="F12" i="1"/>
  <c r="E12" i="1"/>
  <c r="F11" i="1"/>
  <c r="E11" i="1"/>
  <c r="F10" i="1"/>
  <c r="E10" i="1"/>
  <c r="F9" i="1"/>
  <c r="E9" i="1"/>
  <c r="F8" i="1"/>
  <c r="E8" i="1"/>
  <c r="F7" i="1"/>
  <c r="E7" i="1"/>
  <c r="Q6" i="1"/>
  <c r="Q7" i="1" s="1"/>
  <c r="F6" i="1"/>
  <c r="E6" i="1"/>
  <c r="F5" i="1"/>
  <c r="G5" i="1" s="1"/>
  <c r="B5" i="1" s="1"/>
  <c r="E5" i="1"/>
  <c r="A5" i="1"/>
  <c r="Q458" i="2"/>
  <c r="P458" i="2"/>
  <c r="O458" i="2"/>
  <c r="N458" i="2"/>
  <c r="Q414" i="2"/>
  <c r="P414" i="2"/>
  <c r="O414" i="2"/>
  <c r="N414" i="2"/>
  <c r="Q375" i="2"/>
  <c r="P375" i="2"/>
  <c r="O375" i="2"/>
  <c r="N375" i="2"/>
  <c r="Q342" i="2"/>
  <c r="P342" i="2"/>
  <c r="O342" i="2"/>
  <c r="N342" i="2"/>
  <c r="Q314" i="2"/>
  <c r="P314" i="2"/>
  <c r="O314" i="2"/>
  <c r="N314" i="2"/>
  <c r="Q277" i="2"/>
  <c r="P277" i="2"/>
  <c r="O277" i="2"/>
  <c r="N277" i="2"/>
  <c r="Q248" i="2"/>
  <c r="P248" i="2"/>
  <c r="O248" i="2"/>
  <c r="N248" i="2"/>
  <c r="Q223" i="2"/>
  <c r="P223" i="2"/>
  <c r="O223" i="2"/>
  <c r="N223" i="2"/>
  <c r="Q196" i="2"/>
  <c r="P196" i="2"/>
  <c r="O196" i="2"/>
  <c r="N196" i="2"/>
  <c r="Q173" i="2"/>
  <c r="P173" i="2"/>
  <c r="O173" i="2"/>
  <c r="N173" i="2"/>
  <c r="Q150" i="2"/>
  <c r="P150" i="2"/>
  <c r="O150" i="2"/>
  <c r="N150" i="2"/>
  <c r="Q130" i="2"/>
  <c r="P130" i="2"/>
  <c r="O130" i="2"/>
  <c r="N130" i="2"/>
  <c r="Q115" i="2"/>
  <c r="P115" i="2"/>
  <c r="O115" i="2"/>
  <c r="N115" i="2"/>
  <c r="Q99" i="2"/>
  <c r="P99" i="2"/>
  <c r="O99" i="2"/>
  <c r="N99" i="2"/>
  <c r="Q87" i="2"/>
  <c r="P87" i="2"/>
  <c r="O87" i="2"/>
  <c r="N87" i="2"/>
  <c r="Q73" i="2"/>
  <c r="P73" i="2"/>
  <c r="O73" i="2"/>
  <c r="N73" i="2"/>
  <c r="Q59" i="2"/>
  <c r="P59" i="2"/>
  <c r="O59" i="2"/>
  <c r="N59" i="2"/>
  <c r="Q49" i="2"/>
  <c r="P49" i="2"/>
  <c r="O49" i="2"/>
  <c r="N49" i="2"/>
  <c r="Q35" i="2"/>
  <c r="P35" i="2"/>
  <c r="O35" i="2"/>
  <c r="N35" i="2"/>
  <c r="Q25" i="2"/>
  <c r="P25" i="2"/>
  <c r="O25" i="2"/>
  <c r="N25" i="2"/>
  <c r="Q10" i="2"/>
  <c r="P10" i="2"/>
  <c r="O10" i="2"/>
  <c r="N10" i="2"/>
  <c r="A5" i="2"/>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Q4" i="2"/>
  <c r="P4" i="2"/>
  <c r="O4" i="2"/>
  <c r="N4" i="2"/>
  <c r="U17" i="7"/>
  <c r="AM3" i="6" s="1"/>
  <c r="A5" i="7"/>
  <c r="B4" i="7"/>
  <c r="U60" i="10"/>
  <c r="U61" i="10" s="1"/>
  <c r="T60" i="10"/>
  <c r="T61" i="10" s="1"/>
  <c r="S60" i="10"/>
  <c r="S61" i="10" s="1"/>
  <c r="Q60" i="10"/>
  <c r="Q61" i="10" s="1"/>
  <c r="O60" i="10"/>
  <c r="O61" i="10" s="1"/>
  <c r="M60" i="10"/>
  <c r="M61" i="10" s="1"/>
  <c r="K60" i="10"/>
  <c r="K61" i="10" s="1"/>
  <c r="I60" i="10"/>
  <c r="I61" i="10" s="1"/>
  <c r="G60" i="10"/>
  <c r="G61" i="10" s="1"/>
  <c r="E60" i="10"/>
  <c r="E61" i="10" s="1"/>
  <c r="D60" i="10"/>
  <c r="D61" i="10" s="1"/>
  <c r="E58" i="10"/>
  <c r="E59" i="10" s="1"/>
  <c r="U57" i="10"/>
  <c r="T57" i="10"/>
  <c r="S57" i="10"/>
  <c r="Q57" i="10"/>
  <c r="O57" i="10"/>
  <c r="M57" i="10"/>
  <c r="K57" i="10"/>
  <c r="I57" i="10"/>
  <c r="G57" i="10"/>
  <c r="E57" i="10"/>
  <c r="D57" i="10"/>
  <c r="S56" i="10"/>
  <c r="Q56" i="10"/>
  <c r="P56" i="10"/>
  <c r="M56" i="10"/>
  <c r="K56" i="10"/>
  <c r="J56" i="10"/>
  <c r="G56" i="10"/>
  <c r="E56" i="10"/>
  <c r="D56" i="10"/>
  <c r="U55" i="10"/>
  <c r="T55" i="10"/>
  <c r="S55" i="10"/>
  <c r="Q55" i="10"/>
  <c r="O55" i="10"/>
  <c r="M55" i="10"/>
  <c r="K55" i="10"/>
  <c r="I55" i="10"/>
  <c r="G55" i="10"/>
  <c r="E55" i="10"/>
  <c r="D55" i="10"/>
  <c r="D52" i="10"/>
  <c r="D50" i="10"/>
  <c r="Q49" i="10"/>
  <c r="K49" i="10"/>
  <c r="J37" i="10" s="1"/>
  <c r="J50" i="10" s="1"/>
  <c r="I49" i="10"/>
  <c r="E49" i="10"/>
  <c r="T44" i="10"/>
  <c r="Q44" i="10"/>
  <c r="N44" i="10"/>
  <c r="K44" i="10"/>
  <c r="I44" i="10"/>
  <c r="H44" i="10"/>
  <c r="E44" i="10"/>
  <c r="T43" i="10"/>
  <c r="Q43" i="10"/>
  <c r="P43" i="10"/>
  <c r="N43" i="10"/>
  <c r="K43" i="10"/>
  <c r="J43" i="10"/>
  <c r="I43" i="10"/>
  <c r="H43" i="10"/>
  <c r="E43" i="10"/>
  <c r="D43" i="10"/>
  <c r="U40" i="10"/>
  <c r="S40" i="10"/>
  <c r="Q40" i="10"/>
  <c r="P40" i="10" s="1"/>
  <c r="O40" i="10"/>
  <c r="M40" i="10"/>
  <c r="K40" i="10"/>
  <c r="K42" i="10" s="1"/>
  <c r="I40" i="10"/>
  <c r="G40" i="10"/>
  <c r="E40" i="10"/>
  <c r="D40" i="10" s="1"/>
  <c r="Q39" i="10"/>
  <c r="K39" i="10"/>
  <c r="Q38" i="10"/>
  <c r="K38" i="10"/>
  <c r="P37" i="10"/>
  <c r="P55" i="10" s="1"/>
  <c r="P35" i="10"/>
  <c r="R35" i="10" s="1"/>
  <c r="J35" i="10"/>
  <c r="J32" i="10" s="1"/>
  <c r="H35" i="10"/>
  <c r="H32" i="10" s="1"/>
  <c r="F35" i="10"/>
  <c r="Q34" i="10"/>
  <c r="Q58" i="10" s="1"/>
  <c r="Q59" i="10" s="1"/>
  <c r="K34" i="10"/>
  <c r="K58" i="10" s="1"/>
  <c r="K59" i="10" s="1"/>
  <c r="I34" i="10"/>
  <c r="I58" i="10" s="1"/>
  <c r="I59" i="10" s="1"/>
  <c r="Q33" i="10"/>
  <c r="P33" i="10"/>
  <c r="K33" i="10"/>
  <c r="J33" i="10"/>
  <c r="I33" i="10"/>
  <c r="U29" i="10"/>
  <c r="T29" i="10"/>
  <c r="T33" i="10" s="1"/>
  <c r="S29" i="10"/>
  <c r="R29" i="10"/>
  <c r="Q29" i="10"/>
  <c r="O29" i="10"/>
  <c r="N29" i="10"/>
  <c r="M29" i="10"/>
  <c r="L29" i="10"/>
  <c r="K29" i="10"/>
  <c r="I29" i="10"/>
  <c r="H29" i="10"/>
  <c r="I38" i="10" s="1"/>
  <c r="G29" i="10"/>
  <c r="F29" i="10"/>
  <c r="G39" i="10" s="1"/>
  <c r="E29" i="10"/>
  <c r="U28" i="10"/>
  <c r="S28" i="10"/>
  <c r="Q28" i="10"/>
  <c r="O28" i="10"/>
  <c r="M28" i="10"/>
  <c r="K28" i="10"/>
  <c r="I28" i="10"/>
  <c r="G28" i="10"/>
  <c r="E28" i="10"/>
  <c r="M27" i="10"/>
  <c r="L27" i="10"/>
  <c r="K27" i="10"/>
  <c r="M26" i="10"/>
  <c r="L26" i="10"/>
  <c r="K26" i="10"/>
  <c r="U25" i="10"/>
  <c r="T25" i="10"/>
  <c r="S25" i="10"/>
  <c r="R25" i="10"/>
  <c r="Q25" i="10"/>
  <c r="O25" i="10"/>
  <c r="N25" i="10"/>
  <c r="M25" i="10"/>
  <c r="L25" i="10"/>
  <c r="K25" i="10"/>
  <c r="I25" i="10"/>
  <c r="H25" i="10"/>
  <c r="G25" i="10"/>
  <c r="F25" i="10"/>
  <c r="E25" i="10"/>
  <c r="S24" i="10"/>
  <c r="R24" i="10"/>
  <c r="Q24" i="10"/>
  <c r="O24" i="10"/>
  <c r="N24" i="10"/>
  <c r="M24" i="10"/>
  <c r="L24" i="10"/>
  <c r="M42" i="10" s="1"/>
  <c r="K24" i="10"/>
  <c r="I24" i="10"/>
  <c r="H24" i="10"/>
  <c r="G24" i="10"/>
  <c r="F24" i="10"/>
  <c r="E24" i="10"/>
  <c r="S23" i="10"/>
  <c r="R23" i="10"/>
  <c r="Q23" i="10"/>
  <c r="M23" i="10"/>
  <c r="L23" i="10"/>
  <c r="K23" i="10"/>
  <c r="G23" i="10"/>
  <c r="F23" i="10"/>
  <c r="E23" i="10"/>
  <c r="P22" i="10"/>
  <c r="P44" i="10" s="1"/>
  <c r="J22" i="10"/>
  <c r="L22" i="10" s="1"/>
  <c r="D22" i="10"/>
  <c r="D44" i="10" s="1"/>
  <c r="R21" i="10"/>
  <c r="L21" i="10"/>
  <c r="F21" i="10"/>
  <c r="S20" i="10"/>
  <c r="R20" i="10"/>
  <c r="Q20" i="10"/>
  <c r="L20" i="10"/>
  <c r="K20" i="10"/>
  <c r="G20" i="10"/>
  <c r="F20" i="10"/>
  <c r="E20" i="10"/>
  <c r="S19" i="10"/>
  <c r="R19" i="10"/>
  <c r="R43" i="10" s="1"/>
  <c r="Q19" i="10"/>
  <c r="L19" i="10"/>
  <c r="L43" i="10" s="1"/>
  <c r="K19" i="10"/>
  <c r="G19" i="10"/>
  <c r="F19" i="10"/>
  <c r="F43" i="10" s="1"/>
  <c r="E19" i="10"/>
  <c r="U18" i="10"/>
  <c r="Q18" i="10"/>
  <c r="O18" i="10"/>
  <c r="I18" i="10"/>
  <c r="E18" i="10"/>
  <c r="T17" i="10"/>
  <c r="U17" i="10" s="1"/>
  <c r="R17" i="10"/>
  <c r="S17" i="10" s="1"/>
  <c r="Q17" i="10"/>
  <c r="N17" i="10"/>
  <c r="O17" i="10" s="1"/>
  <c r="H17" i="10"/>
  <c r="I17" i="10" s="1"/>
  <c r="T16" i="10"/>
  <c r="U16" i="10" s="1"/>
  <c r="R16" i="10"/>
  <c r="S16" i="10" s="1"/>
  <c r="Q16" i="10"/>
  <c r="N16" i="10"/>
  <c r="O16" i="10" s="1"/>
  <c r="H16" i="10"/>
  <c r="I16" i="10" s="1"/>
  <c r="U15" i="10"/>
  <c r="T15" i="10"/>
  <c r="S15" i="10"/>
  <c r="R15" i="10"/>
  <c r="Q15" i="10"/>
  <c r="O15" i="10"/>
  <c r="N15" i="10"/>
  <c r="I15" i="10"/>
  <c r="H15" i="10"/>
  <c r="G15" i="10"/>
  <c r="F15" i="10"/>
  <c r="E15" i="10"/>
  <c r="U14" i="10"/>
  <c r="T14" i="10"/>
  <c r="S14" i="10"/>
  <c r="S13" i="10" s="1"/>
  <c r="R14" i="10"/>
  <c r="Q14" i="10"/>
  <c r="O14" i="10"/>
  <c r="N14" i="10"/>
  <c r="I14" i="10"/>
  <c r="H14" i="10"/>
  <c r="G14" i="10"/>
  <c r="G13" i="10" s="1"/>
  <c r="F14" i="10"/>
  <c r="E14" i="10"/>
  <c r="E13" i="10" s="1"/>
  <c r="Q13" i="10"/>
  <c r="P13" i="10"/>
  <c r="D13" i="10"/>
  <c r="N12" i="10"/>
  <c r="H12" i="10"/>
  <c r="H37" i="10" s="1"/>
  <c r="C12" i="10"/>
  <c r="R11" i="10"/>
  <c r="N11" i="10"/>
  <c r="H11" i="10"/>
  <c r="F11" i="10"/>
  <c r="R10" i="10"/>
  <c r="N10" i="10"/>
  <c r="H10" i="10"/>
  <c r="F10" i="10"/>
  <c r="R9" i="10"/>
  <c r="N9" i="10"/>
  <c r="F9" i="10"/>
  <c r="T8" i="10"/>
  <c r="T32" i="10" s="1"/>
  <c r="R8" i="10"/>
  <c r="N8" i="10"/>
  <c r="L8" i="10"/>
  <c r="F8" i="10"/>
  <c r="F32" i="10" s="1"/>
  <c r="T7" i="10"/>
  <c r="U43" i="10" s="1"/>
  <c r="R7" i="10"/>
  <c r="N7" i="10"/>
  <c r="O34" i="10" s="1"/>
  <c r="O58" i="10" s="1"/>
  <c r="O59" i="10" s="1"/>
  <c r="L7" i="10"/>
  <c r="M43" i="10" s="1"/>
  <c r="F7" i="10"/>
  <c r="G43" i="10" s="1"/>
  <c r="S6" i="10"/>
  <c r="Q6" i="10"/>
  <c r="P6" i="10"/>
  <c r="M6" i="10"/>
  <c r="K6" i="10"/>
  <c r="J6" i="10"/>
  <c r="G6" i="10"/>
  <c r="E6" i="10"/>
  <c r="D6" i="10"/>
  <c r="R5" i="10"/>
  <c r="L5" i="10"/>
  <c r="F5" i="10"/>
  <c r="C5" i="10"/>
  <c r="R4" i="10"/>
  <c r="R56" i="10" s="1"/>
  <c r="L4" i="10"/>
  <c r="F4" i="10"/>
  <c r="C4" i="10"/>
  <c r="C64" i="44"/>
  <c r="C62" i="44"/>
  <c r="C59" i="44"/>
  <c r="C55" i="44"/>
  <c r="C44" i="44"/>
  <c r="C52" i="44" s="1"/>
  <c r="K35" i="44"/>
  <c r="K34" i="44"/>
  <c r="K33" i="44"/>
  <c r="K32" i="44"/>
  <c r="K31" i="44"/>
  <c r="C31" i="44"/>
  <c r="K30" i="44"/>
  <c r="K29" i="44"/>
  <c r="K28" i="44"/>
  <c r="K27" i="44"/>
  <c r="K26" i="44"/>
  <c r="H20" i="44"/>
  <c r="G20" i="44"/>
  <c r="E20" i="44"/>
  <c r="H19" i="44"/>
  <c r="G19" i="44"/>
  <c r="E19" i="44"/>
  <c r="H18" i="44"/>
  <c r="G18" i="44"/>
  <c r="E18" i="44"/>
  <c r="H17" i="44"/>
  <c r="H16" i="44"/>
  <c r="H15" i="44"/>
  <c r="G15" i="44"/>
  <c r="E15" i="44"/>
  <c r="H14" i="44"/>
  <c r="G14" i="44"/>
  <c r="E14" i="44"/>
  <c r="H13" i="44"/>
  <c r="G13" i="44"/>
  <c r="E13" i="44"/>
  <c r="H12" i="44"/>
  <c r="G12" i="44"/>
  <c r="E12" i="44"/>
  <c r="H11" i="44"/>
  <c r="G11" i="44"/>
  <c r="E11" i="44"/>
  <c r="H10" i="44"/>
  <c r="G10" i="44"/>
  <c r="E10" i="44"/>
  <c r="G9" i="44"/>
  <c r="E9" i="44"/>
  <c r="G8" i="44"/>
  <c r="E8" i="44"/>
  <c r="G7" i="44"/>
  <c r="E7" i="44"/>
  <c r="B51" i="6"/>
  <c r="B52" i="6" s="1"/>
  <c r="B53" i="6" s="1"/>
  <c r="B54" i="6" s="1"/>
  <c r="B55" i="6" s="1"/>
  <c r="B56" i="6" s="1"/>
  <c r="B57" i="6" s="1"/>
  <c r="B58" i="6" s="1"/>
  <c r="B59" i="6" s="1"/>
  <c r="B60" i="6" s="1"/>
  <c r="B61" i="6" s="1"/>
  <c r="B62" i="6" s="1"/>
  <c r="B63" i="6" s="1"/>
  <c r="B64" i="6" s="1"/>
  <c r="B65" i="6" s="1"/>
  <c r="B66" i="6" s="1"/>
  <c r="B67" i="6" s="1"/>
  <c r="B68" i="6" s="1"/>
  <c r="B69" i="6" s="1"/>
  <c r="B70" i="6" s="1"/>
  <c r="B71" i="6" s="1"/>
  <c r="B72" i="6" s="1"/>
  <c r="B73" i="6" s="1"/>
  <c r="B74" i="6" s="1"/>
  <c r="B75" i="6" s="1"/>
  <c r="B76" i="6" s="1"/>
  <c r="B77" i="6" s="1"/>
  <c r="B78" i="6" s="1"/>
  <c r="B79" i="6" s="1"/>
  <c r="B80" i="6" s="1"/>
  <c r="B81" i="6" s="1"/>
  <c r="B82" i="6" s="1"/>
  <c r="B83" i="6" s="1"/>
  <c r="B84" i="6" s="1"/>
  <c r="B85" i="6" s="1"/>
  <c r="B86" i="6" s="1"/>
  <c r="B87" i="6" s="1"/>
  <c r="B88" i="6" s="1"/>
  <c r="B89" i="6" s="1"/>
  <c r="B90" i="6" s="1"/>
  <c r="B91" i="6" s="1"/>
  <c r="B92" i="6" s="1"/>
  <c r="B93" i="6" s="1"/>
  <c r="B94" i="6" s="1"/>
  <c r="X49" i="6"/>
  <c r="K44" i="6"/>
  <c r="H40" i="6"/>
  <c r="B22" i="6" s="1"/>
  <c r="Y39" i="6"/>
  <c r="Z39" i="6" s="1"/>
  <c r="X39" i="6"/>
  <c r="G39" i="6"/>
  <c r="H39" i="6" s="1"/>
  <c r="F39" i="6"/>
  <c r="Y38" i="6"/>
  <c r="Z38" i="6" s="1"/>
  <c r="X38" i="6"/>
  <c r="G38" i="6"/>
  <c r="H38" i="6" s="1"/>
  <c r="F38" i="6"/>
  <c r="Y37" i="6"/>
  <c r="Z37" i="6" s="1"/>
  <c r="X37" i="6"/>
  <c r="G37" i="6"/>
  <c r="H37" i="6" s="1"/>
  <c r="F37" i="6"/>
  <c r="Y36" i="6"/>
  <c r="Z36" i="6" s="1"/>
  <c r="X36" i="6"/>
  <c r="G36" i="6"/>
  <c r="H36" i="6" s="1"/>
  <c r="F36" i="6"/>
  <c r="Y35" i="6"/>
  <c r="Z35" i="6" s="1"/>
  <c r="X35" i="6"/>
  <c r="H35" i="6"/>
  <c r="G35" i="6"/>
  <c r="F35" i="6"/>
  <c r="G34" i="6"/>
  <c r="H34" i="6" s="1"/>
  <c r="F34" i="6"/>
  <c r="G33" i="6"/>
  <c r="H33" i="6" s="1"/>
  <c r="F33" i="6"/>
  <c r="H32" i="6"/>
  <c r="G32" i="6"/>
  <c r="F32" i="6"/>
  <c r="G31" i="6"/>
  <c r="H31" i="6" s="1"/>
  <c r="F31" i="6"/>
  <c r="G30" i="6"/>
  <c r="H30" i="6" s="1"/>
  <c r="F30" i="6"/>
  <c r="T28" i="6"/>
  <c r="S26" i="6"/>
  <c r="Y24" i="6"/>
  <c r="Z40" i="6" s="1"/>
  <c r="S27" i="6" s="1"/>
  <c r="K23" i="6"/>
  <c r="B23" i="6"/>
  <c r="H22" i="6"/>
  <c r="R21" i="6"/>
  <c r="P19" i="6"/>
  <c r="H19" i="6"/>
  <c r="S18" i="6"/>
  <c r="O18" i="6"/>
  <c r="P18" i="6" s="1"/>
  <c r="N18" i="6"/>
  <c r="O17" i="6"/>
  <c r="P17" i="6" s="1"/>
  <c r="N17" i="6"/>
  <c r="O16" i="6"/>
  <c r="P16" i="6" s="1"/>
  <c r="N16" i="6"/>
  <c r="O15" i="6"/>
  <c r="P15" i="6" s="1"/>
  <c r="N15" i="6"/>
  <c r="AR14" i="6"/>
  <c r="Z14" i="6"/>
  <c r="N39" i="6" s="1"/>
  <c r="F105" i="6" s="1"/>
  <c r="O14" i="6"/>
  <c r="P14" i="6" s="1"/>
  <c r="N14" i="6"/>
  <c r="Y13" i="6"/>
  <c r="Z13" i="6" s="1"/>
  <c r="X13" i="6"/>
  <c r="O13" i="6"/>
  <c r="P13" i="6" s="1"/>
  <c r="N13" i="6"/>
  <c r="Y12" i="6"/>
  <c r="Z12" i="6" s="1"/>
  <c r="X12" i="6"/>
  <c r="P12" i="6"/>
  <c r="O12" i="6"/>
  <c r="N12" i="6"/>
  <c r="AR11" i="6"/>
  <c r="Y11" i="6"/>
  <c r="Z11" i="6" s="1"/>
  <c r="X11" i="6"/>
  <c r="O11" i="6"/>
  <c r="P11" i="6" s="1"/>
  <c r="N11" i="6"/>
  <c r="AR10" i="6"/>
  <c r="Y10" i="6"/>
  <c r="Z10" i="6" s="1"/>
  <c r="X10" i="6"/>
  <c r="O10" i="6"/>
  <c r="P10" i="6" s="1"/>
  <c r="N10" i="6"/>
  <c r="H10" i="6"/>
  <c r="L4" i="7" s="1"/>
  <c r="M1" i="7" s="1"/>
  <c r="AR9" i="6"/>
  <c r="Y9" i="6"/>
  <c r="Z9" i="6" s="1"/>
  <c r="X9" i="6"/>
  <c r="O9" i="6"/>
  <c r="P9" i="6" s="1"/>
  <c r="N9" i="6"/>
  <c r="AR8" i="6"/>
  <c r="AR4" i="6"/>
  <c r="AR3" i="6"/>
  <c r="AL3" i="6"/>
  <c r="AD3" i="6"/>
  <c r="AD4" i="6" s="1"/>
  <c r="AD5" i="6" s="1"/>
  <c r="AD6" i="6" s="1"/>
  <c r="AD7" i="6" s="1"/>
  <c r="AD8" i="6" s="1"/>
  <c r="AD9" i="6" s="1"/>
  <c r="AD10" i="6" s="1"/>
  <c r="AD11" i="6" s="1"/>
  <c r="AD12" i="6" s="1"/>
  <c r="AD13" i="6" s="1"/>
  <c r="AD14" i="6" s="1"/>
  <c r="AD15" i="6" s="1"/>
  <c r="AD16" i="6" s="1"/>
  <c r="AD17" i="6" s="1"/>
  <c r="AD18" i="6" s="1"/>
  <c r="AD19" i="6" s="1"/>
  <c r="AD20" i="6" s="1"/>
  <c r="AD21" i="6" s="1"/>
  <c r="AD22" i="6" s="1"/>
  <c r="AD23" i="6" s="1"/>
  <c r="AD24" i="6" s="1"/>
  <c r="AD25" i="6" s="1"/>
  <c r="AD26" i="6" s="1"/>
  <c r="AD27" i="6" s="1"/>
  <c r="AD28" i="6" s="1"/>
  <c r="AD29" i="6" s="1"/>
  <c r="AD30" i="6" s="1"/>
  <c r="AD31" i="6" s="1"/>
  <c r="AD32" i="6" s="1"/>
  <c r="AD33" i="6" s="1"/>
  <c r="AD34" i="6" s="1"/>
  <c r="AD35" i="6" s="1"/>
  <c r="AD36" i="6" s="1"/>
  <c r="AD37" i="6" s="1"/>
  <c r="AD38" i="6" s="1"/>
  <c r="AD39" i="6" s="1"/>
  <c r="AD40" i="6" s="1"/>
  <c r="AD41" i="6" s="1"/>
  <c r="AD42" i="6" s="1"/>
  <c r="AD43" i="6" s="1"/>
  <c r="AD44" i="6" s="1"/>
  <c r="AD45" i="6" s="1"/>
  <c r="AD46" i="6" s="1"/>
  <c r="AD47" i="6" s="1"/>
  <c r="AD48" i="6" s="1"/>
  <c r="AD49" i="6" s="1"/>
  <c r="AD50" i="6" s="1"/>
  <c r="AD51" i="6" s="1"/>
  <c r="AD52" i="6" s="1"/>
  <c r="AD53" i="6" s="1"/>
  <c r="AD54" i="6" s="1"/>
  <c r="AD55" i="6" s="1"/>
  <c r="AD56" i="6" s="1"/>
  <c r="AD57" i="6" s="1"/>
  <c r="AD58" i="6" s="1"/>
  <c r="AD59" i="6" s="1"/>
  <c r="AD60" i="6" s="1"/>
  <c r="AD61" i="6" s="1"/>
  <c r="AD62" i="6" s="1"/>
  <c r="AD63" i="6" s="1"/>
  <c r="AD64" i="6" s="1"/>
  <c r="AD65" i="6" s="1"/>
  <c r="AD66" i="6" s="1"/>
  <c r="AD67" i="6" s="1"/>
  <c r="AD68" i="6" s="1"/>
  <c r="AD69" i="6" s="1"/>
  <c r="AD70" i="6" s="1"/>
  <c r="AD71" i="6" s="1"/>
  <c r="AD72" i="6" s="1"/>
  <c r="AD73" i="6" s="1"/>
  <c r="AD74" i="6" s="1"/>
  <c r="AD75" i="6" s="1"/>
  <c r="AD76" i="6" s="1"/>
  <c r="AD77" i="6" s="1"/>
  <c r="AD78" i="6" s="1"/>
  <c r="AD79" i="6" s="1"/>
  <c r="AD80" i="6" s="1"/>
  <c r="AD81" i="6" s="1"/>
  <c r="AD82" i="6" s="1"/>
  <c r="AD83" i="6" s="1"/>
  <c r="AD84" i="6" s="1"/>
  <c r="AD85" i="6" s="1"/>
  <c r="AD86" i="6" s="1"/>
  <c r="AD87" i="6" s="1"/>
  <c r="AD88" i="6" s="1"/>
  <c r="AD89" i="6" s="1"/>
  <c r="AD90" i="6" s="1"/>
  <c r="AD91" i="6" s="1"/>
  <c r="AD92" i="6" s="1"/>
  <c r="AD93" i="6" s="1"/>
  <c r="AD94" i="6" s="1"/>
  <c r="AD95" i="6" s="1"/>
  <c r="AD96" i="6" s="1"/>
  <c r="AD97" i="6" s="1"/>
  <c r="AD98" i="6" s="1"/>
  <c r="AD99" i="6" s="1"/>
  <c r="AD100" i="6" s="1"/>
  <c r="AD101" i="6" s="1"/>
  <c r="AD102" i="6" s="1"/>
  <c r="AD103" i="6" s="1"/>
  <c r="AD104" i="6" s="1"/>
  <c r="AD105" i="6" s="1"/>
  <c r="AD106" i="6" s="1"/>
  <c r="AD107" i="6" s="1"/>
  <c r="AD108" i="6" s="1"/>
  <c r="AD109" i="6" s="1"/>
  <c r="AD110" i="6" s="1"/>
  <c r="AD111" i="6" s="1"/>
  <c r="AD112" i="6" s="1"/>
  <c r="AD113" i="6" s="1"/>
  <c r="AD114" i="6" s="1"/>
  <c r="AD115" i="6" s="1"/>
  <c r="AD116" i="6" s="1"/>
  <c r="AD117" i="6" s="1"/>
  <c r="AD118" i="6" s="1"/>
  <c r="AD119" i="6" s="1"/>
  <c r="AD120" i="6" s="1"/>
  <c r="AD121" i="6" s="1"/>
  <c r="AD122" i="6" s="1"/>
  <c r="AD123" i="6" s="1"/>
  <c r="AD124" i="6" s="1"/>
  <c r="AD125" i="6" s="1"/>
  <c r="AD126" i="6" s="1"/>
  <c r="AD127" i="6" s="1"/>
  <c r="AD128" i="6" s="1"/>
  <c r="AD129" i="6" s="1"/>
  <c r="AD130" i="6" s="1"/>
  <c r="AD131" i="6" s="1"/>
  <c r="AD132" i="6" s="1"/>
  <c r="AD133" i="6" s="1"/>
  <c r="AD134" i="6" s="1"/>
  <c r="AD135" i="6" s="1"/>
  <c r="AD136" i="6" s="1"/>
  <c r="AD137" i="6" s="1"/>
  <c r="AD138" i="6" s="1"/>
  <c r="AD139" i="6" s="1"/>
  <c r="AD140" i="6" s="1"/>
  <c r="AD141" i="6" s="1"/>
  <c r="AD142" i="6" s="1"/>
  <c r="AD143" i="6" s="1"/>
  <c r="AD144" i="6" s="1"/>
  <c r="AD145" i="6" s="1"/>
  <c r="AD146" i="6" s="1"/>
  <c r="AD147" i="6" s="1"/>
  <c r="AD148" i="6" s="1"/>
  <c r="AD149" i="6" s="1"/>
  <c r="AD150" i="6" s="1"/>
  <c r="AD151" i="6" s="1"/>
  <c r="AD152" i="6" s="1"/>
  <c r="AD153" i="6" s="1"/>
  <c r="AD154" i="6" s="1"/>
  <c r="AD155" i="6" s="1"/>
  <c r="AD156" i="6" s="1"/>
  <c r="AD157" i="6" s="1"/>
  <c r="AD158" i="6" s="1"/>
  <c r="AD159" i="6" s="1"/>
  <c r="AD160" i="6" s="1"/>
  <c r="AD161" i="6" s="1"/>
  <c r="AD162" i="6" s="1"/>
  <c r="AD163" i="6" s="1"/>
  <c r="AD164" i="6" s="1"/>
  <c r="AD165" i="6" s="1"/>
  <c r="AD166" i="6" s="1"/>
  <c r="AD167" i="6" s="1"/>
  <c r="AD168" i="6" s="1"/>
  <c r="AD169" i="6" s="1"/>
  <c r="AD170" i="6" s="1"/>
  <c r="AD171" i="6" s="1"/>
  <c r="AD172" i="6" s="1"/>
  <c r="AD173" i="6" s="1"/>
  <c r="AD174" i="6" s="1"/>
  <c r="AD175" i="6" s="1"/>
  <c r="AD176" i="6" s="1"/>
  <c r="AD177" i="6" s="1"/>
  <c r="AD178" i="6" s="1"/>
  <c r="AD179" i="6" s="1"/>
  <c r="AD180" i="6" s="1"/>
  <c r="AD181" i="6" s="1"/>
  <c r="AD182" i="6" s="1"/>
  <c r="AD183" i="6" s="1"/>
  <c r="AD184" i="6" s="1"/>
  <c r="AD185" i="6" s="1"/>
  <c r="AD186" i="6" s="1"/>
  <c r="AD187" i="6" s="1"/>
  <c r="AD188" i="6" s="1"/>
  <c r="AD189" i="6" s="1"/>
  <c r="AD190" i="6" s="1"/>
  <c r="AD191" i="6" s="1"/>
  <c r="AD192" i="6" s="1"/>
  <c r="AD193" i="6" s="1"/>
  <c r="AD194" i="6" s="1"/>
  <c r="AD195" i="6" s="1"/>
  <c r="AD196" i="6" s="1"/>
  <c r="AD197" i="6" s="1"/>
  <c r="AD198" i="6" s="1"/>
  <c r="AD199" i="6" s="1"/>
  <c r="AD200" i="6" s="1"/>
  <c r="AD201" i="6" s="1"/>
  <c r="AD202" i="6" s="1"/>
  <c r="AD203" i="6" s="1"/>
  <c r="AD204" i="6" s="1"/>
  <c r="AD205" i="6" s="1"/>
  <c r="AD206" i="6" s="1"/>
  <c r="AD207" i="6" s="1"/>
  <c r="AD208" i="6" s="1"/>
  <c r="AD209" i="6" s="1"/>
  <c r="AD210" i="6" s="1"/>
  <c r="AD211" i="6" s="1"/>
  <c r="AD212" i="6" s="1"/>
  <c r="AD213" i="6" s="1"/>
  <c r="AD214" i="6" s="1"/>
  <c r="AD215" i="6" s="1"/>
  <c r="AD216" i="6" s="1"/>
  <c r="AD217" i="6" s="1"/>
  <c r="AD218" i="6" s="1"/>
  <c r="AD219" i="6" s="1"/>
  <c r="AD220" i="6" s="1"/>
  <c r="AD221" i="6" s="1"/>
  <c r="AD222" i="6" s="1"/>
  <c r="AD223" i="6" s="1"/>
  <c r="AD224" i="6" s="1"/>
  <c r="AD225" i="6" s="1"/>
  <c r="AD226" i="6" s="1"/>
  <c r="AD227" i="6" s="1"/>
  <c r="AD228" i="6" s="1"/>
  <c r="AD229" i="6" s="1"/>
  <c r="AD230" i="6" s="1"/>
  <c r="AD231" i="6" s="1"/>
  <c r="AD232" i="6" s="1"/>
  <c r="AD233" i="6" s="1"/>
  <c r="AD234" i="6" s="1"/>
  <c r="AD235" i="6" s="1"/>
  <c r="AD236" i="6" s="1"/>
  <c r="AD237" i="6" s="1"/>
  <c r="AD238" i="6" s="1"/>
  <c r="AD239" i="6" s="1"/>
  <c r="AD240" i="6" s="1"/>
  <c r="AD241" i="6" s="1"/>
  <c r="AD242" i="6" s="1"/>
  <c r="AD243" i="6" s="1"/>
  <c r="AD244" i="6" s="1"/>
  <c r="AD245" i="6" s="1"/>
  <c r="AD246" i="6" s="1"/>
  <c r="AD247" i="6" s="1"/>
  <c r="AD248" i="6" s="1"/>
  <c r="AD249" i="6" s="1"/>
  <c r="AD250" i="6" s="1"/>
  <c r="AD251" i="6" s="1"/>
  <c r="AD252" i="6" s="1"/>
  <c r="AD253" i="6" s="1"/>
  <c r="AD254" i="6" s="1"/>
  <c r="AD255" i="6" s="1"/>
  <c r="AD256" i="6" s="1"/>
  <c r="AD257" i="6" s="1"/>
  <c r="AD258" i="6" s="1"/>
  <c r="AD259" i="6" s="1"/>
  <c r="AD260" i="6" s="1"/>
  <c r="AD261" i="6" s="1"/>
  <c r="AD262" i="6" s="1"/>
  <c r="AD263" i="6" s="1"/>
  <c r="AD264" i="6" s="1"/>
  <c r="AD265" i="6" s="1"/>
  <c r="AD266" i="6" s="1"/>
  <c r="AD267" i="6" s="1"/>
  <c r="AD268" i="6" s="1"/>
  <c r="AD269" i="6" s="1"/>
  <c r="AD270" i="6" s="1"/>
  <c r="AD271" i="6" s="1"/>
  <c r="AD272" i="6" s="1"/>
  <c r="AD273" i="6" s="1"/>
  <c r="AD274" i="6" s="1"/>
  <c r="AD275" i="6" s="1"/>
  <c r="AD276" i="6" s="1"/>
  <c r="AD277" i="6" s="1"/>
  <c r="AD278" i="6" s="1"/>
  <c r="AD279" i="6" s="1"/>
  <c r="AD280" i="6" s="1"/>
  <c r="AD281" i="6" s="1"/>
  <c r="AD282" i="6" s="1"/>
  <c r="AD283" i="6" s="1"/>
  <c r="AD284" i="6" s="1"/>
  <c r="AD285" i="6" s="1"/>
  <c r="AD286" i="6" s="1"/>
  <c r="AD287" i="6" s="1"/>
  <c r="AD288" i="6" s="1"/>
  <c r="AD289" i="6" s="1"/>
  <c r="AD290" i="6" s="1"/>
  <c r="AD291" i="6" s="1"/>
  <c r="AD292" i="6" s="1"/>
  <c r="AD293" i="6" s="1"/>
  <c r="AD294" i="6" s="1"/>
  <c r="AD295" i="6" s="1"/>
  <c r="AD296" i="6" s="1"/>
  <c r="AD297" i="6" s="1"/>
  <c r="AD298" i="6" s="1"/>
  <c r="AD299" i="6" s="1"/>
  <c r="AD300" i="6" s="1"/>
  <c r="AD301" i="6" s="1"/>
  <c r="AD302" i="6" s="1"/>
  <c r="AD303" i="6" s="1"/>
  <c r="AD304" i="6" s="1"/>
  <c r="AD305" i="6" s="1"/>
  <c r="AD306" i="6" s="1"/>
  <c r="AD307" i="6" s="1"/>
  <c r="AD308" i="6" s="1"/>
  <c r="AD309" i="6" s="1"/>
  <c r="AD310" i="6" s="1"/>
  <c r="AD311" i="6" s="1"/>
  <c r="AD312" i="6" s="1"/>
  <c r="AD313" i="6" s="1"/>
  <c r="AD314" i="6" s="1"/>
  <c r="AD315" i="6" s="1"/>
  <c r="AD316" i="6" s="1"/>
  <c r="AD317" i="6" s="1"/>
  <c r="AD318" i="6" s="1"/>
  <c r="AD319" i="6" s="1"/>
  <c r="AD320" i="6" s="1"/>
  <c r="AD321" i="6" s="1"/>
  <c r="AD322" i="6" s="1"/>
  <c r="AD323" i="6" s="1"/>
  <c r="AD324" i="6" s="1"/>
  <c r="AD325" i="6" s="1"/>
  <c r="AD326" i="6" s="1"/>
  <c r="AD327" i="6" s="1"/>
  <c r="AD328" i="6" s="1"/>
  <c r="AD329" i="6" s="1"/>
  <c r="AD330" i="6" s="1"/>
  <c r="AD331" i="6" s="1"/>
  <c r="AD332" i="6" s="1"/>
  <c r="AD333" i="6" s="1"/>
  <c r="AD334" i="6" s="1"/>
  <c r="AD335" i="6" s="1"/>
  <c r="AD336" i="6" s="1"/>
  <c r="AD337" i="6" s="1"/>
  <c r="AD338" i="6" s="1"/>
  <c r="AD339" i="6" s="1"/>
  <c r="AD340" i="6" s="1"/>
  <c r="AD341" i="6" s="1"/>
  <c r="AD342" i="6" s="1"/>
  <c r="AD343" i="6" s="1"/>
  <c r="AD344" i="6" s="1"/>
  <c r="AD345" i="6" s="1"/>
  <c r="AD346" i="6" s="1"/>
  <c r="AD347" i="6" s="1"/>
  <c r="AD348" i="6" s="1"/>
  <c r="AD349" i="6" s="1"/>
  <c r="AD350" i="6" s="1"/>
  <c r="AD351" i="6" s="1"/>
  <c r="AD352" i="6" s="1"/>
  <c r="AD353" i="6" s="1"/>
  <c r="AD354" i="6" s="1"/>
  <c r="AD355" i="6" s="1"/>
  <c r="AD356" i="6" s="1"/>
  <c r="AD357" i="6" s="1"/>
  <c r="AD358" i="6" s="1"/>
  <c r="AD359" i="6" s="1"/>
  <c r="AD360" i="6" s="1"/>
  <c r="AD361" i="6" s="1"/>
  <c r="AD362" i="6" s="1"/>
  <c r="AD363" i="6" s="1"/>
  <c r="AD364" i="6" s="1"/>
  <c r="AD365" i="6" s="1"/>
  <c r="AD366" i="6" s="1"/>
  <c r="AD367" i="6" s="1"/>
  <c r="AD368" i="6" s="1"/>
  <c r="AD369" i="6" s="1"/>
  <c r="AD370" i="6" s="1"/>
  <c r="AD371" i="6" s="1"/>
  <c r="AD372" i="6" s="1"/>
  <c r="AD373" i="6" s="1"/>
  <c r="AD374" i="6" s="1"/>
  <c r="AD375" i="6" s="1"/>
  <c r="AD376" i="6" s="1"/>
  <c r="AD377" i="6" s="1"/>
  <c r="AD378" i="6" s="1"/>
  <c r="AD379" i="6" s="1"/>
  <c r="AD380" i="6" s="1"/>
  <c r="AD381" i="6" s="1"/>
  <c r="AD382" i="6" s="1"/>
  <c r="AD383" i="6" s="1"/>
  <c r="AD384" i="6" s="1"/>
  <c r="AD385" i="6" s="1"/>
  <c r="AD386" i="6" s="1"/>
  <c r="AD387" i="6" s="1"/>
  <c r="AD388" i="6" s="1"/>
  <c r="AD389" i="6" s="1"/>
  <c r="AD390" i="6" s="1"/>
  <c r="AD391" i="6" s="1"/>
  <c r="AD392" i="6" s="1"/>
  <c r="AD393" i="6" s="1"/>
  <c r="AD394" i="6" s="1"/>
  <c r="AD395" i="6" s="1"/>
  <c r="AD396" i="6" s="1"/>
  <c r="AD397" i="6" s="1"/>
  <c r="AD398" i="6" s="1"/>
  <c r="AD399" i="6" s="1"/>
  <c r="AD400" i="6" s="1"/>
  <c r="AD401" i="6" s="1"/>
  <c r="AD402" i="6" s="1"/>
  <c r="AD403" i="6" s="1"/>
  <c r="AD404" i="6" s="1"/>
  <c r="AD405" i="6" s="1"/>
  <c r="AD406" i="6" s="1"/>
  <c r="AD407" i="6" s="1"/>
  <c r="AD408" i="6" s="1"/>
  <c r="AD409" i="6" s="1"/>
  <c r="AD410" i="6" s="1"/>
  <c r="AD411" i="6" s="1"/>
  <c r="AD412" i="6" s="1"/>
  <c r="AD413" i="6" s="1"/>
  <c r="AD414" i="6" s="1"/>
  <c r="AD415" i="6" s="1"/>
  <c r="AD416" i="6" s="1"/>
  <c r="AD417" i="6" s="1"/>
  <c r="AD418" i="6" s="1"/>
  <c r="AD419" i="6" s="1"/>
  <c r="AD420" i="6" s="1"/>
  <c r="AD421" i="6" s="1"/>
  <c r="AD422" i="6" s="1"/>
  <c r="AD423" i="6" s="1"/>
  <c r="AD424" i="6" s="1"/>
  <c r="AD425" i="6" s="1"/>
  <c r="AD426" i="6" s="1"/>
  <c r="AD427" i="6" s="1"/>
  <c r="AD428" i="6" s="1"/>
  <c r="AD429" i="6" s="1"/>
  <c r="AD430" i="6" s="1"/>
  <c r="AD431" i="6" s="1"/>
  <c r="AD432" i="6" s="1"/>
  <c r="AD433" i="6" s="1"/>
  <c r="AD434" i="6" s="1"/>
  <c r="AD435" i="6" s="1"/>
  <c r="AD436" i="6" s="1"/>
  <c r="AD437" i="6" s="1"/>
  <c r="AD438" i="6" s="1"/>
  <c r="AD439" i="6" s="1"/>
  <c r="AD440" i="6" s="1"/>
  <c r="AD441" i="6" s="1"/>
  <c r="AD442" i="6" s="1"/>
  <c r="AD443" i="6" s="1"/>
  <c r="AD444" i="6" s="1"/>
  <c r="AD445" i="6" s="1"/>
  <c r="AD446" i="6" s="1"/>
  <c r="AD447" i="6" s="1"/>
  <c r="AD448" i="6" s="1"/>
  <c r="AD449" i="6" s="1"/>
  <c r="AD450" i="6" s="1"/>
  <c r="AD451" i="6" s="1"/>
  <c r="AD452" i="6" s="1"/>
  <c r="AD453" i="6" s="1"/>
  <c r="AD454" i="6" s="1"/>
  <c r="AD455" i="6" s="1"/>
  <c r="AD456" i="6" s="1"/>
  <c r="AD457" i="6" s="1"/>
  <c r="AD458" i="6" s="1"/>
  <c r="AD459" i="6" s="1"/>
  <c r="AD460" i="6" s="1"/>
  <c r="AD461" i="6" s="1"/>
  <c r="AD462" i="6" s="1"/>
  <c r="AD463" i="6" s="1"/>
  <c r="AD464" i="6" s="1"/>
  <c r="AD465" i="6" s="1"/>
  <c r="AD466" i="6" s="1"/>
  <c r="AD467" i="6" s="1"/>
  <c r="AD468" i="6" s="1"/>
  <c r="AD469" i="6" s="1"/>
  <c r="AD470" i="6" s="1"/>
  <c r="AD471" i="6" s="1"/>
  <c r="AD472" i="6" s="1"/>
  <c r="AD473" i="6" s="1"/>
  <c r="AD474" i="6" s="1"/>
  <c r="AD475" i="6" s="1"/>
  <c r="AD476" i="6" s="1"/>
  <c r="AD477" i="6" s="1"/>
  <c r="AD478" i="6" s="1"/>
  <c r="AD479" i="6" s="1"/>
  <c r="AD480" i="6" s="1"/>
  <c r="AD481" i="6" s="1"/>
  <c r="AD482" i="6" s="1"/>
  <c r="AD483" i="6" s="1"/>
  <c r="AD484" i="6" s="1"/>
  <c r="AD485" i="6" s="1"/>
  <c r="AD486" i="6" s="1"/>
  <c r="AD487" i="6" s="1"/>
  <c r="AD488" i="6" s="1"/>
  <c r="AD489" i="6" s="1"/>
  <c r="AD490" i="6" s="1"/>
  <c r="AD491" i="6" s="1"/>
  <c r="AD492" i="6" s="1"/>
  <c r="AD493" i="6" s="1"/>
  <c r="AD494" i="6" s="1"/>
  <c r="AD495" i="6" s="1"/>
  <c r="AD496" i="6" s="1"/>
  <c r="AD497" i="6" s="1"/>
  <c r="AD498" i="6" s="1"/>
  <c r="AD499" i="6" s="1"/>
  <c r="AD500" i="6" s="1"/>
  <c r="AD501" i="6" s="1"/>
  <c r="AD502" i="6" s="1"/>
  <c r="AD503" i="6" s="1"/>
  <c r="AD504" i="6" s="1"/>
  <c r="AD505" i="6" s="1"/>
  <c r="AD506" i="6" s="1"/>
  <c r="AD507" i="6" s="1"/>
  <c r="AD508" i="6" s="1"/>
  <c r="AD509" i="6" s="1"/>
  <c r="AD510" i="6" s="1"/>
  <c r="AD511" i="6" s="1"/>
  <c r="AD512" i="6" s="1"/>
  <c r="AD513" i="6" s="1"/>
  <c r="AD514" i="6" s="1"/>
  <c r="AD515" i="6" s="1"/>
  <c r="AD516" i="6" s="1"/>
  <c r="AD517" i="6" s="1"/>
  <c r="AD518" i="6" s="1"/>
  <c r="AD519" i="6" s="1"/>
  <c r="AD520" i="6" s="1"/>
  <c r="AD521" i="6" s="1"/>
  <c r="AD522" i="6" s="1"/>
  <c r="AD523" i="6" s="1"/>
  <c r="AD524" i="6" s="1"/>
  <c r="AD525" i="6" s="1"/>
  <c r="AD526" i="6" s="1"/>
  <c r="AD527" i="6" s="1"/>
  <c r="AD528" i="6" s="1"/>
  <c r="AD529" i="6" s="1"/>
  <c r="AD530" i="6" s="1"/>
  <c r="AD531" i="6" s="1"/>
  <c r="AD532" i="6" s="1"/>
  <c r="AD533" i="6" s="1"/>
  <c r="AD534" i="6" s="1"/>
  <c r="AD535" i="6" s="1"/>
  <c r="AD536" i="6" s="1"/>
  <c r="AD537" i="6" s="1"/>
  <c r="AD538" i="6" s="1"/>
  <c r="AD539" i="6" s="1"/>
  <c r="AD540" i="6" s="1"/>
  <c r="AD541" i="6" s="1"/>
  <c r="AD542" i="6" s="1"/>
  <c r="AD543" i="6" s="1"/>
  <c r="AD544" i="6" s="1"/>
  <c r="AD545" i="6" s="1"/>
  <c r="AD546" i="6" s="1"/>
  <c r="AD547" i="6" s="1"/>
  <c r="AD548" i="6" s="1"/>
  <c r="AD549" i="6" s="1"/>
  <c r="AD550" i="6" s="1"/>
  <c r="AD551" i="6" s="1"/>
  <c r="AD552" i="6" s="1"/>
  <c r="AD553" i="6" s="1"/>
  <c r="AD554" i="6" s="1"/>
  <c r="AD555" i="6" s="1"/>
  <c r="AD556" i="6" s="1"/>
  <c r="AD557" i="6" s="1"/>
  <c r="AD558" i="6" s="1"/>
  <c r="AD559" i="6" s="1"/>
  <c r="AD560" i="6" s="1"/>
  <c r="AD561" i="6" s="1"/>
  <c r="AD562" i="6" s="1"/>
  <c r="AD563" i="6" s="1"/>
  <c r="AD564" i="6" s="1"/>
  <c r="AD565" i="6" s="1"/>
  <c r="AD566" i="6" s="1"/>
  <c r="AD567" i="6" s="1"/>
  <c r="AD568" i="6" s="1"/>
  <c r="AD569" i="6" s="1"/>
  <c r="AD570" i="6" s="1"/>
  <c r="AD571" i="6" s="1"/>
  <c r="AD572" i="6" s="1"/>
  <c r="AD573" i="6" s="1"/>
  <c r="AD574" i="6" s="1"/>
  <c r="AD575" i="6" s="1"/>
  <c r="AD576" i="6" s="1"/>
  <c r="AD577" i="6" s="1"/>
  <c r="AD578" i="6" s="1"/>
  <c r="AD579" i="6" s="1"/>
  <c r="AD580" i="6" s="1"/>
  <c r="AD581" i="6" s="1"/>
  <c r="AD582" i="6" s="1"/>
  <c r="AD583" i="6" s="1"/>
  <c r="AD584" i="6" s="1"/>
  <c r="AD585" i="6" s="1"/>
  <c r="AD586" i="6" s="1"/>
  <c r="AD587" i="6" s="1"/>
  <c r="AD588" i="6" s="1"/>
  <c r="AD589" i="6" s="1"/>
  <c r="AD590" i="6" s="1"/>
  <c r="AD591" i="6" s="1"/>
  <c r="AD592" i="6" s="1"/>
  <c r="AD593" i="6" s="1"/>
  <c r="AD594" i="6" s="1"/>
  <c r="AD595" i="6" s="1"/>
  <c r="AD596" i="6" s="1"/>
  <c r="AD597" i="6" s="1"/>
  <c r="AD598" i="6" s="1"/>
  <c r="AD599" i="6" s="1"/>
  <c r="AD600" i="6" s="1"/>
  <c r="AD601" i="6" s="1"/>
  <c r="AD602" i="6" s="1"/>
  <c r="AC3" i="6"/>
  <c r="AC4" i="6" s="1"/>
  <c r="AC5" i="6" s="1"/>
  <c r="AC6" i="6" s="1"/>
  <c r="AC7" i="6" s="1"/>
  <c r="AC8" i="6" s="1"/>
  <c r="AC9" i="6" s="1"/>
  <c r="AC10" i="6" s="1"/>
  <c r="AC11" i="6" s="1"/>
  <c r="AC12" i="6" s="1"/>
  <c r="AC13" i="6" s="1"/>
  <c r="AC14" i="6" s="1"/>
  <c r="AC15" i="6" s="1"/>
  <c r="AC16" i="6" s="1"/>
  <c r="AC17" i="6" s="1"/>
  <c r="AC18" i="6" s="1"/>
  <c r="AC19" i="6" s="1"/>
  <c r="AC20" i="6" s="1"/>
  <c r="AC21" i="6" s="1"/>
  <c r="AC22" i="6" s="1"/>
  <c r="AC23" i="6" s="1"/>
  <c r="AC24" i="6" s="1"/>
  <c r="AC25" i="6" s="1"/>
  <c r="AC26" i="6" s="1"/>
  <c r="AC27" i="6" s="1"/>
  <c r="AC28" i="6" s="1"/>
  <c r="AC29" i="6" s="1"/>
  <c r="AC30" i="6" s="1"/>
  <c r="AC31" i="6" s="1"/>
  <c r="AC32" i="6" s="1"/>
  <c r="AC33" i="6" s="1"/>
  <c r="AC34" i="6" s="1"/>
  <c r="AC35" i="6" s="1"/>
  <c r="AC36" i="6" s="1"/>
  <c r="AC37" i="6" s="1"/>
  <c r="AC38" i="6" s="1"/>
  <c r="AC39" i="6" s="1"/>
  <c r="AC40" i="6" s="1"/>
  <c r="AC41" i="6" s="1"/>
  <c r="AC42" i="6" s="1"/>
  <c r="AC43" i="6" s="1"/>
  <c r="AC44" i="6" s="1"/>
  <c r="AC45" i="6" s="1"/>
  <c r="AC46" i="6" s="1"/>
  <c r="AC47" i="6" s="1"/>
  <c r="AC48" i="6" s="1"/>
  <c r="AC49" i="6" s="1"/>
  <c r="AC50" i="6" s="1"/>
  <c r="AC51" i="6" s="1"/>
  <c r="AC52" i="6" s="1"/>
  <c r="AC53" i="6" s="1"/>
  <c r="AC54" i="6" s="1"/>
  <c r="AC55" i="6" s="1"/>
  <c r="AC56" i="6" s="1"/>
  <c r="AC57" i="6" s="1"/>
  <c r="AC58" i="6" s="1"/>
  <c r="AC59" i="6" s="1"/>
  <c r="AC60" i="6" s="1"/>
  <c r="AC61" i="6" s="1"/>
  <c r="AC62" i="6" s="1"/>
  <c r="AC63" i="6" s="1"/>
  <c r="AC64" i="6" s="1"/>
  <c r="AC65" i="6" s="1"/>
  <c r="AC66" i="6" s="1"/>
  <c r="AC67" i="6" s="1"/>
  <c r="AC68" i="6" s="1"/>
  <c r="AC69" i="6" s="1"/>
  <c r="AC70" i="6" s="1"/>
  <c r="AC71" i="6" s="1"/>
  <c r="AC72" i="6" s="1"/>
  <c r="AC73" i="6" s="1"/>
  <c r="AC74" i="6" s="1"/>
  <c r="AC75" i="6" s="1"/>
  <c r="AC76" i="6" s="1"/>
  <c r="AC77" i="6" s="1"/>
  <c r="AC78" i="6" s="1"/>
  <c r="AC79" i="6" s="1"/>
  <c r="AC80" i="6" s="1"/>
  <c r="AC81" i="6" s="1"/>
  <c r="AC82" i="6" s="1"/>
  <c r="AC83" i="6" s="1"/>
  <c r="AC84" i="6" s="1"/>
  <c r="AC85" i="6" s="1"/>
  <c r="AC86" i="6" s="1"/>
  <c r="AC87" i="6" s="1"/>
  <c r="AC88" i="6" s="1"/>
  <c r="AC89" i="6" s="1"/>
  <c r="AC90" i="6" s="1"/>
  <c r="AC91" i="6" s="1"/>
  <c r="AC92" i="6" s="1"/>
  <c r="AC93" i="6" s="1"/>
  <c r="AC94" i="6" s="1"/>
  <c r="AC95" i="6" s="1"/>
  <c r="AC96" i="6" s="1"/>
  <c r="AC97" i="6" s="1"/>
  <c r="AC98" i="6" s="1"/>
  <c r="AC99" i="6" s="1"/>
  <c r="AC100" i="6" s="1"/>
  <c r="AC101" i="6" s="1"/>
  <c r="AC102" i="6" s="1"/>
  <c r="AC103" i="6" s="1"/>
  <c r="AC104" i="6" s="1"/>
  <c r="AC105" i="6" s="1"/>
  <c r="AC106" i="6" s="1"/>
  <c r="AC107" i="6" s="1"/>
  <c r="AC108" i="6" s="1"/>
  <c r="AC109" i="6" s="1"/>
  <c r="AC110" i="6" s="1"/>
  <c r="AC111" i="6" s="1"/>
  <c r="AC112" i="6" s="1"/>
  <c r="AC113" i="6" s="1"/>
  <c r="AC114" i="6" s="1"/>
  <c r="AC115" i="6" s="1"/>
  <c r="AC116" i="6" s="1"/>
  <c r="AC117" i="6" s="1"/>
  <c r="AC118" i="6" s="1"/>
  <c r="AC119" i="6" s="1"/>
  <c r="AC120" i="6" s="1"/>
  <c r="AC121" i="6" s="1"/>
  <c r="AC122" i="6" s="1"/>
  <c r="AC123" i="6" s="1"/>
  <c r="AC124" i="6" s="1"/>
  <c r="AC125" i="6" s="1"/>
  <c r="AC126" i="6" s="1"/>
  <c r="AC127" i="6" s="1"/>
  <c r="AC128" i="6" s="1"/>
  <c r="AC129" i="6" s="1"/>
  <c r="AC130" i="6" s="1"/>
  <c r="AC131" i="6" s="1"/>
  <c r="AC132" i="6" s="1"/>
  <c r="AC133" i="6" s="1"/>
  <c r="AC134" i="6" s="1"/>
  <c r="AC135" i="6" s="1"/>
  <c r="AC136" i="6" s="1"/>
  <c r="AC137" i="6" s="1"/>
  <c r="AC138" i="6" s="1"/>
  <c r="AC139" i="6" s="1"/>
  <c r="AC140" i="6" s="1"/>
  <c r="AC141" i="6" s="1"/>
  <c r="AC142" i="6" s="1"/>
  <c r="AC143" i="6" s="1"/>
  <c r="AC144" i="6" s="1"/>
  <c r="AC145" i="6" s="1"/>
  <c r="AC146" i="6" s="1"/>
  <c r="AC147" i="6" s="1"/>
  <c r="AC148" i="6" s="1"/>
  <c r="AC149" i="6" s="1"/>
  <c r="AC150" i="6" s="1"/>
  <c r="AC151" i="6" s="1"/>
  <c r="AC152" i="6" s="1"/>
  <c r="AC153" i="6" s="1"/>
  <c r="AC154" i="6" s="1"/>
  <c r="AC155" i="6" s="1"/>
  <c r="AC156" i="6" s="1"/>
  <c r="AC157" i="6" s="1"/>
  <c r="AC158" i="6" s="1"/>
  <c r="AC159" i="6" s="1"/>
  <c r="AC160" i="6" s="1"/>
  <c r="AC161" i="6" s="1"/>
  <c r="AC162" i="6" s="1"/>
  <c r="AC163" i="6" s="1"/>
  <c r="AC164" i="6" s="1"/>
  <c r="AC165" i="6" s="1"/>
  <c r="AC166" i="6" s="1"/>
  <c r="AC167" i="6" s="1"/>
  <c r="AC168" i="6" s="1"/>
  <c r="AC169" i="6" s="1"/>
  <c r="AC170" i="6" s="1"/>
  <c r="AC171" i="6" s="1"/>
  <c r="AC172" i="6" s="1"/>
  <c r="AC173" i="6" s="1"/>
  <c r="AC174" i="6" s="1"/>
  <c r="AC175" i="6" s="1"/>
  <c r="AC176" i="6" s="1"/>
  <c r="AC177" i="6" s="1"/>
  <c r="AC178" i="6" s="1"/>
  <c r="AC179" i="6" s="1"/>
  <c r="AC180" i="6" s="1"/>
  <c r="AC181" i="6" s="1"/>
  <c r="AC182" i="6" s="1"/>
  <c r="AC183" i="6" s="1"/>
  <c r="AC184" i="6" s="1"/>
  <c r="AC185" i="6" s="1"/>
  <c r="AC186" i="6" s="1"/>
  <c r="AC187" i="6" s="1"/>
  <c r="AC188" i="6" s="1"/>
  <c r="AC189" i="6" s="1"/>
  <c r="AC190" i="6" s="1"/>
  <c r="AC191" i="6" s="1"/>
  <c r="AC192" i="6" s="1"/>
  <c r="AC193" i="6" s="1"/>
  <c r="AC194" i="6" s="1"/>
  <c r="AC195" i="6" s="1"/>
  <c r="AC196" i="6" s="1"/>
  <c r="AC197" i="6" s="1"/>
  <c r="AC198" i="6" s="1"/>
  <c r="AC199" i="6" s="1"/>
  <c r="AC200" i="6" s="1"/>
  <c r="AC201" i="6" s="1"/>
  <c r="AC202" i="6" s="1"/>
  <c r="AC203" i="6" s="1"/>
  <c r="AC204" i="6" s="1"/>
  <c r="AC205" i="6" s="1"/>
  <c r="AC206" i="6" s="1"/>
  <c r="AC207" i="6" s="1"/>
  <c r="AC208" i="6" s="1"/>
  <c r="AC209" i="6" s="1"/>
  <c r="AC210" i="6" s="1"/>
  <c r="AC211" i="6" s="1"/>
  <c r="AC212" i="6" s="1"/>
  <c r="AC213" i="6" s="1"/>
  <c r="AC214" i="6" s="1"/>
  <c r="AC215" i="6" s="1"/>
  <c r="AC216" i="6" s="1"/>
  <c r="AC217" i="6" s="1"/>
  <c r="AC218" i="6" s="1"/>
  <c r="AC219" i="6" s="1"/>
  <c r="AC220" i="6" s="1"/>
  <c r="AC221" i="6" s="1"/>
  <c r="AC222" i="6" s="1"/>
  <c r="AC223" i="6" s="1"/>
  <c r="AC224" i="6" s="1"/>
  <c r="AC225" i="6" s="1"/>
  <c r="AC226" i="6" s="1"/>
  <c r="AC227" i="6" s="1"/>
  <c r="AC228" i="6" s="1"/>
  <c r="AC229" i="6" s="1"/>
  <c r="AC230" i="6" s="1"/>
  <c r="AC231" i="6" s="1"/>
  <c r="AC232" i="6" s="1"/>
  <c r="AC233" i="6" s="1"/>
  <c r="AC234" i="6" s="1"/>
  <c r="AC235" i="6" s="1"/>
  <c r="AC236" i="6" s="1"/>
  <c r="AC237" i="6" s="1"/>
  <c r="AC238" i="6" s="1"/>
  <c r="AC239" i="6" s="1"/>
  <c r="AC240" i="6" s="1"/>
  <c r="AC241" i="6" s="1"/>
  <c r="AC242" i="6" s="1"/>
  <c r="AC243" i="6" s="1"/>
  <c r="AC244" i="6" s="1"/>
  <c r="AC245" i="6" s="1"/>
  <c r="AC246" i="6" s="1"/>
  <c r="AC247" i="6" s="1"/>
  <c r="AC248" i="6" s="1"/>
  <c r="AC249" i="6" s="1"/>
  <c r="AC250" i="6" s="1"/>
  <c r="AC251" i="6" s="1"/>
  <c r="AC252" i="6" s="1"/>
  <c r="AC253" i="6" s="1"/>
  <c r="AC254" i="6" s="1"/>
  <c r="AC255" i="6" s="1"/>
  <c r="AC256" i="6" s="1"/>
  <c r="AC257" i="6" s="1"/>
  <c r="AC258" i="6" s="1"/>
  <c r="AC259" i="6" s="1"/>
  <c r="AC260" i="6" s="1"/>
  <c r="AC261" i="6" s="1"/>
  <c r="AC262" i="6" s="1"/>
  <c r="AC263" i="6" s="1"/>
  <c r="AC264" i="6" s="1"/>
  <c r="AC265" i="6" s="1"/>
  <c r="AC266" i="6" s="1"/>
  <c r="AC267" i="6" s="1"/>
  <c r="AC268" i="6" s="1"/>
  <c r="AC269" i="6" s="1"/>
  <c r="AC270" i="6" s="1"/>
  <c r="AC271" i="6" s="1"/>
  <c r="AC272" i="6" s="1"/>
  <c r="AC273" i="6" s="1"/>
  <c r="AC274" i="6" s="1"/>
  <c r="AC275" i="6" s="1"/>
  <c r="AC276" i="6" s="1"/>
  <c r="AC277" i="6" s="1"/>
  <c r="AC278" i="6" s="1"/>
  <c r="AC279" i="6" s="1"/>
  <c r="AC280" i="6" s="1"/>
  <c r="AC281" i="6" s="1"/>
  <c r="AC282" i="6" s="1"/>
  <c r="AC283" i="6" s="1"/>
  <c r="AC284" i="6" s="1"/>
  <c r="AC285" i="6" s="1"/>
  <c r="AC286" i="6" s="1"/>
  <c r="AC287" i="6" s="1"/>
  <c r="AC288" i="6" s="1"/>
  <c r="AC289" i="6" s="1"/>
  <c r="AC290" i="6" s="1"/>
  <c r="AC291" i="6" s="1"/>
  <c r="AC292" i="6" s="1"/>
  <c r="AC293" i="6" s="1"/>
  <c r="AC294" i="6" s="1"/>
  <c r="AC295" i="6" s="1"/>
  <c r="AC296" i="6" s="1"/>
  <c r="AC297" i="6" s="1"/>
  <c r="AC298" i="6" s="1"/>
  <c r="AC299" i="6" s="1"/>
  <c r="AC300" i="6" s="1"/>
  <c r="AC301" i="6" s="1"/>
  <c r="AC302" i="6" s="1"/>
  <c r="AC303" i="6" s="1"/>
  <c r="AC304" i="6" s="1"/>
  <c r="AC305" i="6" s="1"/>
  <c r="AC306" i="6" s="1"/>
  <c r="AC307" i="6" s="1"/>
  <c r="AC308" i="6" s="1"/>
  <c r="AC309" i="6" s="1"/>
  <c r="AC310" i="6" s="1"/>
  <c r="AC311" i="6" s="1"/>
  <c r="AC312" i="6" s="1"/>
  <c r="AC313" i="6" s="1"/>
  <c r="AC314" i="6" s="1"/>
  <c r="AC315" i="6" s="1"/>
  <c r="AC316" i="6" s="1"/>
  <c r="AC317" i="6" s="1"/>
  <c r="AC318" i="6" s="1"/>
  <c r="AC319" i="6" s="1"/>
  <c r="AC320" i="6" s="1"/>
  <c r="AC321" i="6" s="1"/>
  <c r="AC322" i="6" s="1"/>
  <c r="AC323" i="6" s="1"/>
  <c r="AC324" i="6" s="1"/>
  <c r="AC325" i="6" s="1"/>
  <c r="AC326" i="6" s="1"/>
  <c r="AC327" i="6" s="1"/>
  <c r="AC328" i="6" s="1"/>
  <c r="AC329" i="6" s="1"/>
  <c r="AC330" i="6" s="1"/>
  <c r="AC331" i="6" s="1"/>
  <c r="AC332" i="6" s="1"/>
  <c r="AC333" i="6" s="1"/>
  <c r="AC334" i="6" s="1"/>
  <c r="AC335" i="6" s="1"/>
  <c r="AC336" i="6" s="1"/>
  <c r="AC337" i="6" s="1"/>
  <c r="AC338" i="6" s="1"/>
  <c r="AC339" i="6" s="1"/>
  <c r="AC340" i="6" s="1"/>
  <c r="AC341" i="6" s="1"/>
  <c r="AC342" i="6" s="1"/>
  <c r="AC343" i="6" s="1"/>
  <c r="AC344" i="6" s="1"/>
  <c r="AC345" i="6" s="1"/>
  <c r="AC346" i="6" s="1"/>
  <c r="AC347" i="6" s="1"/>
  <c r="AC348" i="6" s="1"/>
  <c r="AC349" i="6" s="1"/>
  <c r="AC350" i="6" s="1"/>
  <c r="AC351" i="6" s="1"/>
  <c r="AC352" i="6" s="1"/>
  <c r="AC353" i="6" s="1"/>
  <c r="AC354" i="6" s="1"/>
  <c r="AC355" i="6" s="1"/>
  <c r="AC356" i="6" s="1"/>
  <c r="AC357" i="6" s="1"/>
  <c r="AC358" i="6" s="1"/>
  <c r="AC359" i="6" s="1"/>
  <c r="AC360" i="6" s="1"/>
  <c r="AC361" i="6" s="1"/>
  <c r="AC362" i="6" s="1"/>
  <c r="AC363" i="6" s="1"/>
  <c r="AC364" i="6" s="1"/>
  <c r="AC365" i="6" s="1"/>
  <c r="AC366" i="6" s="1"/>
  <c r="AC367" i="6" s="1"/>
  <c r="AC368" i="6" s="1"/>
  <c r="AC369" i="6" s="1"/>
  <c r="AC370" i="6" s="1"/>
  <c r="AC371" i="6" s="1"/>
  <c r="AC372" i="6" s="1"/>
  <c r="AC373" i="6" s="1"/>
  <c r="AC374" i="6" s="1"/>
  <c r="AC375" i="6" s="1"/>
  <c r="AC376" i="6" s="1"/>
  <c r="AC377" i="6" s="1"/>
  <c r="AC378" i="6" s="1"/>
  <c r="AC379" i="6" s="1"/>
  <c r="AC380" i="6" s="1"/>
  <c r="AC381" i="6" s="1"/>
  <c r="AC382" i="6" s="1"/>
  <c r="AC383" i="6" s="1"/>
  <c r="AC384" i="6" s="1"/>
  <c r="AC385" i="6" s="1"/>
  <c r="AC386" i="6" s="1"/>
  <c r="AC387" i="6" s="1"/>
  <c r="AC388" i="6" s="1"/>
  <c r="AC389" i="6" s="1"/>
  <c r="AC390" i="6" s="1"/>
  <c r="AC391" i="6" s="1"/>
  <c r="AC392" i="6" s="1"/>
  <c r="AC393" i="6" s="1"/>
  <c r="AC394" i="6" s="1"/>
  <c r="AC395" i="6" s="1"/>
  <c r="AC396" i="6" s="1"/>
  <c r="AC397" i="6" s="1"/>
  <c r="AC398" i="6" s="1"/>
  <c r="AC399" i="6" s="1"/>
  <c r="AC400" i="6" s="1"/>
  <c r="AC401" i="6" s="1"/>
  <c r="AC402" i="6" s="1"/>
  <c r="AC403" i="6" s="1"/>
  <c r="AC404" i="6" s="1"/>
  <c r="AC405" i="6" s="1"/>
  <c r="AC406" i="6" s="1"/>
  <c r="AC407" i="6" s="1"/>
  <c r="AC408" i="6" s="1"/>
  <c r="AC409" i="6" s="1"/>
  <c r="AC410" i="6" s="1"/>
  <c r="AC411" i="6" s="1"/>
  <c r="AC412" i="6" s="1"/>
  <c r="AC413" i="6" s="1"/>
  <c r="AC414" i="6" s="1"/>
  <c r="AC415" i="6" s="1"/>
  <c r="AC416" i="6" s="1"/>
  <c r="AC417" i="6" s="1"/>
  <c r="AC418" i="6" s="1"/>
  <c r="AC419" i="6" s="1"/>
  <c r="AC420" i="6" s="1"/>
  <c r="AC421" i="6" s="1"/>
  <c r="AC422" i="6" s="1"/>
  <c r="AC423" i="6" s="1"/>
  <c r="AC424" i="6" s="1"/>
  <c r="AC425" i="6" s="1"/>
  <c r="AC426" i="6" s="1"/>
  <c r="AC427" i="6" s="1"/>
  <c r="AC428" i="6" s="1"/>
  <c r="AC429" i="6" s="1"/>
  <c r="AC430" i="6" s="1"/>
  <c r="AC431" i="6" s="1"/>
  <c r="AC432" i="6" s="1"/>
  <c r="AC433" i="6" s="1"/>
  <c r="AC434" i="6" s="1"/>
  <c r="AC435" i="6" s="1"/>
  <c r="AC436" i="6" s="1"/>
  <c r="AC437" i="6" s="1"/>
  <c r="AC438" i="6" s="1"/>
  <c r="AC439" i="6" s="1"/>
  <c r="AC440" i="6" s="1"/>
  <c r="AC441" i="6" s="1"/>
  <c r="AC442" i="6" s="1"/>
  <c r="AC443" i="6" s="1"/>
  <c r="AC444" i="6" s="1"/>
  <c r="AC445" i="6" s="1"/>
  <c r="AC446" i="6" s="1"/>
  <c r="AC447" i="6" s="1"/>
  <c r="AC448" i="6" s="1"/>
  <c r="AC449" i="6" s="1"/>
  <c r="AC450" i="6" s="1"/>
  <c r="AC451" i="6" s="1"/>
  <c r="AC452" i="6" s="1"/>
  <c r="AC453" i="6" s="1"/>
  <c r="AC454" i="6" s="1"/>
  <c r="AC455" i="6" s="1"/>
  <c r="AC456" i="6" s="1"/>
  <c r="AC457" i="6" s="1"/>
  <c r="AC458" i="6" s="1"/>
  <c r="AC459" i="6" s="1"/>
  <c r="AC460" i="6" s="1"/>
  <c r="AC461" i="6" s="1"/>
  <c r="AC462" i="6" s="1"/>
  <c r="AC463" i="6" s="1"/>
  <c r="AC464" i="6" s="1"/>
  <c r="AC465" i="6" s="1"/>
  <c r="AC466" i="6" s="1"/>
  <c r="AC467" i="6" s="1"/>
  <c r="AC468" i="6" s="1"/>
  <c r="AC469" i="6" s="1"/>
  <c r="AC470" i="6" s="1"/>
  <c r="AC471" i="6" s="1"/>
  <c r="AC472" i="6" s="1"/>
  <c r="AC473" i="6" s="1"/>
  <c r="AC474" i="6" s="1"/>
  <c r="AC475" i="6" s="1"/>
  <c r="AC476" i="6" s="1"/>
  <c r="AC477" i="6" s="1"/>
  <c r="AC478" i="6" s="1"/>
  <c r="AC479" i="6" s="1"/>
  <c r="AC480" i="6" s="1"/>
  <c r="AC481" i="6" s="1"/>
  <c r="AC482" i="6" s="1"/>
  <c r="AC483" i="6" s="1"/>
  <c r="AC484" i="6" s="1"/>
  <c r="AC485" i="6" s="1"/>
  <c r="AC486" i="6" s="1"/>
  <c r="AC487" i="6" s="1"/>
  <c r="AC488" i="6" s="1"/>
  <c r="AC489" i="6" s="1"/>
  <c r="AC490" i="6" s="1"/>
  <c r="AC491" i="6" s="1"/>
  <c r="AC492" i="6" s="1"/>
  <c r="AC493" i="6" s="1"/>
  <c r="AC494" i="6" s="1"/>
  <c r="AC495" i="6" s="1"/>
  <c r="AC496" i="6" s="1"/>
  <c r="AC497" i="6" s="1"/>
  <c r="AC498" i="6" s="1"/>
  <c r="AC499" i="6" s="1"/>
  <c r="AC500" i="6" s="1"/>
  <c r="AC501" i="6" s="1"/>
  <c r="AC502" i="6" s="1"/>
  <c r="AC503" i="6" s="1"/>
  <c r="AC504" i="6" s="1"/>
  <c r="AC505" i="6" s="1"/>
  <c r="AC506" i="6" s="1"/>
  <c r="AC507" i="6" s="1"/>
  <c r="AC508" i="6" s="1"/>
  <c r="AC509" i="6" s="1"/>
  <c r="AC510" i="6" s="1"/>
  <c r="AC511" i="6" s="1"/>
  <c r="AC512" i="6" s="1"/>
  <c r="AC513" i="6" s="1"/>
  <c r="AC514" i="6" s="1"/>
  <c r="AC515" i="6" s="1"/>
  <c r="AC516" i="6" s="1"/>
  <c r="AC517" i="6" s="1"/>
  <c r="AC518" i="6" s="1"/>
  <c r="AC519" i="6" s="1"/>
  <c r="AC520" i="6" s="1"/>
  <c r="AC521" i="6" s="1"/>
  <c r="AC522" i="6" s="1"/>
  <c r="AC523" i="6" s="1"/>
  <c r="AC524" i="6" s="1"/>
  <c r="AC525" i="6" s="1"/>
  <c r="AC526" i="6" s="1"/>
  <c r="AC527" i="6" s="1"/>
  <c r="AC528" i="6" s="1"/>
  <c r="AC529" i="6" s="1"/>
  <c r="AC530" i="6" s="1"/>
  <c r="AC531" i="6" s="1"/>
  <c r="AC532" i="6" s="1"/>
  <c r="AC533" i="6" s="1"/>
  <c r="AC534" i="6" s="1"/>
  <c r="AC535" i="6" s="1"/>
  <c r="AC536" i="6" s="1"/>
  <c r="AC537" i="6" s="1"/>
  <c r="AC538" i="6" s="1"/>
  <c r="AC539" i="6" s="1"/>
  <c r="AC540" i="6" s="1"/>
  <c r="AC541" i="6" s="1"/>
  <c r="AC542" i="6" s="1"/>
  <c r="AC543" i="6" s="1"/>
  <c r="AC544" i="6" s="1"/>
  <c r="AC545" i="6" s="1"/>
  <c r="AC546" i="6" s="1"/>
  <c r="AC547" i="6" s="1"/>
  <c r="AC548" i="6" s="1"/>
  <c r="AC549" i="6" s="1"/>
  <c r="AC550" i="6" s="1"/>
  <c r="AC551" i="6" s="1"/>
  <c r="AC552" i="6" s="1"/>
  <c r="AC553" i="6" s="1"/>
  <c r="AC554" i="6" s="1"/>
  <c r="AC555" i="6" s="1"/>
  <c r="AC556" i="6" s="1"/>
  <c r="AC557" i="6" s="1"/>
  <c r="AC558" i="6" s="1"/>
  <c r="AC559" i="6" s="1"/>
  <c r="AC560" i="6" s="1"/>
  <c r="AC561" i="6" s="1"/>
  <c r="AC562" i="6" s="1"/>
  <c r="AC563" i="6" s="1"/>
  <c r="AC564" i="6" s="1"/>
  <c r="AC565" i="6" s="1"/>
  <c r="AC566" i="6" s="1"/>
  <c r="AC567" i="6" s="1"/>
  <c r="AC568" i="6" s="1"/>
  <c r="AC569" i="6" s="1"/>
  <c r="AC570" i="6" s="1"/>
  <c r="AC571" i="6" s="1"/>
  <c r="AC572" i="6" s="1"/>
  <c r="AC573" i="6" s="1"/>
  <c r="AC574" i="6" s="1"/>
  <c r="AC575" i="6" s="1"/>
  <c r="AC576" i="6" s="1"/>
  <c r="AC577" i="6" s="1"/>
  <c r="AC578" i="6" s="1"/>
  <c r="AC579" i="6" s="1"/>
  <c r="AC580" i="6" s="1"/>
  <c r="AC581" i="6" s="1"/>
  <c r="AC582" i="6" s="1"/>
  <c r="AC583" i="6" s="1"/>
  <c r="AC584" i="6" s="1"/>
  <c r="AC585" i="6" s="1"/>
  <c r="AC586" i="6" s="1"/>
  <c r="AC587" i="6" s="1"/>
  <c r="AC588" i="6" s="1"/>
  <c r="AC589" i="6" s="1"/>
  <c r="AC590" i="6" s="1"/>
  <c r="AC591" i="6" s="1"/>
  <c r="AC592" i="6" s="1"/>
  <c r="AC593" i="6" s="1"/>
  <c r="AC594" i="6" s="1"/>
  <c r="AC595" i="6" s="1"/>
  <c r="AC596" i="6" s="1"/>
  <c r="AC597" i="6" s="1"/>
  <c r="AC598" i="6" s="1"/>
  <c r="AC599" i="6" s="1"/>
  <c r="AC600" i="6" s="1"/>
  <c r="AC601" i="6" s="1"/>
  <c r="AC602" i="6" s="1"/>
  <c r="W16" i="32"/>
  <c r="T17" i="32" s="1"/>
  <c r="W15" i="32"/>
  <c r="T18" i="32" s="1"/>
  <c r="CU14" i="32"/>
  <c r="CU13" i="32"/>
  <c r="CU12" i="32"/>
  <c r="DZ3" i="32"/>
  <c r="EA3" i="32" s="1"/>
  <c r="DT3" i="32"/>
  <c r="DU3" i="32" s="1"/>
  <c r="DT4" i="32" s="1"/>
  <c r="DN3" i="32"/>
  <c r="DO3" i="32" s="1"/>
  <c r="DH3" i="32"/>
  <c r="DI3" i="32" s="1"/>
  <c r="DB3" i="32"/>
  <c r="DC3" i="32" s="1"/>
  <c r="CV3" i="32"/>
  <c r="CW3" i="32" s="1"/>
  <c r="CV6" i="32" s="1"/>
  <c r="CP3" i="32"/>
  <c r="CQ3" i="32" s="1"/>
  <c r="CJ3" i="32"/>
  <c r="CK3" i="32" s="1"/>
  <c r="CJ9" i="32" s="1"/>
  <c r="CD3" i="32"/>
  <c r="CE3" i="32" s="1"/>
  <c r="CD10" i="32" s="1"/>
  <c r="BX3" i="32"/>
  <c r="BY3" i="32" s="1"/>
  <c r="BR3" i="32"/>
  <c r="BS3" i="32" s="1"/>
  <c r="BL3" i="32"/>
  <c r="BM3" i="32" s="1"/>
  <c r="BL5" i="32" s="1"/>
  <c r="BF3" i="32"/>
  <c r="BG3" i="32" s="1"/>
  <c r="BF10" i="32" s="1"/>
  <c r="AZ3" i="32"/>
  <c r="BA3" i="32" s="1"/>
  <c r="AZ6" i="32" s="1"/>
  <c r="AT3" i="32"/>
  <c r="AU3" i="32" s="1"/>
  <c r="AN3" i="32"/>
  <c r="AO3" i="32" s="1"/>
  <c r="AN7" i="32" s="1"/>
  <c r="AH3" i="32"/>
  <c r="AI3" i="32" s="1"/>
  <c r="AH10" i="32" s="1"/>
  <c r="AB3" i="32"/>
  <c r="AC3" i="32" s="1"/>
  <c r="AB4" i="32" s="1"/>
  <c r="A5" i="31"/>
  <c r="A6" i="31" s="1"/>
  <c r="A7" i="31" s="1"/>
  <c r="A8" i="31" s="1"/>
  <c r="A9" i="31" s="1"/>
  <c r="A10" i="31" s="1"/>
  <c r="A11" i="31" s="1"/>
  <c r="A12" i="31" s="1"/>
  <c r="A13" i="31" s="1"/>
  <c r="A14" i="31" s="1"/>
  <c r="A15" i="31" s="1"/>
  <c r="A16" i="31" s="1"/>
  <c r="A17" i="31" s="1"/>
  <c r="A18" i="31" s="1"/>
  <c r="A19" i="31" s="1"/>
  <c r="A20" i="31" s="1"/>
  <c r="A21" i="31" s="1"/>
  <c r="A22" i="31" s="1"/>
  <c r="A23" i="31" s="1"/>
  <c r="A24" i="31" s="1"/>
  <c r="A25" i="31" s="1"/>
  <c r="A26" i="31" s="1"/>
  <c r="A27" i="31" s="1"/>
  <c r="A28" i="31" s="1"/>
  <c r="A29" i="31" s="1"/>
  <c r="A30" i="31" s="1"/>
  <c r="A31" i="31" s="1"/>
  <c r="A32" i="31" s="1"/>
  <c r="A33" i="31" s="1"/>
  <c r="A34" i="31" s="1"/>
  <c r="A35" i="31" s="1"/>
  <c r="A36" i="31" s="1"/>
  <c r="A37" i="31" s="1"/>
  <c r="A38" i="31" s="1"/>
  <c r="A39" i="31" s="1"/>
  <c r="A40" i="31" s="1"/>
  <c r="A41" i="31" s="1"/>
  <c r="A42" i="31" s="1"/>
  <c r="A43" i="31" s="1"/>
  <c r="A44" i="31" s="1"/>
  <c r="A45" i="31" s="1"/>
  <c r="A46" i="31" s="1"/>
  <c r="A47" i="31" s="1"/>
  <c r="A48" i="31" s="1"/>
  <c r="D2" i="31"/>
  <c r="E2" i="31" s="1"/>
  <c r="E7" i="29" s="1"/>
  <c r="E10" i="30"/>
  <c r="D10" i="30"/>
  <c r="C10" i="30"/>
  <c r="B10" i="30"/>
  <c r="A10" i="30"/>
  <c r="E9" i="30"/>
  <c r="D9" i="30"/>
  <c r="C9" i="30"/>
  <c r="B9" i="30"/>
  <c r="A9" i="30"/>
  <c r="E8" i="30"/>
  <c r="D8" i="30"/>
  <c r="C8" i="30"/>
  <c r="B8" i="30"/>
  <c r="A8" i="30"/>
  <c r="E7" i="30"/>
  <c r="D7" i="30"/>
  <c r="C7" i="30"/>
  <c r="B7" i="30"/>
  <c r="A7" i="30"/>
  <c r="E6" i="30"/>
  <c r="D6" i="30"/>
  <c r="C6" i="30"/>
  <c r="B6" i="30"/>
  <c r="A6" i="30"/>
  <c r="E5" i="30"/>
  <c r="D5" i="30"/>
  <c r="C5" i="30"/>
  <c r="B5" i="30"/>
  <c r="A5" i="30"/>
  <c r="E4" i="30"/>
  <c r="D4" i="30"/>
  <c r="C4" i="30"/>
  <c r="B4" i="30"/>
  <c r="A4" i="30"/>
  <c r="E3" i="30"/>
  <c r="D3" i="30"/>
  <c r="C3" i="30"/>
  <c r="B3" i="30"/>
  <c r="A3" i="30"/>
  <c r="E2" i="30"/>
  <c r="D2" i="30"/>
  <c r="C2" i="30"/>
  <c r="B2" i="30"/>
  <c r="A2" i="30"/>
  <c r="E1" i="30"/>
  <c r="D1" i="30"/>
  <c r="C1" i="30"/>
  <c r="AC153" i="29"/>
  <c r="AB153" i="29"/>
  <c r="AA153" i="29"/>
  <c r="Z153" i="29"/>
  <c r="Y153" i="29"/>
  <c r="X153" i="29"/>
  <c r="W153" i="29"/>
  <c r="V153" i="29"/>
  <c r="U153" i="29"/>
  <c r="T153" i="29"/>
  <c r="S153" i="29"/>
  <c r="R153" i="29"/>
  <c r="Q153" i="29"/>
  <c r="P153" i="29"/>
  <c r="O153" i="29"/>
  <c r="N153" i="29"/>
  <c r="M153" i="29"/>
  <c r="L153" i="29"/>
  <c r="K153" i="29"/>
  <c r="J153" i="29"/>
  <c r="I153" i="29"/>
  <c r="H153" i="29"/>
  <c r="G153" i="29"/>
  <c r="F153" i="29"/>
  <c r="E153" i="29"/>
  <c r="D153" i="29"/>
  <c r="C153" i="29"/>
  <c r="B153" i="29"/>
  <c r="A153" i="29"/>
  <c r="AC152" i="29"/>
  <c r="AB152" i="29"/>
  <c r="AA152" i="29"/>
  <c r="Z152" i="29"/>
  <c r="Y152" i="29"/>
  <c r="X152" i="29"/>
  <c r="W152" i="29"/>
  <c r="V152" i="29"/>
  <c r="U152" i="29"/>
  <c r="T152" i="29"/>
  <c r="S152" i="29"/>
  <c r="R152" i="29"/>
  <c r="Q152" i="29"/>
  <c r="P152" i="29"/>
  <c r="O152" i="29"/>
  <c r="N152" i="29"/>
  <c r="M152" i="29"/>
  <c r="L152" i="29"/>
  <c r="K152" i="29"/>
  <c r="J152" i="29"/>
  <c r="I152" i="29"/>
  <c r="H152" i="29"/>
  <c r="G152" i="29"/>
  <c r="F152" i="29"/>
  <c r="E152" i="29"/>
  <c r="D152" i="29"/>
  <c r="C152" i="29"/>
  <c r="B152" i="29"/>
  <c r="A152" i="29"/>
  <c r="AC151" i="29"/>
  <c r="AB151" i="29"/>
  <c r="AA151" i="29"/>
  <c r="Z151" i="29"/>
  <c r="Y151" i="29"/>
  <c r="X151" i="29"/>
  <c r="W151" i="29"/>
  <c r="V151" i="29"/>
  <c r="U151" i="29"/>
  <c r="T151" i="29"/>
  <c r="S151" i="29"/>
  <c r="R151" i="29"/>
  <c r="Q151" i="29"/>
  <c r="P151" i="29"/>
  <c r="O151" i="29"/>
  <c r="N151" i="29"/>
  <c r="M151" i="29"/>
  <c r="L151" i="29"/>
  <c r="K151" i="29"/>
  <c r="J151" i="29"/>
  <c r="I151" i="29"/>
  <c r="H151" i="29"/>
  <c r="G151" i="29"/>
  <c r="F151" i="29"/>
  <c r="E151" i="29"/>
  <c r="D151" i="29"/>
  <c r="C151" i="29"/>
  <c r="B151" i="29"/>
  <c r="A151" i="29"/>
  <c r="AC150" i="29"/>
  <c r="AB150" i="29"/>
  <c r="AA150" i="29"/>
  <c r="Z150" i="29"/>
  <c r="Y150" i="29"/>
  <c r="X150" i="29"/>
  <c r="W150" i="29"/>
  <c r="V150" i="29"/>
  <c r="U150" i="29"/>
  <c r="T150" i="29"/>
  <c r="S150" i="29"/>
  <c r="R150" i="29"/>
  <c r="Q150" i="29"/>
  <c r="P150" i="29"/>
  <c r="O150" i="29"/>
  <c r="N150" i="29"/>
  <c r="M150" i="29"/>
  <c r="L150" i="29"/>
  <c r="K150" i="29"/>
  <c r="J150" i="29"/>
  <c r="I150" i="29"/>
  <c r="H150" i="29"/>
  <c r="G150" i="29"/>
  <c r="F150" i="29"/>
  <c r="E150" i="29"/>
  <c r="D150" i="29"/>
  <c r="C150" i="29"/>
  <c r="B150" i="29"/>
  <c r="A150" i="29"/>
  <c r="AC149" i="29"/>
  <c r="AB149" i="29"/>
  <c r="AA149" i="29"/>
  <c r="Z149" i="29"/>
  <c r="Y149" i="29"/>
  <c r="X149" i="29"/>
  <c r="W149" i="29"/>
  <c r="V149" i="29"/>
  <c r="U149" i="29"/>
  <c r="T149" i="29"/>
  <c r="S149" i="29"/>
  <c r="R149" i="29"/>
  <c r="Q149" i="29"/>
  <c r="P149" i="29"/>
  <c r="O149" i="29"/>
  <c r="N149" i="29"/>
  <c r="M149" i="29"/>
  <c r="L149" i="29"/>
  <c r="K149" i="29"/>
  <c r="J149" i="29"/>
  <c r="I149" i="29"/>
  <c r="H149" i="29"/>
  <c r="G149" i="29"/>
  <c r="F149" i="29"/>
  <c r="E149" i="29"/>
  <c r="D149" i="29"/>
  <c r="C149" i="29"/>
  <c r="B149" i="29"/>
  <c r="A149" i="29"/>
  <c r="AC148" i="29"/>
  <c r="AB148" i="29"/>
  <c r="AA148" i="29"/>
  <c r="Z148" i="29"/>
  <c r="Y148" i="29"/>
  <c r="X148" i="29"/>
  <c r="W148" i="29"/>
  <c r="V148" i="29"/>
  <c r="U148" i="29"/>
  <c r="T148" i="29"/>
  <c r="S148" i="29"/>
  <c r="R148" i="29"/>
  <c r="Q148" i="29"/>
  <c r="P148" i="29"/>
  <c r="O148" i="29"/>
  <c r="N148" i="29"/>
  <c r="M148" i="29"/>
  <c r="L148" i="29"/>
  <c r="K148" i="29"/>
  <c r="J148" i="29"/>
  <c r="I148" i="29"/>
  <c r="H148" i="29"/>
  <c r="G148" i="29"/>
  <c r="F148" i="29"/>
  <c r="E148" i="29"/>
  <c r="D148" i="29"/>
  <c r="C148" i="29"/>
  <c r="B148" i="29"/>
  <c r="A148" i="29"/>
  <c r="AC147" i="29"/>
  <c r="AB147" i="29"/>
  <c r="AA147" i="29"/>
  <c r="Z147" i="29"/>
  <c r="Y147" i="29"/>
  <c r="X147" i="29"/>
  <c r="W147" i="29"/>
  <c r="V147" i="29"/>
  <c r="U147" i="29"/>
  <c r="T147" i="29"/>
  <c r="S147" i="29"/>
  <c r="R147" i="29"/>
  <c r="Q147" i="29"/>
  <c r="P147" i="29"/>
  <c r="O147" i="29"/>
  <c r="N147" i="29"/>
  <c r="M147" i="29"/>
  <c r="L147" i="29"/>
  <c r="K147" i="29"/>
  <c r="J147" i="29"/>
  <c r="I147" i="29"/>
  <c r="H147" i="29"/>
  <c r="G147" i="29"/>
  <c r="F147" i="29"/>
  <c r="E147" i="29"/>
  <c r="D147" i="29"/>
  <c r="C147" i="29"/>
  <c r="B147" i="29"/>
  <c r="A147" i="29"/>
  <c r="AC146" i="29"/>
  <c r="AB146" i="29"/>
  <c r="AA146" i="29"/>
  <c r="Z146" i="29"/>
  <c r="Y146" i="29"/>
  <c r="X146" i="29"/>
  <c r="W146" i="29"/>
  <c r="V146" i="29"/>
  <c r="U146" i="29"/>
  <c r="T146" i="29"/>
  <c r="S146" i="29"/>
  <c r="R146" i="29"/>
  <c r="Q146" i="29"/>
  <c r="P146" i="29"/>
  <c r="O146" i="29"/>
  <c r="N146" i="29"/>
  <c r="M146" i="29"/>
  <c r="L146" i="29"/>
  <c r="K146" i="29"/>
  <c r="J146" i="29"/>
  <c r="I146" i="29"/>
  <c r="H146" i="29"/>
  <c r="G146" i="29"/>
  <c r="F146" i="29"/>
  <c r="E146" i="29"/>
  <c r="D146" i="29"/>
  <c r="C146" i="29"/>
  <c r="B146" i="29"/>
  <c r="A146" i="29"/>
  <c r="AC145" i="29"/>
  <c r="AB145" i="29"/>
  <c r="AA145" i="29"/>
  <c r="Z145" i="29"/>
  <c r="Y145" i="29"/>
  <c r="X145" i="29"/>
  <c r="W145" i="29"/>
  <c r="V145" i="29"/>
  <c r="U145" i="29"/>
  <c r="T145" i="29"/>
  <c r="S145" i="29"/>
  <c r="R145" i="29"/>
  <c r="Q145" i="29"/>
  <c r="P145" i="29"/>
  <c r="O145" i="29"/>
  <c r="N145" i="29"/>
  <c r="M145" i="29"/>
  <c r="L145" i="29"/>
  <c r="K145" i="29"/>
  <c r="J145" i="29"/>
  <c r="I145" i="29"/>
  <c r="H145" i="29"/>
  <c r="G145" i="29"/>
  <c r="F145" i="29"/>
  <c r="E145" i="29"/>
  <c r="D145" i="29"/>
  <c r="C145" i="29"/>
  <c r="B145" i="29"/>
  <c r="A145" i="29"/>
  <c r="AC144" i="29"/>
  <c r="AB144" i="29"/>
  <c r="AA144" i="29"/>
  <c r="Z144" i="29"/>
  <c r="Y144" i="29"/>
  <c r="X144" i="29"/>
  <c r="W144" i="29"/>
  <c r="V144" i="29"/>
  <c r="U144" i="29"/>
  <c r="T144" i="29"/>
  <c r="S144" i="29"/>
  <c r="R144" i="29"/>
  <c r="Q144" i="29"/>
  <c r="P144" i="29"/>
  <c r="O144" i="29"/>
  <c r="N144" i="29"/>
  <c r="M144" i="29"/>
  <c r="L144" i="29"/>
  <c r="K144" i="29"/>
  <c r="J144" i="29"/>
  <c r="I144" i="29"/>
  <c r="H144" i="29"/>
  <c r="G144" i="29"/>
  <c r="F144" i="29"/>
  <c r="E144" i="29"/>
  <c r="D144" i="29"/>
  <c r="C144" i="29"/>
  <c r="B144" i="29"/>
  <c r="A144" i="29"/>
  <c r="AC143" i="29"/>
  <c r="AB143" i="29"/>
  <c r="AA143" i="29"/>
  <c r="Z143" i="29"/>
  <c r="Y143" i="29"/>
  <c r="X143" i="29"/>
  <c r="W143" i="29"/>
  <c r="V143" i="29"/>
  <c r="U143" i="29"/>
  <c r="T143" i="29"/>
  <c r="S143" i="29"/>
  <c r="R143" i="29"/>
  <c r="Q143" i="29"/>
  <c r="P143" i="29"/>
  <c r="O143" i="29"/>
  <c r="N143" i="29"/>
  <c r="M143" i="29"/>
  <c r="L143" i="29"/>
  <c r="K143" i="29"/>
  <c r="J143" i="29"/>
  <c r="I143" i="29"/>
  <c r="H143" i="29"/>
  <c r="G143" i="29"/>
  <c r="F143" i="29"/>
  <c r="E143" i="29"/>
  <c r="D143" i="29"/>
  <c r="C143" i="29"/>
  <c r="B143" i="29"/>
  <c r="A143" i="29"/>
  <c r="AC142" i="29"/>
  <c r="AB142" i="29"/>
  <c r="AA142" i="29"/>
  <c r="Z142" i="29"/>
  <c r="Y142" i="29"/>
  <c r="X142" i="29"/>
  <c r="W142" i="29"/>
  <c r="V142" i="29"/>
  <c r="U142" i="29"/>
  <c r="T142" i="29"/>
  <c r="S142" i="29"/>
  <c r="R142" i="29"/>
  <c r="Q142" i="29"/>
  <c r="P142" i="29"/>
  <c r="O142" i="29"/>
  <c r="N142" i="29"/>
  <c r="M142" i="29"/>
  <c r="L142" i="29"/>
  <c r="K142" i="29"/>
  <c r="J142" i="29"/>
  <c r="I142" i="29"/>
  <c r="H142" i="29"/>
  <c r="G142" i="29"/>
  <c r="F142" i="29"/>
  <c r="E142" i="29"/>
  <c r="D142" i="29"/>
  <c r="C142" i="29"/>
  <c r="B142" i="29"/>
  <c r="A142" i="29"/>
  <c r="AC141" i="29"/>
  <c r="AB141" i="29"/>
  <c r="AA141" i="29"/>
  <c r="Z141" i="29"/>
  <c r="Y141" i="29"/>
  <c r="X141" i="29"/>
  <c r="W141" i="29"/>
  <c r="V141" i="29"/>
  <c r="U141" i="29"/>
  <c r="T141" i="29"/>
  <c r="S141" i="29"/>
  <c r="R141" i="29"/>
  <c r="Q141" i="29"/>
  <c r="P141" i="29"/>
  <c r="O141" i="29"/>
  <c r="N141" i="29"/>
  <c r="M141" i="29"/>
  <c r="L141" i="29"/>
  <c r="K141" i="29"/>
  <c r="J141" i="29"/>
  <c r="I141" i="29"/>
  <c r="H141" i="29"/>
  <c r="G141" i="29"/>
  <c r="F141" i="29"/>
  <c r="E141" i="29"/>
  <c r="D141" i="29"/>
  <c r="C141" i="29"/>
  <c r="B141" i="29"/>
  <c r="A141" i="29"/>
  <c r="AC140" i="29"/>
  <c r="AB140" i="29"/>
  <c r="AA140" i="29"/>
  <c r="Z140" i="29"/>
  <c r="Y140" i="29"/>
  <c r="X140" i="29"/>
  <c r="W140" i="29"/>
  <c r="V140" i="29"/>
  <c r="U140" i="29"/>
  <c r="T140" i="29"/>
  <c r="S140" i="29"/>
  <c r="R140" i="29"/>
  <c r="Q140" i="29"/>
  <c r="P140" i="29"/>
  <c r="O140" i="29"/>
  <c r="N140" i="29"/>
  <c r="M140" i="29"/>
  <c r="L140" i="29"/>
  <c r="K140" i="29"/>
  <c r="J140" i="29"/>
  <c r="I140" i="29"/>
  <c r="H140" i="29"/>
  <c r="G140" i="29"/>
  <c r="F140" i="29"/>
  <c r="E140" i="29"/>
  <c r="D140" i="29"/>
  <c r="C140" i="29"/>
  <c r="B140" i="29"/>
  <c r="A140" i="29"/>
  <c r="AC139" i="29"/>
  <c r="AB139" i="29"/>
  <c r="AA139" i="29"/>
  <c r="Z139" i="29"/>
  <c r="Y139" i="29"/>
  <c r="X139" i="29"/>
  <c r="W139" i="29"/>
  <c r="V139" i="29"/>
  <c r="U139" i="29"/>
  <c r="T139" i="29"/>
  <c r="S139" i="29"/>
  <c r="R139" i="29"/>
  <c r="Q139" i="29"/>
  <c r="P139" i="29"/>
  <c r="O139" i="29"/>
  <c r="N139" i="29"/>
  <c r="M139" i="29"/>
  <c r="L139" i="29"/>
  <c r="K139" i="29"/>
  <c r="J139" i="29"/>
  <c r="I139" i="29"/>
  <c r="H139" i="29"/>
  <c r="G139" i="29"/>
  <c r="F139" i="29"/>
  <c r="E139" i="29"/>
  <c r="D139" i="29"/>
  <c r="C139" i="29"/>
  <c r="B139" i="29"/>
  <c r="A139" i="29"/>
  <c r="AC138" i="29"/>
  <c r="AB138" i="29"/>
  <c r="AA138" i="29"/>
  <c r="Z138" i="29"/>
  <c r="Y138" i="29"/>
  <c r="X138" i="29"/>
  <c r="W138" i="29"/>
  <c r="V138" i="29"/>
  <c r="U138" i="29"/>
  <c r="T138" i="29"/>
  <c r="S138" i="29"/>
  <c r="R138" i="29"/>
  <c r="Q138" i="29"/>
  <c r="P138" i="29"/>
  <c r="O138" i="29"/>
  <c r="N138" i="29"/>
  <c r="M138" i="29"/>
  <c r="L138" i="29"/>
  <c r="K138" i="29"/>
  <c r="J138" i="29"/>
  <c r="I138" i="29"/>
  <c r="H138" i="29"/>
  <c r="G138" i="29"/>
  <c r="F138" i="29"/>
  <c r="E138" i="29"/>
  <c r="D138" i="29"/>
  <c r="C138" i="29"/>
  <c r="B138" i="29"/>
  <c r="A138" i="29"/>
  <c r="AC137" i="29"/>
  <c r="AB137" i="29"/>
  <c r="AA137" i="29"/>
  <c r="Z137" i="29"/>
  <c r="Y137" i="29"/>
  <c r="X137" i="29"/>
  <c r="W137" i="29"/>
  <c r="V137" i="29"/>
  <c r="U137" i="29"/>
  <c r="T137" i="29"/>
  <c r="S137" i="29"/>
  <c r="R137" i="29"/>
  <c r="Q137" i="29"/>
  <c r="P137" i="29"/>
  <c r="O137" i="29"/>
  <c r="N137" i="29"/>
  <c r="M137" i="29"/>
  <c r="L137" i="29"/>
  <c r="K137" i="29"/>
  <c r="J137" i="29"/>
  <c r="I137" i="29"/>
  <c r="H137" i="29"/>
  <c r="G137" i="29"/>
  <c r="F137" i="29"/>
  <c r="E137" i="29"/>
  <c r="D137" i="29"/>
  <c r="C137" i="29"/>
  <c r="B137" i="29"/>
  <c r="A137" i="29"/>
  <c r="AC136" i="29"/>
  <c r="AB136" i="29"/>
  <c r="AA136" i="29"/>
  <c r="Z136" i="29"/>
  <c r="Y136" i="29"/>
  <c r="X136" i="29"/>
  <c r="W136" i="29"/>
  <c r="V136" i="29"/>
  <c r="U136" i="29"/>
  <c r="T136" i="29"/>
  <c r="S136" i="29"/>
  <c r="R136" i="29"/>
  <c r="Q136" i="29"/>
  <c r="P136" i="29"/>
  <c r="O136" i="29"/>
  <c r="N136" i="29"/>
  <c r="M136" i="29"/>
  <c r="L136" i="29"/>
  <c r="K136" i="29"/>
  <c r="J136" i="29"/>
  <c r="I136" i="29"/>
  <c r="H136" i="29"/>
  <c r="G136" i="29"/>
  <c r="F136" i="29"/>
  <c r="E136" i="29"/>
  <c r="D136" i="29"/>
  <c r="C136" i="29"/>
  <c r="B136" i="29"/>
  <c r="A136" i="29"/>
  <c r="AC135" i="29"/>
  <c r="AB135" i="29"/>
  <c r="AA135" i="29"/>
  <c r="Z135" i="29"/>
  <c r="Y135" i="29"/>
  <c r="X135" i="29"/>
  <c r="W135" i="29"/>
  <c r="V135" i="29"/>
  <c r="U135" i="29"/>
  <c r="T135" i="29"/>
  <c r="S135" i="29"/>
  <c r="R135" i="29"/>
  <c r="Q135" i="29"/>
  <c r="P135" i="29"/>
  <c r="O135" i="29"/>
  <c r="N135" i="29"/>
  <c r="M135" i="29"/>
  <c r="L135" i="29"/>
  <c r="K135" i="29"/>
  <c r="J135" i="29"/>
  <c r="I135" i="29"/>
  <c r="H135" i="29"/>
  <c r="G135" i="29"/>
  <c r="F135" i="29"/>
  <c r="E135" i="29"/>
  <c r="D135" i="29"/>
  <c r="C135" i="29"/>
  <c r="B135" i="29"/>
  <c r="A135" i="29"/>
  <c r="AC134" i="29"/>
  <c r="AB134" i="29"/>
  <c r="AA134" i="29"/>
  <c r="Z134" i="29"/>
  <c r="Y134" i="29"/>
  <c r="X134" i="29"/>
  <c r="W134" i="29"/>
  <c r="V134" i="29"/>
  <c r="U134" i="29"/>
  <c r="T134" i="29"/>
  <c r="S134" i="29"/>
  <c r="R134" i="29"/>
  <c r="Q134" i="29"/>
  <c r="P134" i="29"/>
  <c r="O134" i="29"/>
  <c r="N134" i="29"/>
  <c r="M134" i="29"/>
  <c r="L134" i="29"/>
  <c r="K134" i="29"/>
  <c r="J134" i="29"/>
  <c r="I134" i="29"/>
  <c r="H134" i="29"/>
  <c r="G134" i="29"/>
  <c r="F134" i="29"/>
  <c r="E134" i="29"/>
  <c r="D134" i="29"/>
  <c r="C134" i="29"/>
  <c r="B134" i="29"/>
  <c r="A134" i="29"/>
  <c r="AC133" i="29"/>
  <c r="AB133" i="29"/>
  <c r="AA133" i="29"/>
  <c r="Z133" i="29"/>
  <c r="Y133" i="29"/>
  <c r="X133" i="29"/>
  <c r="W133" i="29"/>
  <c r="V133" i="29"/>
  <c r="U133" i="29"/>
  <c r="T133" i="29"/>
  <c r="S133" i="29"/>
  <c r="R133" i="29"/>
  <c r="Q133" i="29"/>
  <c r="P133" i="29"/>
  <c r="O133" i="29"/>
  <c r="N133" i="29"/>
  <c r="M133" i="29"/>
  <c r="L133" i="29"/>
  <c r="K133" i="29"/>
  <c r="J133" i="29"/>
  <c r="I133" i="29"/>
  <c r="H133" i="29"/>
  <c r="G133" i="29"/>
  <c r="F133" i="29"/>
  <c r="E133" i="29"/>
  <c r="D133" i="29"/>
  <c r="C133" i="29"/>
  <c r="B133" i="29"/>
  <c r="A133" i="29"/>
  <c r="AC132" i="29"/>
  <c r="AB132" i="29"/>
  <c r="AA132" i="29"/>
  <c r="Z132" i="29"/>
  <c r="Y132" i="29"/>
  <c r="X132" i="29"/>
  <c r="W132" i="29"/>
  <c r="V132" i="29"/>
  <c r="U132" i="29"/>
  <c r="T132" i="29"/>
  <c r="S132" i="29"/>
  <c r="R132" i="29"/>
  <c r="Q132" i="29"/>
  <c r="P132" i="29"/>
  <c r="O132" i="29"/>
  <c r="N132" i="29"/>
  <c r="M132" i="29"/>
  <c r="L132" i="29"/>
  <c r="K132" i="29"/>
  <c r="J132" i="29"/>
  <c r="I132" i="29"/>
  <c r="H132" i="29"/>
  <c r="G132" i="29"/>
  <c r="F132" i="29"/>
  <c r="E132" i="29"/>
  <c r="D132" i="29"/>
  <c r="C132" i="29"/>
  <c r="B132" i="29"/>
  <c r="A132" i="29"/>
  <c r="AC131" i="29"/>
  <c r="AB131" i="29"/>
  <c r="AA131" i="29"/>
  <c r="Z131" i="29"/>
  <c r="Y131" i="29"/>
  <c r="X131" i="29"/>
  <c r="W131" i="29"/>
  <c r="V131" i="29"/>
  <c r="U131" i="29"/>
  <c r="T131" i="29"/>
  <c r="S131" i="29"/>
  <c r="R131" i="29"/>
  <c r="Q131" i="29"/>
  <c r="P131" i="29"/>
  <c r="O131" i="29"/>
  <c r="N131" i="29"/>
  <c r="M131" i="29"/>
  <c r="L131" i="29"/>
  <c r="K131" i="29"/>
  <c r="J131" i="29"/>
  <c r="I131" i="29"/>
  <c r="H131" i="29"/>
  <c r="G131" i="29"/>
  <c r="F131" i="29"/>
  <c r="E131" i="29"/>
  <c r="D131" i="29"/>
  <c r="C131" i="29"/>
  <c r="B131" i="29"/>
  <c r="A131" i="29"/>
  <c r="AC130" i="29"/>
  <c r="AB130" i="29"/>
  <c r="AA130" i="29"/>
  <c r="Z130" i="29"/>
  <c r="Y130" i="29"/>
  <c r="X130" i="29"/>
  <c r="W130" i="29"/>
  <c r="V130" i="29"/>
  <c r="U130" i="29"/>
  <c r="T130" i="29"/>
  <c r="S130" i="29"/>
  <c r="R130" i="29"/>
  <c r="Q130" i="29"/>
  <c r="P130" i="29"/>
  <c r="O130" i="29"/>
  <c r="N130" i="29"/>
  <c r="M130" i="29"/>
  <c r="L130" i="29"/>
  <c r="K130" i="29"/>
  <c r="J130" i="29"/>
  <c r="I130" i="29"/>
  <c r="H130" i="29"/>
  <c r="G130" i="29"/>
  <c r="F130" i="29"/>
  <c r="E130" i="29"/>
  <c r="D130" i="29"/>
  <c r="C130" i="29"/>
  <c r="B130" i="29"/>
  <c r="A130" i="29"/>
  <c r="AC129" i="29"/>
  <c r="AB129" i="29"/>
  <c r="AA129" i="29"/>
  <c r="Z129" i="29"/>
  <c r="Y129" i="29"/>
  <c r="X129" i="29"/>
  <c r="W129" i="29"/>
  <c r="V129" i="29"/>
  <c r="U129" i="29"/>
  <c r="T129" i="29"/>
  <c r="S129" i="29"/>
  <c r="R129" i="29"/>
  <c r="Q129" i="29"/>
  <c r="P129" i="29"/>
  <c r="O129" i="29"/>
  <c r="N129" i="29"/>
  <c r="M129" i="29"/>
  <c r="L129" i="29"/>
  <c r="K129" i="29"/>
  <c r="J129" i="29"/>
  <c r="I129" i="29"/>
  <c r="H129" i="29"/>
  <c r="G129" i="29"/>
  <c r="F129" i="29"/>
  <c r="E129" i="29"/>
  <c r="D129" i="29"/>
  <c r="C129" i="29"/>
  <c r="B129" i="29"/>
  <c r="A129" i="29"/>
  <c r="AC128" i="29"/>
  <c r="AB128" i="29"/>
  <c r="AA128" i="29"/>
  <c r="Z128" i="29"/>
  <c r="Y128" i="29"/>
  <c r="X128" i="29"/>
  <c r="W128" i="29"/>
  <c r="V128" i="29"/>
  <c r="U128" i="29"/>
  <c r="T128" i="29"/>
  <c r="S128" i="29"/>
  <c r="R128" i="29"/>
  <c r="Q128" i="29"/>
  <c r="P128" i="29"/>
  <c r="O128" i="29"/>
  <c r="N128" i="29"/>
  <c r="M128" i="29"/>
  <c r="L128" i="29"/>
  <c r="K128" i="29"/>
  <c r="J128" i="29"/>
  <c r="I128" i="29"/>
  <c r="H128" i="29"/>
  <c r="G128" i="29"/>
  <c r="F128" i="29"/>
  <c r="E128" i="29"/>
  <c r="D128" i="29"/>
  <c r="C128" i="29"/>
  <c r="B128" i="29"/>
  <c r="A128" i="29"/>
  <c r="AC127" i="29"/>
  <c r="AB127" i="29"/>
  <c r="AA127" i="29"/>
  <c r="Z127" i="29"/>
  <c r="Y127" i="29"/>
  <c r="X127" i="29"/>
  <c r="W127" i="29"/>
  <c r="V127" i="29"/>
  <c r="U127" i="29"/>
  <c r="T127" i="29"/>
  <c r="S127" i="29"/>
  <c r="R127" i="29"/>
  <c r="Q127" i="29"/>
  <c r="P127" i="29"/>
  <c r="O127" i="29"/>
  <c r="N127" i="29"/>
  <c r="M127" i="29"/>
  <c r="L127" i="29"/>
  <c r="K127" i="29"/>
  <c r="J127" i="29"/>
  <c r="I127" i="29"/>
  <c r="H127" i="29"/>
  <c r="G127" i="29"/>
  <c r="F127" i="29"/>
  <c r="E127" i="29"/>
  <c r="D127" i="29"/>
  <c r="C127" i="29"/>
  <c r="B127" i="29"/>
  <c r="A127" i="29"/>
  <c r="AC126" i="29"/>
  <c r="AB126" i="29"/>
  <c r="AA126" i="29"/>
  <c r="Z126" i="29"/>
  <c r="Y126" i="29"/>
  <c r="X126" i="29"/>
  <c r="W126" i="29"/>
  <c r="V126" i="29"/>
  <c r="U126" i="29"/>
  <c r="T126" i="29"/>
  <c r="S126" i="29"/>
  <c r="R126" i="29"/>
  <c r="Q126" i="29"/>
  <c r="P126" i="29"/>
  <c r="O126" i="29"/>
  <c r="N126" i="29"/>
  <c r="M126" i="29"/>
  <c r="L126" i="29"/>
  <c r="K126" i="29"/>
  <c r="J126" i="29"/>
  <c r="I126" i="29"/>
  <c r="H126" i="29"/>
  <c r="G126" i="29"/>
  <c r="F126" i="29"/>
  <c r="E126" i="29"/>
  <c r="D126" i="29"/>
  <c r="C126" i="29"/>
  <c r="B126" i="29"/>
  <c r="A126" i="29"/>
  <c r="AC125" i="29"/>
  <c r="AB125" i="29"/>
  <c r="AA125" i="29"/>
  <c r="Z125" i="29"/>
  <c r="Y125" i="29"/>
  <c r="X125" i="29"/>
  <c r="W125" i="29"/>
  <c r="V125" i="29"/>
  <c r="U125" i="29"/>
  <c r="T125" i="29"/>
  <c r="S125" i="29"/>
  <c r="R125" i="29"/>
  <c r="Q125" i="29"/>
  <c r="P125" i="29"/>
  <c r="O125" i="29"/>
  <c r="N125" i="29"/>
  <c r="M125" i="29"/>
  <c r="L125" i="29"/>
  <c r="K125" i="29"/>
  <c r="J125" i="29"/>
  <c r="I125" i="29"/>
  <c r="H125" i="29"/>
  <c r="G125" i="29"/>
  <c r="F125" i="29"/>
  <c r="E125" i="29"/>
  <c r="D125" i="29"/>
  <c r="C125" i="29"/>
  <c r="B125" i="29"/>
  <c r="A125" i="29"/>
  <c r="AC124" i="29"/>
  <c r="AB124" i="29"/>
  <c r="AA124" i="29"/>
  <c r="Z124" i="29"/>
  <c r="Y124" i="29"/>
  <c r="X124" i="29"/>
  <c r="W124" i="29"/>
  <c r="V124" i="29"/>
  <c r="U124" i="29"/>
  <c r="T124" i="29"/>
  <c r="S124" i="29"/>
  <c r="R124" i="29"/>
  <c r="Q124" i="29"/>
  <c r="P124" i="29"/>
  <c r="O124" i="29"/>
  <c r="N124" i="29"/>
  <c r="M124" i="29"/>
  <c r="L124" i="29"/>
  <c r="K124" i="29"/>
  <c r="J124" i="29"/>
  <c r="I124" i="29"/>
  <c r="H124" i="29"/>
  <c r="G124" i="29"/>
  <c r="F124" i="29"/>
  <c r="E124" i="29"/>
  <c r="D124" i="29"/>
  <c r="C124" i="29"/>
  <c r="B124" i="29"/>
  <c r="A124" i="29"/>
  <c r="AC123" i="29"/>
  <c r="AB123" i="29"/>
  <c r="AA123" i="29"/>
  <c r="Z123" i="29"/>
  <c r="Y123" i="29"/>
  <c r="X123" i="29"/>
  <c r="W123" i="29"/>
  <c r="V123" i="29"/>
  <c r="U123" i="29"/>
  <c r="T123" i="29"/>
  <c r="S123" i="29"/>
  <c r="R123" i="29"/>
  <c r="Q123" i="29"/>
  <c r="P123" i="29"/>
  <c r="O123" i="29"/>
  <c r="N123" i="29"/>
  <c r="M123" i="29"/>
  <c r="L123" i="29"/>
  <c r="K123" i="29"/>
  <c r="J123" i="29"/>
  <c r="I123" i="29"/>
  <c r="H123" i="29"/>
  <c r="G123" i="29"/>
  <c r="F123" i="29"/>
  <c r="E123" i="29"/>
  <c r="D123" i="29"/>
  <c r="C123" i="29"/>
  <c r="B123" i="29"/>
  <c r="A123" i="29"/>
  <c r="AC122" i="29"/>
  <c r="AB122" i="29"/>
  <c r="AA122" i="29"/>
  <c r="Z122" i="29"/>
  <c r="Y122" i="29"/>
  <c r="X122" i="29"/>
  <c r="W122" i="29"/>
  <c r="V122" i="29"/>
  <c r="U122" i="29"/>
  <c r="T122" i="29"/>
  <c r="S122" i="29"/>
  <c r="R122" i="29"/>
  <c r="Q122" i="29"/>
  <c r="P122" i="29"/>
  <c r="O122" i="29"/>
  <c r="N122" i="29"/>
  <c r="M122" i="29"/>
  <c r="L122" i="29"/>
  <c r="K122" i="29"/>
  <c r="J122" i="29"/>
  <c r="I122" i="29"/>
  <c r="H122" i="29"/>
  <c r="G122" i="29"/>
  <c r="F122" i="29"/>
  <c r="E122" i="29"/>
  <c r="D122" i="29"/>
  <c r="C122" i="29"/>
  <c r="B122" i="29"/>
  <c r="A122" i="29"/>
  <c r="AC121" i="29"/>
  <c r="AB121" i="29"/>
  <c r="AA121" i="29"/>
  <c r="Z121" i="29"/>
  <c r="Y121" i="29"/>
  <c r="X121" i="29"/>
  <c r="W121" i="29"/>
  <c r="V121" i="29"/>
  <c r="U121" i="29"/>
  <c r="T121" i="29"/>
  <c r="S121" i="29"/>
  <c r="R121" i="29"/>
  <c r="Q121" i="29"/>
  <c r="P121" i="29"/>
  <c r="O121" i="29"/>
  <c r="N121" i="29"/>
  <c r="M121" i="29"/>
  <c r="L121" i="29"/>
  <c r="K121" i="29"/>
  <c r="J121" i="29"/>
  <c r="I121" i="29"/>
  <c r="H121" i="29"/>
  <c r="G121" i="29"/>
  <c r="F121" i="29"/>
  <c r="E121" i="29"/>
  <c r="D121" i="29"/>
  <c r="C121" i="29"/>
  <c r="B121" i="29"/>
  <c r="A121" i="29"/>
  <c r="AC120" i="29"/>
  <c r="AB120" i="29"/>
  <c r="AA120" i="29"/>
  <c r="Z120" i="29"/>
  <c r="Y120" i="29"/>
  <c r="X120" i="29"/>
  <c r="W120" i="29"/>
  <c r="V120" i="29"/>
  <c r="U120" i="29"/>
  <c r="T120" i="29"/>
  <c r="S120" i="29"/>
  <c r="R120" i="29"/>
  <c r="Q120" i="29"/>
  <c r="P120" i="29"/>
  <c r="O120" i="29"/>
  <c r="N120" i="29"/>
  <c r="M120" i="29"/>
  <c r="L120" i="29"/>
  <c r="K120" i="29"/>
  <c r="J120" i="29"/>
  <c r="I120" i="29"/>
  <c r="H120" i="29"/>
  <c r="G120" i="29"/>
  <c r="F120" i="29"/>
  <c r="E120" i="29"/>
  <c r="D120" i="29"/>
  <c r="C120" i="29"/>
  <c r="B120" i="29"/>
  <c r="A120" i="29"/>
  <c r="AC119" i="29"/>
  <c r="AB119" i="29"/>
  <c r="AA119" i="29"/>
  <c r="Z119" i="29"/>
  <c r="Y119" i="29"/>
  <c r="X119" i="29"/>
  <c r="W119" i="29"/>
  <c r="V119" i="29"/>
  <c r="U119" i="29"/>
  <c r="T119" i="29"/>
  <c r="S119" i="29"/>
  <c r="R119" i="29"/>
  <c r="Q119" i="29"/>
  <c r="P119" i="29"/>
  <c r="O119" i="29"/>
  <c r="N119" i="29"/>
  <c r="M119" i="29"/>
  <c r="L119" i="29"/>
  <c r="K119" i="29"/>
  <c r="J119" i="29"/>
  <c r="I119" i="29"/>
  <c r="H119" i="29"/>
  <c r="G119" i="29"/>
  <c r="F119" i="29"/>
  <c r="E119" i="29"/>
  <c r="D119" i="29"/>
  <c r="C119" i="29"/>
  <c r="B119" i="29"/>
  <c r="A119" i="29"/>
  <c r="AC118" i="29"/>
  <c r="AB118" i="29"/>
  <c r="AA118" i="29"/>
  <c r="Z118" i="29"/>
  <c r="Y118" i="29"/>
  <c r="X118" i="29"/>
  <c r="W118" i="29"/>
  <c r="V118" i="29"/>
  <c r="U118" i="29"/>
  <c r="T118" i="29"/>
  <c r="S118" i="29"/>
  <c r="R118" i="29"/>
  <c r="Q118" i="29"/>
  <c r="P118" i="29"/>
  <c r="O118" i="29"/>
  <c r="N118" i="29"/>
  <c r="M118" i="29"/>
  <c r="L118" i="29"/>
  <c r="K118" i="29"/>
  <c r="J118" i="29"/>
  <c r="I118" i="29"/>
  <c r="H118" i="29"/>
  <c r="G118" i="29"/>
  <c r="F118" i="29"/>
  <c r="E118" i="29"/>
  <c r="D118" i="29"/>
  <c r="C118" i="29"/>
  <c r="B118" i="29"/>
  <c r="A118" i="29"/>
  <c r="AC117" i="29"/>
  <c r="AB117" i="29"/>
  <c r="AA117" i="29"/>
  <c r="Z117" i="29"/>
  <c r="Y117" i="29"/>
  <c r="X117" i="29"/>
  <c r="W117" i="29"/>
  <c r="V117" i="29"/>
  <c r="U117" i="29"/>
  <c r="T117" i="29"/>
  <c r="S117" i="29"/>
  <c r="R117" i="29"/>
  <c r="Q117" i="29"/>
  <c r="P117" i="29"/>
  <c r="O117" i="29"/>
  <c r="N117" i="29"/>
  <c r="M117" i="29"/>
  <c r="L117" i="29"/>
  <c r="K117" i="29"/>
  <c r="J117" i="29"/>
  <c r="I117" i="29"/>
  <c r="H117" i="29"/>
  <c r="G117" i="29"/>
  <c r="F117" i="29"/>
  <c r="E117" i="29"/>
  <c r="D117" i="29"/>
  <c r="C117" i="29"/>
  <c r="B117" i="29"/>
  <c r="A117" i="29"/>
  <c r="AC116" i="29"/>
  <c r="AB116" i="29"/>
  <c r="AA116" i="29"/>
  <c r="Z116" i="29"/>
  <c r="Y116" i="29"/>
  <c r="X116" i="29"/>
  <c r="W116" i="29"/>
  <c r="V116" i="29"/>
  <c r="U116" i="29"/>
  <c r="T116" i="29"/>
  <c r="S116" i="29"/>
  <c r="R116" i="29"/>
  <c r="Q116" i="29"/>
  <c r="P116" i="29"/>
  <c r="O116" i="29"/>
  <c r="N116" i="29"/>
  <c r="M116" i="29"/>
  <c r="L116" i="29"/>
  <c r="K116" i="29"/>
  <c r="J116" i="29"/>
  <c r="I116" i="29"/>
  <c r="H116" i="29"/>
  <c r="G116" i="29"/>
  <c r="F116" i="29"/>
  <c r="E116" i="29"/>
  <c r="D116" i="29"/>
  <c r="C116" i="29"/>
  <c r="B116" i="29"/>
  <c r="A116" i="29"/>
  <c r="AC115" i="29"/>
  <c r="AB115" i="29"/>
  <c r="AA115" i="29"/>
  <c r="Z115" i="29"/>
  <c r="Y115" i="29"/>
  <c r="X115" i="29"/>
  <c r="W115" i="29"/>
  <c r="V115" i="29"/>
  <c r="U115" i="29"/>
  <c r="T115" i="29"/>
  <c r="S115" i="29"/>
  <c r="R115" i="29"/>
  <c r="Q115" i="29"/>
  <c r="P115" i="29"/>
  <c r="O115" i="29"/>
  <c r="N115" i="29"/>
  <c r="M115" i="29"/>
  <c r="L115" i="29"/>
  <c r="K115" i="29"/>
  <c r="J115" i="29"/>
  <c r="I115" i="29"/>
  <c r="H115" i="29"/>
  <c r="G115" i="29"/>
  <c r="F115" i="29"/>
  <c r="E115" i="29"/>
  <c r="D115" i="29"/>
  <c r="C115" i="29"/>
  <c r="B115" i="29"/>
  <c r="A115" i="29"/>
  <c r="AC114" i="29"/>
  <c r="AB114" i="29"/>
  <c r="AA114" i="29"/>
  <c r="Z114" i="29"/>
  <c r="Y114" i="29"/>
  <c r="X114" i="29"/>
  <c r="W114" i="29"/>
  <c r="V114" i="29"/>
  <c r="U114" i="29"/>
  <c r="T114" i="29"/>
  <c r="S114" i="29"/>
  <c r="R114" i="29"/>
  <c r="Q114" i="29"/>
  <c r="P114" i="29"/>
  <c r="O114" i="29"/>
  <c r="N114" i="29"/>
  <c r="M114" i="29"/>
  <c r="L114" i="29"/>
  <c r="K114" i="29"/>
  <c r="J114" i="29"/>
  <c r="I114" i="29"/>
  <c r="H114" i="29"/>
  <c r="G114" i="29"/>
  <c r="F114" i="29"/>
  <c r="E114" i="29"/>
  <c r="D114" i="29"/>
  <c r="C114" i="29"/>
  <c r="B114" i="29"/>
  <c r="A114" i="29"/>
  <c r="AC113" i="29"/>
  <c r="AB113" i="29"/>
  <c r="AA113" i="29"/>
  <c r="Z113" i="29"/>
  <c r="Y113" i="29"/>
  <c r="X113" i="29"/>
  <c r="W113" i="29"/>
  <c r="V113" i="29"/>
  <c r="U113" i="29"/>
  <c r="T113" i="29"/>
  <c r="S113" i="29"/>
  <c r="R113" i="29"/>
  <c r="Q113" i="29"/>
  <c r="P113" i="29"/>
  <c r="O113" i="29"/>
  <c r="N113" i="29"/>
  <c r="M113" i="29"/>
  <c r="L113" i="29"/>
  <c r="K113" i="29"/>
  <c r="J113" i="29"/>
  <c r="I113" i="29"/>
  <c r="H113" i="29"/>
  <c r="G113" i="29"/>
  <c r="F113" i="29"/>
  <c r="E113" i="29"/>
  <c r="D113" i="29"/>
  <c r="C113" i="29"/>
  <c r="B113" i="29"/>
  <c r="A113" i="29"/>
  <c r="AC112" i="29"/>
  <c r="AB112" i="29"/>
  <c r="AA112" i="29"/>
  <c r="Z112" i="29"/>
  <c r="Y112" i="29"/>
  <c r="X112" i="29"/>
  <c r="W112" i="29"/>
  <c r="V112" i="29"/>
  <c r="U112" i="29"/>
  <c r="T112" i="29"/>
  <c r="S112" i="29"/>
  <c r="R112" i="29"/>
  <c r="Q112" i="29"/>
  <c r="P112" i="29"/>
  <c r="O112" i="29"/>
  <c r="N112" i="29"/>
  <c r="M112" i="29"/>
  <c r="L112" i="29"/>
  <c r="K112" i="29"/>
  <c r="J112" i="29"/>
  <c r="I112" i="29"/>
  <c r="H112" i="29"/>
  <c r="G112" i="29"/>
  <c r="F112" i="29"/>
  <c r="E112" i="29"/>
  <c r="D112" i="29"/>
  <c r="C112" i="29"/>
  <c r="B112" i="29"/>
  <c r="A112" i="29"/>
  <c r="AC111" i="29"/>
  <c r="AB111" i="29"/>
  <c r="AA111" i="29"/>
  <c r="Z111" i="29"/>
  <c r="Y111" i="29"/>
  <c r="X111" i="29"/>
  <c r="W111" i="29"/>
  <c r="V111" i="29"/>
  <c r="U111" i="29"/>
  <c r="T111" i="29"/>
  <c r="S111" i="29"/>
  <c r="R111" i="29"/>
  <c r="Q111" i="29"/>
  <c r="P111" i="29"/>
  <c r="O111" i="29"/>
  <c r="N111" i="29"/>
  <c r="M111" i="29"/>
  <c r="L111" i="29"/>
  <c r="K111" i="29"/>
  <c r="J111" i="29"/>
  <c r="I111" i="29"/>
  <c r="H111" i="29"/>
  <c r="G111" i="29"/>
  <c r="F111" i="29"/>
  <c r="E111" i="29"/>
  <c r="D111" i="29"/>
  <c r="C111" i="29"/>
  <c r="B111" i="29"/>
  <c r="A111" i="29"/>
  <c r="AC110" i="29"/>
  <c r="AB110" i="29"/>
  <c r="AA110" i="29"/>
  <c r="Z110" i="29"/>
  <c r="Y110" i="29"/>
  <c r="X110" i="29"/>
  <c r="W110" i="29"/>
  <c r="V110" i="29"/>
  <c r="U110" i="29"/>
  <c r="T110" i="29"/>
  <c r="S110" i="29"/>
  <c r="R110" i="29"/>
  <c r="Q110" i="29"/>
  <c r="P110" i="29"/>
  <c r="O110" i="29"/>
  <c r="N110" i="29"/>
  <c r="M110" i="29"/>
  <c r="L110" i="29"/>
  <c r="K110" i="29"/>
  <c r="J110" i="29"/>
  <c r="I110" i="29"/>
  <c r="H110" i="29"/>
  <c r="G110" i="29"/>
  <c r="F110" i="29"/>
  <c r="E110" i="29"/>
  <c r="D110" i="29"/>
  <c r="C110" i="29"/>
  <c r="B110" i="29"/>
  <c r="A110" i="29"/>
  <c r="AC109" i="29"/>
  <c r="AB109" i="29"/>
  <c r="AA109" i="29"/>
  <c r="Z109" i="29"/>
  <c r="Y109" i="29"/>
  <c r="X109" i="29"/>
  <c r="W109" i="29"/>
  <c r="V109" i="29"/>
  <c r="U109" i="29"/>
  <c r="T109" i="29"/>
  <c r="S109" i="29"/>
  <c r="R109" i="29"/>
  <c r="Q109" i="29"/>
  <c r="P109" i="29"/>
  <c r="O109" i="29"/>
  <c r="N109" i="29"/>
  <c r="M109" i="29"/>
  <c r="L109" i="29"/>
  <c r="K109" i="29"/>
  <c r="J109" i="29"/>
  <c r="I109" i="29"/>
  <c r="H109" i="29"/>
  <c r="G109" i="29"/>
  <c r="F109" i="29"/>
  <c r="E109" i="29"/>
  <c r="D109" i="29"/>
  <c r="C109" i="29"/>
  <c r="B109" i="29"/>
  <c r="A109" i="29"/>
  <c r="AC108" i="29"/>
  <c r="AB108" i="29"/>
  <c r="AA108" i="29"/>
  <c r="Z108" i="29"/>
  <c r="Y108" i="29"/>
  <c r="X108" i="29"/>
  <c r="W108" i="29"/>
  <c r="V108" i="29"/>
  <c r="U108" i="29"/>
  <c r="T108" i="29"/>
  <c r="S108" i="29"/>
  <c r="R108" i="29"/>
  <c r="Q108" i="29"/>
  <c r="P108" i="29"/>
  <c r="O108" i="29"/>
  <c r="N108" i="29"/>
  <c r="M108" i="29"/>
  <c r="L108" i="29"/>
  <c r="K108" i="29"/>
  <c r="J108" i="29"/>
  <c r="I108" i="29"/>
  <c r="H108" i="29"/>
  <c r="G108" i="29"/>
  <c r="F108" i="29"/>
  <c r="E108" i="29"/>
  <c r="D108" i="29"/>
  <c r="C108" i="29"/>
  <c r="B108" i="29"/>
  <c r="A108" i="29"/>
  <c r="AC107" i="29"/>
  <c r="AB107" i="29"/>
  <c r="AA107" i="29"/>
  <c r="Z107" i="29"/>
  <c r="Y107" i="29"/>
  <c r="X107" i="29"/>
  <c r="W107" i="29"/>
  <c r="V107" i="29"/>
  <c r="U107" i="29"/>
  <c r="T107" i="29"/>
  <c r="S107" i="29"/>
  <c r="R107" i="29"/>
  <c r="Q107" i="29"/>
  <c r="P107" i="29"/>
  <c r="O107" i="29"/>
  <c r="N107" i="29"/>
  <c r="M107" i="29"/>
  <c r="L107" i="29"/>
  <c r="K107" i="29"/>
  <c r="J107" i="29"/>
  <c r="I107" i="29"/>
  <c r="H107" i="29"/>
  <c r="G107" i="29"/>
  <c r="F107" i="29"/>
  <c r="E107" i="29"/>
  <c r="D107" i="29"/>
  <c r="C107" i="29"/>
  <c r="B107" i="29"/>
  <c r="A107" i="29"/>
  <c r="AC106" i="29"/>
  <c r="AB106" i="29"/>
  <c r="AA106" i="29"/>
  <c r="Z106" i="29"/>
  <c r="Y106" i="29"/>
  <c r="X106" i="29"/>
  <c r="W106" i="29"/>
  <c r="V106" i="29"/>
  <c r="U106" i="29"/>
  <c r="T106" i="29"/>
  <c r="S106" i="29"/>
  <c r="R106" i="29"/>
  <c r="Q106" i="29"/>
  <c r="P106" i="29"/>
  <c r="O106" i="29"/>
  <c r="N106" i="29"/>
  <c r="M106" i="29"/>
  <c r="L106" i="29"/>
  <c r="K106" i="29"/>
  <c r="J106" i="29"/>
  <c r="I106" i="29"/>
  <c r="H106" i="29"/>
  <c r="G106" i="29"/>
  <c r="F106" i="29"/>
  <c r="E106" i="29"/>
  <c r="D106" i="29"/>
  <c r="C106" i="29"/>
  <c r="B106" i="29"/>
  <c r="A106" i="29"/>
  <c r="AC105" i="29"/>
  <c r="AB105" i="29"/>
  <c r="AA105" i="29"/>
  <c r="Z105" i="29"/>
  <c r="Y105" i="29"/>
  <c r="X105" i="29"/>
  <c r="W105" i="29"/>
  <c r="V105" i="29"/>
  <c r="U105" i="29"/>
  <c r="T105" i="29"/>
  <c r="S105" i="29"/>
  <c r="R105" i="29"/>
  <c r="Q105" i="29"/>
  <c r="P105" i="29"/>
  <c r="O105" i="29"/>
  <c r="N105" i="29"/>
  <c r="M105" i="29"/>
  <c r="L105" i="29"/>
  <c r="K105" i="29"/>
  <c r="J105" i="29"/>
  <c r="I105" i="29"/>
  <c r="H105" i="29"/>
  <c r="G105" i="29"/>
  <c r="F105" i="29"/>
  <c r="E105" i="29"/>
  <c r="D105" i="29"/>
  <c r="C105" i="29"/>
  <c r="B105" i="29"/>
  <c r="A105" i="29"/>
  <c r="AC104" i="29"/>
  <c r="AB104" i="29"/>
  <c r="AA104" i="29"/>
  <c r="Z104" i="29"/>
  <c r="Y104" i="29"/>
  <c r="X104" i="29"/>
  <c r="W104" i="29"/>
  <c r="V104" i="29"/>
  <c r="U104" i="29"/>
  <c r="T104" i="29"/>
  <c r="S104" i="29"/>
  <c r="R104" i="29"/>
  <c r="Q104" i="29"/>
  <c r="P104" i="29"/>
  <c r="O104" i="29"/>
  <c r="N104" i="29"/>
  <c r="M104" i="29"/>
  <c r="L104" i="29"/>
  <c r="K104" i="29"/>
  <c r="J104" i="29"/>
  <c r="I104" i="29"/>
  <c r="H104" i="29"/>
  <c r="G104" i="29"/>
  <c r="F104" i="29"/>
  <c r="E104" i="29"/>
  <c r="D104" i="29"/>
  <c r="C104" i="29"/>
  <c r="B104" i="29"/>
  <c r="A104" i="29"/>
  <c r="AC103" i="29"/>
  <c r="AB103" i="29"/>
  <c r="AA103" i="29"/>
  <c r="Z103" i="29"/>
  <c r="Y103" i="29"/>
  <c r="X103" i="29"/>
  <c r="W103" i="29"/>
  <c r="V103" i="29"/>
  <c r="U103" i="29"/>
  <c r="T103" i="29"/>
  <c r="S103" i="29"/>
  <c r="R103" i="29"/>
  <c r="Q103" i="29"/>
  <c r="P103" i="29"/>
  <c r="O103" i="29"/>
  <c r="N103" i="29"/>
  <c r="M103" i="29"/>
  <c r="L103" i="29"/>
  <c r="K103" i="29"/>
  <c r="J103" i="29"/>
  <c r="I103" i="29"/>
  <c r="H103" i="29"/>
  <c r="G103" i="29"/>
  <c r="F103" i="29"/>
  <c r="E103" i="29"/>
  <c r="D103" i="29"/>
  <c r="C103" i="29"/>
  <c r="B103" i="29"/>
  <c r="A103" i="29"/>
  <c r="AC102" i="29"/>
  <c r="AB102" i="29"/>
  <c r="AA102" i="29"/>
  <c r="Z102" i="29"/>
  <c r="Y102" i="29"/>
  <c r="X102" i="29"/>
  <c r="W102" i="29"/>
  <c r="V102" i="29"/>
  <c r="U102" i="29"/>
  <c r="T102" i="29"/>
  <c r="S102" i="29"/>
  <c r="R102" i="29"/>
  <c r="Q102" i="29"/>
  <c r="P102" i="29"/>
  <c r="O102" i="29"/>
  <c r="N102" i="29"/>
  <c r="M102" i="29"/>
  <c r="L102" i="29"/>
  <c r="K102" i="29"/>
  <c r="J102" i="29"/>
  <c r="I102" i="29"/>
  <c r="H102" i="29"/>
  <c r="G102" i="29"/>
  <c r="F102" i="29"/>
  <c r="E102" i="29"/>
  <c r="D102" i="29"/>
  <c r="C102" i="29"/>
  <c r="B102" i="29"/>
  <c r="A102" i="29"/>
  <c r="AC101" i="29"/>
  <c r="AB101" i="29"/>
  <c r="AA101" i="29"/>
  <c r="Z101" i="29"/>
  <c r="Y101" i="29"/>
  <c r="X101" i="29"/>
  <c r="W101" i="29"/>
  <c r="V101" i="29"/>
  <c r="U101" i="29"/>
  <c r="T101" i="29"/>
  <c r="S101" i="29"/>
  <c r="R101" i="29"/>
  <c r="Q101" i="29"/>
  <c r="P101" i="29"/>
  <c r="O101" i="29"/>
  <c r="N101" i="29"/>
  <c r="M101" i="29"/>
  <c r="L101" i="29"/>
  <c r="K101" i="29"/>
  <c r="J101" i="29"/>
  <c r="I101" i="29"/>
  <c r="H101" i="29"/>
  <c r="G101" i="29"/>
  <c r="F101" i="29"/>
  <c r="E101" i="29"/>
  <c r="D101" i="29"/>
  <c r="C101" i="29"/>
  <c r="B101" i="29"/>
  <c r="A101" i="29"/>
  <c r="AC100" i="29"/>
  <c r="AB100" i="29"/>
  <c r="AA100" i="29"/>
  <c r="Z100" i="29"/>
  <c r="Y100" i="29"/>
  <c r="X100" i="29"/>
  <c r="W100" i="29"/>
  <c r="V100" i="29"/>
  <c r="U100" i="29"/>
  <c r="T100" i="29"/>
  <c r="S100" i="29"/>
  <c r="R100" i="29"/>
  <c r="Q100" i="29"/>
  <c r="P100" i="29"/>
  <c r="O100" i="29"/>
  <c r="N100" i="29"/>
  <c r="M100" i="29"/>
  <c r="L100" i="29"/>
  <c r="K100" i="29"/>
  <c r="J100" i="29"/>
  <c r="I100" i="29"/>
  <c r="H100" i="29"/>
  <c r="G100" i="29"/>
  <c r="F100" i="29"/>
  <c r="E100" i="29"/>
  <c r="D100" i="29"/>
  <c r="C100" i="29"/>
  <c r="B100" i="29"/>
  <c r="A100" i="29"/>
  <c r="AC99" i="29"/>
  <c r="AB99" i="29"/>
  <c r="AA99" i="29"/>
  <c r="Z99" i="29"/>
  <c r="Y99" i="29"/>
  <c r="X99" i="29"/>
  <c r="W99" i="29"/>
  <c r="V99" i="29"/>
  <c r="U99" i="29"/>
  <c r="T99" i="29"/>
  <c r="S99" i="29"/>
  <c r="R99" i="29"/>
  <c r="Q99" i="29"/>
  <c r="P99" i="29"/>
  <c r="O99" i="29"/>
  <c r="N99" i="29"/>
  <c r="M99" i="29"/>
  <c r="L99" i="29"/>
  <c r="K99" i="29"/>
  <c r="J99" i="29"/>
  <c r="I99" i="29"/>
  <c r="H99" i="29"/>
  <c r="G99" i="29"/>
  <c r="F99" i="29"/>
  <c r="E99" i="29"/>
  <c r="D99" i="29"/>
  <c r="C99" i="29"/>
  <c r="B99" i="29"/>
  <c r="A99" i="29"/>
  <c r="AC98" i="29"/>
  <c r="AB98" i="29"/>
  <c r="AA98" i="29"/>
  <c r="Z98" i="29"/>
  <c r="Y98" i="29"/>
  <c r="X98" i="29"/>
  <c r="W98" i="29"/>
  <c r="V98" i="29"/>
  <c r="U98" i="29"/>
  <c r="T98" i="29"/>
  <c r="S98" i="29"/>
  <c r="R98" i="29"/>
  <c r="Q98" i="29"/>
  <c r="P98" i="29"/>
  <c r="O98" i="29"/>
  <c r="N98" i="29"/>
  <c r="M98" i="29"/>
  <c r="L98" i="29"/>
  <c r="K98" i="29"/>
  <c r="J98" i="29"/>
  <c r="I98" i="29"/>
  <c r="H98" i="29"/>
  <c r="G98" i="29"/>
  <c r="F98" i="29"/>
  <c r="E98" i="29"/>
  <c r="D98" i="29"/>
  <c r="C98" i="29"/>
  <c r="B98" i="29"/>
  <c r="A98" i="29"/>
  <c r="AC97" i="29"/>
  <c r="AB97" i="29"/>
  <c r="AA97" i="29"/>
  <c r="Z97" i="29"/>
  <c r="Y97" i="29"/>
  <c r="X97" i="29"/>
  <c r="W97" i="29"/>
  <c r="V97" i="29"/>
  <c r="U97" i="29"/>
  <c r="T97" i="29"/>
  <c r="S97" i="29"/>
  <c r="R97" i="29"/>
  <c r="Q97" i="29"/>
  <c r="P97" i="29"/>
  <c r="O97" i="29"/>
  <c r="N97" i="29"/>
  <c r="M97" i="29"/>
  <c r="L97" i="29"/>
  <c r="K97" i="29"/>
  <c r="J97" i="29"/>
  <c r="I97" i="29"/>
  <c r="H97" i="29"/>
  <c r="G97" i="29"/>
  <c r="F97" i="29"/>
  <c r="E97" i="29"/>
  <c r="D97" i="29"/>
  <c r="C97" i="29"/>
  <c r="B97" i="29"/>
  <c r="A97" i="29"/>
  <c r="AC96" i="29"/>
  <c r="AB96" i="29"/>
  <c r="AA96" i="29"/>
  <c r="Z96" i="29"/>
  <c r="Y96" i="29"/>
  <c r="X96" i="29"/>
  <c r="W96" i="29"/>
  <c r="V96" i="29"/>
  <c r="U96" i="29"/>
  <c r="T96" i="29"/>
  <c r="S96" i="29"/>
  <c r="R96" i="29"/>
  <c r="Q96" i="29"/>
  <c r="P96" i="29"/>
  <c r="O96" i="29"/>
  <c r="N96" i="29"/>
  <c r="M96" i="29"/>
  <c r="L96" i="29"/>
  <c r="K96" i="29"/>
  <c r="J96" i="29"/>
  <c r="I96" i="29"/>
  <c r="H96" i="29"/>
  <c r="G96" i="29"/>
  <c r="F96" i="29"/>
  <c r="E96" i="29"/>
  <c r="D96" i="29"/>
  <c r="C96" i="29"/>
  <c r="B96" i="29"/>
  <c r="A96" i="29"/>
  <c r="AC95" i="29"/>
  <c r="AB95" i="29"/>
  <c r="AA95" i="29"/>
  <c r="Z95" i="29"/>
  <c r="Y95" i="29"/>
  <c r="X95" i="29"/>
  <c r="W95" i="29"/>
  <c r="V95" i="29"/>
  <c r="U95" i="29"/>
  <c r="T95" i="29"/>
  <c r="S95" i="29"/>
  <c r="R95" i="29"/>
  <c r="Q95" i="29"/>
  <c r="P95" i="29"/>
  <c r="O95" i="29"/>
  <c r="N95" i="29"/>
  <c r="M95" i="29"/>
  <c r="L95" i="29"/>
  <c r="K95" i="29"/>
  <c r="J95" i="29"/>
  <c r="I95" i="29"/>
  <c r="H95" i="29"/>
  <c r="G95" i="29"/>
  <c r="F95" i="29"/>
  <c r="E95" i="29"/>
  <c r="D95" i="29"/>
  <c r="C95" i="29"/>
  <c r="B95" i="29"/>
  <c r="A95" i="29"/>
  <c r="AC94" i="29"/>
  <c r="AB94" i="29"/>
  <c r="AA94" i="29"/>
  <c r="Z94" i="29"/>
  <c r="Y94" i="29"/>
  <c r="X94" i="29"/>
  <c r="W94" i="29"/>
  <c r="V94" i="29"/>
  <c r="U94" i="29"/>
  <c r="T94" i="29"/>
  <c r="S94" i="29"/>
  <c r="R94" i="29"/>
  <c r="Q94" i="29"/>
  <c r="P94" i="29"/>
  <c r="O94" i="29"/>
  <c r="N94" i="29"/>
  <c r="M94" i="29"/>
  <c r="L94" i="29"/>
  <c r="K94" i="29"/>
  <c r="J94" i="29"/>
  <c r="I94" i="29"/>
  <c r="H94" i="29"/>
  <c r="G94" i="29"/>
  <c r="F94" i="29"/>
  <c r="E94" i="29"/>
  <c r="D94" i="29"/>
  <c r="C94" i="29"/>
  <c r="B94" i="29"/>
  <c r="A94" i="29"/>
  <c r="AC93" i="29"/>
  <c r="AB93" i="29"/>
  <c r="AA93" i="29"/>
  <c r="Z93" i="29"/>
  <c r="Y93" i="29"/>
  <c r="X93" i="29"/>
  <c r="W93" i="29"/>
  <c r="V93" i="29"/>
  <c r="U93" i="29"/>
  <c r="T93" i="29"/>
  <c r="S93" i="29"/>
  <c r="R93" i="29"/>
  <c r="Q93" i="29"/>
  <c r="P93" i="29"/>
  <c r="O93" i="29"/>
  <c r="N93" i="29"/>
  <c r="M93" i="29"/>
  <c r="L93" i="29"/>
  <c r="K93" i="29"/>
  <c r="J93" i="29"/>
  <c r="I93" i="29"/>
  <c r="H93" i="29"/>
  <c r="G93" i="29"/>
  <c r="F93" i="29"/>
  <c r="E93" i="29"/>
  <c r="D93" i="29"/>
  <c r="C93" i="29"/>
  <c r="B93" i="29"/>
  <c r="A93" i="29"/>
  <c r="AC92" i="29"/>
  <c r="AB92" i="29"/>
  <c r="AA92" i="29"/>
  <c r="Z92" i="29"/>
  <c r="Y92" i="29"/>
  <c r="X92" i="29"/>
  <c r="W92" i="29"/>
  <c r="V92" i="29"/>
  <c r="U92" i="29"/>
  <c r="T92" i="29"/>
  <c r="S92" i="29"/>
  <c r="R92" i="29"/>
  <c r="Q92" i="29"/>
  <c r="P92" i="29"/>
  <c r="O92" i="29"/>
  <c r="N92" i="29"/>
  <c r="M92" i="29"/>
  <c r="L92" i="29"/>
  <c r="K92" i="29"/>
  <c r="J92" i="29"/>
  <c r="I92" i="29"/>
  <c r="H92" i="29"/>
  <c r="G92" i="29"/>
  <c r="F92" i="29"/>
  <c r="E92" i="29"/>
  <c r="D92" i="29"/>
  <c r="C92" i="29"/>
  <c r="B92" i="29"/>
  <c r="A92" i="29"/>
  <c r="AC91" i="29"/>
  <c r="AB91" i="29"/>
  <c r="AA91" i="29"/>
  <c r="Z91" i="29"/>
  <c r="Y91" i="29"/>
  <c r="X91" i="29"/>
  <c r="W91" i="29"/>
  <c r="V91" i="29"/>
  <c r="U91" i="29"/>
  <c r="T91" i="29"/>
  <c r="S91" i="29"/>
  <c r="R91" i="29"/>
  <c r="Q91" i="29"/>
  <c r="P91" i="29"/>
  <c r="O91" i="29"/>
  <c r="N91" i="29"/>
  <c r="M91" i="29"/>
  <c r="L91" i="29"/>
  <c r="K91" i="29"/>
  <c r="J91" i="29"/>
  <c r="I91" i="29"/>
  <c r="H91" i="29"/>
  <c r="G91" i="29"/>
  <c r="F91" i="29"/>
  <c r="E91" i="29"/>
  <c r="D91" i="29"/>
  <c r="C91" i="29"/>
  <c r="B91" i="29"/>
  <c r="A91" i="29"/>
  <c r="AC90" i="29"/>
  <c r="AB90" i="29"/>
  <c r="AA90" i="29"/>
  <c r="Z90" i="29"/>
  <c r="Y90" i="29"/>
  <c r="X90" i="29"/>
  <c r="W90" i="29"/>
  <c r="V90" i="29"/>
  <c r="U90" i="29"/>
  <c r="T90" i="29"/>
  <c r="S90" i="29"/>
  <c r="R90" i="29"/>
  <c r="Q90" i="29"/>
  <c r="P90" i="29"/>
  <c r="O90" i="29"/>
  <c r="N90" i="29"/>
  <c r="M90" i="29"/>
  <c r="L90" i="29"/>
  <c r="K90" i="29"/>
  <c r="J90" i="29"/>
  <c r="I90" i="29"/>
  <c r="H90" i="29"/>
  <c r="G90" i="29"/>
  <c r="F90" i="29"/>
  <c r="E90" i="29"/>
  <c r="D90" i="29"/>
  <c r="C90" i="29"/>
  <c r="B90" i="29"/>
  <c r="A90" i="29"/>
  <c r="AC89" i="29"/>
  <c r="AB89" i="29"/>
  <c r="AA89" i="29"/>
  <c r="Z89" i="29"/>
  <c r="Y89" i="29"/>
  <c r="X89" i="29"/>
  <c r="W89" i="29"/>
  <c r="V89" i="29"/>
  <c r="U89" i="29"/>
  <c r="T89" i="29"/>
  <c r="S89" i="29"/>
  <c r="R89" i="29"/>
  <c r="Q89" i="29"/>
  <c r="P89" i="29"/>
  <c r="O89" i="29"/>
  <c r="N89" i="29"/>
  <c r="M89" i="29"/>
  <c r="L89" i="29"/>
  <c r="K89" i="29"/>
  <c r="J89" i="29"/>
  <c r="I89" i="29"/>
  <c r="H89" i="29"/>
  <c r="G89" i="29"/>
  <c r="F89" i="29"/>
  <c r="E89" i="29"/>
  <c r="D89" i="29"/>
  <c r="C89" i="29"/>
  <c r="B89" i="29"/>
  <c r="A89" i="29"/>
  <c r="AC88" i="29"/>
  <c r="AB88" i="29"/>
  <c r="AA88" i="29"/>
  <c r="Z88" i="29"/>
  <c r="Y88" i="29"/>
  <c r="X88" i="29"/>
  <c r="W88" i="29"/>
  <c r="V88" i="29"/>
  <c r="U88" i="29"/>
  <c r="T88" i="29"/>
  <c r="S88" i="29"/>
  <c r="R88" i="29"/>
  <c r="Q88" i="29"/>
  <c r="P88" i="29"/>
  <c r="O88" i="29"/>
  <c r="N88" i="29"/>
  <c r="M88" i="29"/>
  <c r="L88" i="29"/>
  <c r="K88" i="29"/>
  <c r="J88" i="29"/>
  <c r="I88" i="29"/>
  <c r="H88" i="29"/>
  <c r="G88" i="29"/>
  <c r="F88" i="29"/>
  <c r="E88" i="29"/>
  <c r="D88" i="29"/>
  <c r="C88" i="29"/>
  <c r="B88" i="29"/>
  <c r="A88" i="29"/>
  <c r="AC87" i="29"/>
  <c r="AB87" i="29"/>
  <c r="AA87" i="29"/>
  <c r="Z87" i="29"/>
  <c r="Y87" i="29"/>
  <c r="X87" i="29"/>
  <c r="W87" i="29"/>
  <c r="V87" i="29"/>
  <c r="U87" i="29"/>
  <c r="T87" i="29"/>
  <c r="S87" i="29"/>
  <c r="R87" i="29"/>
  <c r="Q87" i="29"/>
  <c r="P87" i="29"/>
  <c r="O87" i="29"/>
  <c r="N87" i="29"/>
  <c r="M87" i="29"/>
  <c r="L87" i="29"/>
  <c r="K87" i="29"/>
  <c r="J87" i="29"/>
  <c r="I87" i="29"/>
  <c r="H87" i="29"/>
  <c r="G87" i="29"/>
  <c r="F87" i="29"/>
  <c r="E87" i="29"/>
  <c r="D87" i="29"/>
  <c r="C87" i="29"/>
  <c r="B87" i="29"/>
  <c r="A87" i="29"/>
  <c r="AC86" i="29"/>
  <c r="AB86" i="29"/>
  <c r="AA86" i="29"/>
  <c r="Z86" i="29"/>
  <c r="Y86" i="29"/>
  <c r="X86" i="29"/>
  <c r="W86" i="29"/>
  <c r="V86" i="29"/>
  <c r="U86" i="29"/>
  <c r="T86" i="29"/>
  <c r="S86" i="29"/>
  <c r="R86" i="29"/>
  <c r="Q86" i="29"/>
  <c r="P86" i="29"/>
  <c r="O86" i="29"/>
  <c r="N86" i="29"/>
  <c r="M86" i="29"/>
  <c r="L86" i="29"/>
  <c r="K86" i="29"/>
  <c r="J86" i="29"/>
  <c r="I86" i="29"/>
  <c r="H86" i="29"/>
  <c r="G86" i="29"/>
  <c r="F86" i="29"/>
  <c r="E86" i="29"/>
  <c r="D86" i="29"/>
  <c r="C86" i="29"/>
  <c r="B86" i="29"/>
  <c r="A86" i="29"/>
  <c r="AC85" i="29"/>
  <c r="AB85" i="29"/>
  <c r="AA85" i="29"/>
  <c r="Z85" i="29"/>
  <c r="Y85" i="29"/>
  <c r="X85" i="29"/>
  <c r="W85" i="29"/>
  <c r="V85" i="29"/>
  <c r="U85" i="29"/>
  <c r="T85" i="29"/>
  <c r="S85" i="29"/>
  <c r="R85" i="29"/>
  <c r="Q85" i="29"/>
  <c r="P85" i="29"/>
  <c r="O85" i="29"/>
  <c r="N85" i="29"/>
  <c r="M85" i="29"/>
  <c r="L85" i="29"/>
  <c r="K85" i="29"/>
  <c r="J85" i="29"/>
  <c r="I85" i="29"/>
  <c r="H85" i="29"/>
  <c r="G85" i="29"/>
  <c r="F85" i="29"/>
  <c r="E85" i="29"/>
  <c r="D85" i="29"/>
  <c r="C85" i="29"/>
  <c r="B85" i="29"/>
  <c r="A85" i="29"/>
  <c r="AC84" i="29"/>
  <c r="AB84" i="29"/>
  <c r="AA84" i="29"/>
  <c r="Z84" i="29"/>
  <c r="Y84" i="29"/>
  <c r="X84" i="29"/>
  <c r="W84" i="29"/>
  <c r="V84" i="29"/>
  <c r="U84" i="29"/>
  <c r="T84" i="29"/>
  <c r="S84" i="29"/>
  <c r="R84" i="29"/>
  <c r="Q84" i="29"/>
  <c r="P84" i="29"/>
  <c r="O84" i="29"/>
  <c r="N84" i="29"/>
  <c r="M84" i="29"/>
  <c r="L84" i="29"/>
  <c r="K84" i="29"/>
  <c r="J84" i="29"/>
  <c r="I84" i="29"/>
  <c r="H84" i="29"/>
  <c r="G84" i="29"/>
  <c r="F84" i="29"/>
  <c r="E84" i="29"/>
  <c r="D84" i="29"/>
  <c r="C84" i="29"/>
  <c r="B84" i="29"/>
  <c r="A84" i="29"/>
  <c r="AC83" i="29"/>
  <c r="AB83" i="29"/>
  <c r="AA83" i="29"/>
  <c r="Z83" i="29"/>
  <c r="Y83" i="29"/>
  <c r="X83" i="29"/>
  <c r="W83" i="29"/>
  <c r="V83" i="29"/>
  <c r="U83" i="29"/>
  <c r="T83" i="29"/>
  <c r="S83" i="29"/>
  <c r="R83" i="29"/>
  <c r="Q83" i="29"/>
  <c r="P83" i="29"/>
  <c r="O83" i="29"/>
  <c r="N83" i="29"/>
  <c r="M83" i="29"/>
  <c r="L83" i="29"/>
  <c r="K83" i="29"/>
  <c r="J83" i="29"/>
  <c r="I83" i="29"/>
  <c r="H83" i="29"/>
  <c r="G83" i="29"/>
  <c r="F83" i="29"/>
  <c r="E83" i="29"/>
  <c r="D83" i="29"/>
  <c r="C83" i="29"/>
  <c r="B83" i="29"/>
  <c r="A83" i="29"/>
  <c r="AC82" i="29"/>
  <c r="AB82" i="29"/>
  <c r="AA82" i="29"/>
  <c r="Z82" i="29"/>
  <c r="Y82" i="29"/>
  <c r="X82" i="29"/>
  <c r="W82" i="29"/>
  <c r="V82" i="29"/>
  <c r="U82" i="29"/>
  <c r="T82" i="29"/>
  <c r="S82" i="29"/>
  <c r="R82" i="29"/>
  <c r="Q82" i="29"/>
  <c r="P82" i="29"/>
  <c r="O82" i="29"/>
  <c r="N82" i="29"/>
  <c r="M82" i="29"/>
  <c r="L82" i="29"/>
  <c r="K82" i="29"/>
  <c r="J82" i="29"/>
  <c r="I82" i="29"/>
  <c r="H82" i="29"/>
  <c r="G82" i="29"/>
  <c r="F82" i="29"/>
  <c r="E82" i="29"/>
  <c r="D82" i="29"/>
  <c r="C82" i="29"/>
  <c r="B82" i="29"/>
  <c r="A82" i="29"/>
  <c r="AC81" i="29"/>
  <c r="AB81" i="29"/>
  <c r="AA81" i="29"/>
  <c r="Z81" i="29"/>
  <c r="Y81" i="29"/>
  <c r="X81" i="29"/>
  <c r="W81" i="29"/>
  <c r="V81" i="29"/>
  <c r="U81" i="29"/>
  <c r="T81" i="29"/>
  <c r="S81" i="29"/>
  <c r="R81" i="29"/>
  <c r="Q81" i="29"/>
  <c r="P81" i="29"/>
  <c r="O81" i="29"/>
  <c r="N81" i="29"/>
  <c r="M81" i="29"/>
  <c r="L81" i="29"/>
  <c r="K81" i="29"/>
  <c r="J81" i="29"/>
  <c r="I81" i="29"/>
  <c r="H81" i="29"/>
  <c r="G81" i="29"/>
  <c r="F81" i="29"/>
  <c r="E81" i="29"/>
  <c r="D81" i="29"/>
  <c r="C81" i="29"/>
  <c r="B81" i="29"/>
  <c r="A81" i="29"/>
  <c r="AC80" i="29"/>
  <c r="AB80" i="29"/>
  <c r="AA80" i="29"/>
  <c r="Z80" i="29"/>
  <c r="Y80" i="29"/>
  <c r="X80" i="29"/>
  <c r="W80" i="29"/>
  <c r="V80" i="29"/>
  <c r="U80" i="29"/>
  <c r="T80" i="29"/>
  <c r="S80" i="29"/>
  <c r="R80" i="29"/>
  <c r="Q80" i="29"/>
  <c r="P80" i="29"/>
  <c r="O80" i="29"/>
  <c r="N80" i="29"/>
  <c r="M80" i="29"/>
  <c r="L80" i="29"/>
  <c r="K80" i="29"/>
  <c r="J80" i="29"/>
  <c r="I80" i="29"/>
  <c r="H80" i="29"/>
  <c r="G80" i="29"/>
  <c r="F80" i="29"/>
  <c r="E80" i="29"/>
  <c r="D80" i="29"/>
  <c r="C80" i="29"/>
  <c r="B80" i="29"/>
  <c r="A80" i="29"/>
  <c r="AC79" i="29"/>
  <c r="AB79" i="29"/>
  <c r="AA79" i="29"/>
  <c r="Z79" i="29"/>
  <c r="Y79" i="29"/>
  <c r="X79" i="29"/>
  <c r="W79" i="29"/>
  <c r="V79" i="29"/>
  <c r="U79" i="29"/>
  <c r="T79" i="29"/>
  <c r="S79" i="29"/>
  <c r="R79" i="29"/>
  <c r="Q79" i="29"/>
  <c r="P79" i="29"/>
  <c r="O79" i="29"/>
  <c r="N79" i="29"/>
  <c r="M79" i="29"/>
  <c r="L79" i="29"/>
  <c r="K79" i="29"/>
  <c r="J79" i="29"/>
  <c r="I79" i="29"/>
  <c r="H79" i="29"/>
  <c r="G79" i="29"/>
  <c r="F79" i="29"/>
  <c r="E79" i="29"/>
  <c r="D79" i="29"/>
  <c r="C79" i="29"/>
  <c r="B79" i="29"/>
  <c r="A79" i="29"/>
  <c r="AC78" i="29"/>
  <c r="AB78" i="29"/>
  <c r="AA78" i="29"/>
  <c r="Z78" i="29"/>
  <c r="Y78" i="29"/>
  <c r="X78" i="29"/>
  <c r="W78" i="29"/>
  <c r="V78" i="29"/>
  <c r="U78" i="29"/>
  <c r="T78" i="29"/>
  <c r="S78" i="29"/>
  <c r="R78" i="29"/>
  <c r="Q78" i="29"/>
  <c r="P78" i="29"/>
  <c r="O78" i="29"/>
  <c r="N78" i="29"/>
  <c r="M78" i="29"/>
  <c r="L78" i="29"/>
  <c r="K78" i="29"/>
  <c r="J78" i="29"/>
  <c r="I78" i="29"/>
  <c r="H78" i="29"/>
  <c r="G78" i="29"/>
  <c r="F78" i="29"/>
  <c r="E78" i="29"/>
  <c r="D78" i="29"/>
  <c r="C78" i="29"/>
  <c r="B78" i="29"/>
  <c r="A78" i="29"/>
  <c r="AC77" i="29"/>
  <c r="AB77" i="29"/>
  <c r="AA77" i="29"/>
  <c r="Z77" i="29"/>
  <c r="Y77" i="29"/>
  <c r="X77" i="29"/>
  <c r="W77" i="29"/>
  <c r="V77" i="29"/>
  <c r="U77" i="29"/>
  <c r="T77" i="29"/>
  <c r="S77" i="29"/>
  <c r="R77" i="29"/>
  <c r="Q77" i="29"/>
  <c r="P77" i="29"/>
  <c r="O77" i="29"/>
  <c r="N77" i="29"/>
  <c r="M77" i="29"/>
  <c r="L77" i="29"/>
  <c r="K77" i="29"/>
  <c r="J77" i="29"/>
  <c r="I77" i="29"/>
  <c r="H77" i="29"/>
  <c r="G77" i="29"/>
  <c r="F77" i="29"/>
  <c r="E77" i="29"/>
  <c r="D77" i="29"/>
  <c r="C77" i="29"/>
  <c r="B77" i="29"/>
  <c r="A77" i="29"/>
  <c r="AC76" i="29"/>
  <c r="AB76" i="29"/>
  <c r="AA76" i="29"/>
  <c r="Z76" i="29"/>
  <c r="Y76" i="29"/>
  <c r="X76" i="29"/>
  <c r="W76" i="29"/>
  <c r="V76" i="29"/>
  <c r="U76" i="29"/>
  <c r="T76" i="29"/>
  <c r="S76" i="29"/>
  <c r="R76" i="29"/>
  <c r="Q76" i="29"/>
  <c r="P76" i="29"/>
  <c r="O76" i="29"/>
  <c r="N76" i="29"/>
  <c r="M76" i="29"/>
  <c r="L76" i="29"/>
  <c r="K76" i="29"/>
  <c r="J76" i="29"/>
  <c r="I76" i="29"/>
  <c r="H76" i="29"/>
  <c r="G76" i="29"/>
  <c r="F76" i="29"/>
  <c r="E76" i="29"/>
  <c r="D76" i="29"/>
  <c r="C76" i="29"/>
  <c r="B76" i="29"/>
  <c r="A76" i="29"/>
  <c r="AC75" i="29"/>
  <c r="AB75" i="29"/>
  <c r="AA75" i="29"/>
  <c r="Z75" i="29"/>
  <c r="Y75" i="29"/>
  <c r="X75" i="29"/>
  <c r="W75" i="29"/>
  <c r="V75" i="29"/>
  <c r="U75" i="29"/>
  <c r="T75" i="29"/>
  <c r="S75" i="29"/>
  <c r="R75" i="29"/>
  <c r="Q75" i="29"/>
  <c r="P75" i="29"/>
  <c r="O75" i="29"/>
  <c r="N75" i="29"/>
  <c r="M75" i="29"/>
  <c r="L75" i="29"/>
  <c r="K75" i="29"/>
  <c r="J75" i="29"/>
  <c r="I75" i="29"/>
  <c r="H75" i="29"/>
  <c r="G75" i="29"/>
  <c r="F75" i="29"/>
  <c r="E75" i="29"/>
  <c r="D75" i="29"/>
  <c r="C75" i="29"/>
  <c r="B75" i="29"/>
  <c r="A75" i="29"/>
  <c r="AC74" i="29"/>
  <c r="AB74" i="29"/>
  <c r="AA74" i="29"/>
  <c r="Z74" i="29"/>
  <c r="Y74" i="29"/>
  <c r="X74" i="29"/>
  <c r="W74" i="29"/>
  <c r="V74" i="29"/>
  <c r="U74" i="29"/>
  <c r="T74" i="29"/>
  <c r="S74" i="29"/>
  <c r="R74" i="29"/>
  <c r="Q74" i="29"/>
  <c r="P74" i="29"/>
  <c r="O74" i="29"/>
  <c r="N74" i="29"/>
  <c r="M74" i="29"/>
  <c r="L74" i="29"/>
  <c r="K74" i="29"/>
  <c r="J74" i="29"/>
  <c r="I74" i="29"/>
  <c r="H74" i="29"/>
  <c r="G74" i="29"/>
  <c r="F74" i="29"/>
  <c r="E74" i="29"/>
  <c r="D74" i="29"/>
  <c r="C74" i="29"/>
  <c r="B74" i="29"/>
  <c r="A74" i="29"/>
  <c r="AC73" i="29"/>
  <c r="AB73" i="29"/>
  <c r="AA73" i="29"/>
  <c r="Z73" i="29"/>
  <c r="Y73" i="29"/>
  <c r="X73" i="29"/>
  <c r="W73" i="29"/>
  <c r="V73" i="29"/>
  <c r="U73" i="29"/>
  <c r="T73" i="29"/>
  <c r="S73" i="29"/>
  <c r="R73" i="29"/>
  <c r="Q73" i="29"/>
  <c r="P73" i="29"/>
  <c r="O73" i="29"/>
  <c r="N73" i="29"/>
  <c r="M73" i="29"/>
  <c r="L73" i="29"/>
  <c r="K73" i="29"/>
  <c r="J73" i="29"/>
  <c r="I73" i="29"/>
  <c r="H73" i="29"/>
  <c r="G73" i="29"/>
  <c r="F73" i="29"/>
  <c r="E73" i="29"/>
  <c r="D73" i="29"/>
  <c r="C73" i="29"/>
  <c r="B73" i="29"/>
  <c r="A73" i="29"/>
  <c r="AC72" i="29"/>
  <c r="AB72" i="29"/>
  <c r="AA72" i="29"/>
  <c r="Z72" i="29"/>
  <c r="Y72" i="29"/>
  <c r="X72" i="29"/>
  <c r="W72" i="29"/>
  <c r="V72" i="29"/>
  <c r="U72" i="29"/>
  <c r="T72" i="29"/>
  <c r="S72" i="29"/>
  <c r="R72" i="29"/>
  <c r="Q72" i="29"/>
  <c r="P72" i="29"/>
  <c r="O72" i="29"/>
  <c r="N72" i="29"/>
  <c r="M72" i="29"/>
  <c r="L72" i="29"/>
  <c r="K72" i="29"/>
  <c r="J72" i="29"/>
  <c r="I72" i="29"/>
  <c r="H72" i="29"/>
  <c r="G72" i="29"/>
  <c r="F72" i="29"/>
  <c r="E72" i="29"/>
  <c r="D72" i="29"/>
  <c r="C72" i="29"/>
  <c r="B72" i="29"/>
  <c r="A72" i="29"/>
  <c r="AC71" i="29"/>
  <c r="AB71" i="29"/>
  <c r="AA71" i="29"/>
  <c r="Z71" i="29"/>
  <c r="Y71" i="29"/>
  <c r="X71" i="29"/>
  <c r="W71" i="29"/>
  <c r="V71" i="29"/>
  <c r="U71" i="29"/>
  <c r="T71" i="29"/>
  <c r="S71" i="29"/>
  <c r="R71" i="29"/>
  <c r="Q71" i="29"/>
  <c r="P71" i="29"/>
  <c r="O71" i="29"/>
  <c r="N71" i="29"/>
  <c r="M71" i="29"/>
  <c r="L71" i="29"/>
  <c r="K71" i="29"/>
  <c r="J71" i="29"/>
  <c r="I71" i="29"/>
  <c r="H71" i="29"/>
  <c r="G71" i="29"/>
  <c r="F71" i="29"/>
  <c r="E71" i="29"/>
  <c r="D71" i="29"/>
  <c r="C71" i="29"/>
  <c r="B71" i="29"/>
  <c r="A71" i="29"/>
  <c r="AC70" i="29"/>
  <c r="AB70" i="29"/>
  <c r="AA70" i="29"/>
  <c r="Z70" i="29"/>
  <c r="Y70" i="29"/>
  <c r="X70" i="29"/>
  <c r="W70" i="29"/>
  <c r="V70" i="29"/>
  <c r="U70" i="29"/>
  <c r="T70" i="29"/>
  <c r="S70" i="29"/>
  <c r="R70" i="29"/>
  <c r="Q70" i="29"/>
  <c r="P70" i="29"/>
  <c r="O70" i="29"/>
  <c r="N70" i="29"/>
  <c r="M70" i="29"/>
  <c r="L70" i="29"/>
  <c r="K70" i="29"/>
  <c r="J70" i="29"/>
  <c r="I70" i="29"/>
  <c r="H70" i="29"/>
  <c r="G70" i="29"/>
  <c r="F70" i="29"/>
  <c r="E70" i="29"/>
  <c r="D70" i="29"/>
  <c r="C70" i="29"/>
  <c r="B70" i="29"/>
  <c r="A70" i="29"/>
  <c r="AC69" i="29"/>
  <c r="AB69" i="29"/>
  <c r="AA69" i="29"/>
  <c r="Z69" i="29"/>
  <c r="Y69" i="29"/>
  <c r="X69" i="29"/>
  <c r="W69" i="29"/>
  <c r="V69" i="29"/>
  <c r="U69" i="29"/>
  <c r="T69" i="29"/>
  <c r="S69" i="29"/>
  <c r="R69" i="29"/>
  <c r="Q69" i="29"/>
  <c r="P69" i="29"/>
  <c r="O69" i="29"/>
  <c r="N69" i="29"/>
  <c r="M69" i="29"/>
  <c r="L69" i="29"/>
  <c r="K69" i="29"/>
  <c r="J69" i="29"/>
  <c r="I69" i="29"/>
  <c r="H69" i="29"/>
  <c r="G69" i="29"/>
  <c r="F69" i="29"/>
  <c r="E69" i="29"/>
  <c r="D69" i="29"/>
  <c r="C69" i="29"/>
  <c r="B69" i="29"/>
  <c r="A69" i="29"/>
  <c r="AC68" i="29"/>
  <c r="AB68" i="29"/>
  <c r="AA68" i="29"/>
  <c r="Z68" i="29"/>
  <c r="Y68" i="29"/>
  <c r="X68" i="29"/>
  <c r="W68" i="29"/>
  <c r="V68" i="29"/>
  <c r="U68" i="29"/>
  <c r="T68" i="29"/>
  <c r="S68" i="29"/>
  <c r="R68" i="29"/>
  <c r="Q68" i="29"/>
  <c r="P68" i="29"/>
  <c r="O68" i="29"/>
  <c r="N68" i="29"/>
  <c r="M68" i="29"/>
  <c r="L68" i="29"/>
  <c r="K68" i="29"/>
  <c r="J68" i="29"/>
  <c r="I68" i="29"/>
  <c r="H68" i="29"/>
  <c r="G68" i="29"/>
  <c r="F68" i="29"/>
  <c r="E68" i="29"/>
  <c r="D68" i="29"/>
  <c r="C68" i="29"/>
  <c r="B68" i="29"/>
  <c r="A68" i="29"/>
  <c r="AC67" i="29"/>
  <c r="AB67" i="29"/>
  <c r="AA67" i="29"/>
  <c r="Z67" i="29"/>
  <c r="Y67" i="29"/>
  <c r="X67" i="29"/>
  <c r="W67" i="29"/>
  <c r="V67" i="29"/>
  <c r="U67" i="29"/>
  <c r="T67" i="29"/>
  <c r="S67" i="29"/>
  <c r="R67" i="29"/>
  <c r="Q67" i="29"/>
  <c r="P67" i="29"/>
  <c r="O67" i="29"/>
  <c r="N67" i="29"/>
  <c r="M67" i="29"/>
  <c r="L67" i="29"/>
  <c r="K67" i="29"/>
  <c r="J67" i="29"/>
  <c r="I67" i="29"/>
  <c r="H67" i="29"/>
  <c r="G67" i="29"/>
  <c r="F67" i="29"/>
  <c r="E67" i="29"/>
  <c r="D67" i="29"/>
  <c r="C67" i="29"/>
  <c r="B67" i="29"/>
  <c r="A67" i="29"/>
  <c r="AC66" i="29"/>
  <c r="AB66" i="29"/>
  <c r="AA66" i="29"/>
  <c r="Z66" i="29"/>
  <c r="Y66" i="29"/>
  <c r="X66" i="29"/>
  <c r="W66" i="29"/>
  <c r="V66" i="29"/>
  <c r="U66" i="29"/>
  <c r="T66" i="29"/>
  <c r="S66" i="29"/>
  <c r="R66" i="29"/>
  <c r="Q66" i="29"/>
  <c r="P66" i="29"/>
  <c r="O66" i="29"/>
  <c r="N66" i="29"/>
  <c r="M66" i="29"/>
  <c r="L66" i="29"/>
  <c r="K66" i="29"/>
  <c r="J66" i="29"/>
  <c r="I66" i="29"/>
  <c r="H66" i="29"/>
  <c r="G66" i="29"/>
  <c r="F66" i="29"/>
  <c r="E66" i="29"/>
  <c r="D66" i="29"/>
  <c r="C66" i="29"/>
  <c r="B66" i="29"/>
  <c r="A66" i="29"/>
  <c r="AC65" i="29"/>
  <c r="AB65" i="29"/>
  <c r="AA65" i="29"/>
  <c r="Z65" i="29"/>
  <c r="Y65" i="29"/>
  <c r="X65" i="29"/>
  <c r="W65" i="29"/>
  <c r="V65" i="29"/>
  <c r="U65" i="29"/>
  <c r="T65" i="29"/>
  <c r="S65" i="29"/>
  <c r="R65" i="29"/>
  <c r="Q65" i="29"/>
  <c r="P65" i="29"/>
  <c r="O65" i="29"/>
  <c r="N65" i="29"/>
  <c r="M65" i="29"/>
  <c r="L65" i="29"/>
  <c r="K65" i="29"/>
  <c r="J65" i="29"/>
  <c r="I65" i="29"/>
  <c r="H65" i="29"/>
  <c r="G65" i="29"/>
  <c r="F65" i="29"/>
  <c r="E65" i="29"/>
  <c r="D65" i="29"/>
  <c r="C65" i="29"/>
  <c r="B65" i="29"/>
  <c r="A65" i="29"/>
  <c r="AC64" i="29"/>
  <c r="AB64" i="29"/>
  <c r="AA64" i="29"/>
  <c r="Z64" i="29"/>
  <c r="Y64" i="29"/>
  <c r="X64" i="29"/>
  <c r="W64" i="29"/>
  <c r="V64" i="29"/>
  <c r="U64" i="29"/>
  <c r="T64" i="29"/>
  <c r="S64" i="29"/>
  <c r="R64" i="29"/>
  <c r="Q64" i="29"/>
  <c r="P64" i="29"/>
  <c r="O64" i="29"/>
  <c r="N64" i="29"/>
  <c r="M64" i="29"/>
  <c r="L64" i="29"/>
  <c r="K64" i="29"/>
  <c r="J64" i="29"/>
  <c r="I64" i="29"/>
  <c r="H64" i="29"/>
  <c r="G64" i="29"/>
  <c r="F64" i="29"/>
  <c r="E64" i="29"/>
  <c r="D64" i="29"/>
  <c r="C64" i="29"/>
  <c r="B64" i="29"/>
  <c r="A64" i="29"/>
  <c r="AC63" i="29"/>
  <c r="AB63" i="29"/>
  <c r="AA63" i="29"/>
  <c r="Z63" i="29"/>
  <c r="Y63" i="29"/>
  <c r="X63" i="29"/>
  <c r="W63" i="29"/>
  <c r="V63" i="29"/>
  <c r="U63" i="29"/>
  <c r="T63" i="29"/>
  <c r="S63" i="29"/>
  <c r="R63" i="29"/>
  <c r="Q63" i="29"/>
  <c r="P63" i="29"/>
  <c r="O63" i="29"/>
  <c r="N63" i="29"/>
  <c r="M63" i="29"/>
  <c r="L63" i="29"/>
  <c r="K63" i="29"/>
  <c r="J63" i="29"/>
  <c r="I63" i="29"/>
  <c r="H63" i="29"/>
  <c r="G63" i="29"/>
  <c r="F63" i="29"/>
  <c r="E63" i="29"/>
  <c r="D63" i="29"/>
  <c r="C63" i="29"/>
  <c r="B63" i="29"/>
  <c r="A63" i="29"/>
  <c r="AC62" i="29"/>
  <c r="AB62" i="29"/>
  <c r="AA62" i="29"/>
  <c r="Z62" i="29"/>
  <c r="Y62" i="29"/>
  <c r="X62" i="29"/>
  <c r="W62" i="29"/>
  <c r="V62" i="29"/>
  <c r="U62" i="29"/>
  <c r="T62" i="29"/>
  <c r="S62" i="29"/>
  <c r="R62" i="29"/>
  <c r="Q62" i="29"/>
  <c r="P62" i="29"/>
  <c r="O62" i="29"/>
  <c r="N62" i="29"/>
  <c r="M62" i="29"/>
  <c r="L62" i="29"/>
  <c r="K62" i="29"/>
  <c r="J62" i="29"/>
  <c r="I62" i="29"/>
  <c r="H62" i="29"/>
  <c r="G62" i="29"/>
  <c r="F62" i="29"/>
  <c r="E62" i="29"/>
  <c r="D62" i="29"/>
  <c r="C62" i="29"/>
  <c r="B62" i="29"/>
  <c r="A62" i="29"/>
  <c r="AC61" i="29"/>
  <c r="AB61" i="29"/>
  <c r="AA61" i="29"/>
  <c r="Z61" i="29"/>
  <c r="Y61" i="29"/>
  <c r="X61" i="29"/>
  <c r="W61" i="29"/>
  <c r="V61" i="29"/>
  <c r="U61" i="29"/>
  <c r="T61" i="29"/>
  <c r="S61" i="29"/>
  <c r="R61" i="29"/>
  <c r="Q61" i="29"/>
  <c r="P61" i="29"/>
  <c r="O61" i="29"/>
  <c r="N61" i="29"/>
  <c r="M61" i="29"/>
  <c r="L61" i="29"/>
  <c r="K61" i="29"/>
  <c r="J61" i="29"/>
  <c r="I61" i="29"/>
  <c r="H61" i="29"/>
  <c r="G61" i="29"/>
  <c r="F61" i="29"/>
  <c r="E61" i="29"/>
  <c r="D61" i="29"/>
  <c r="C61" i="29"/>
  <c r="B61" i="29"/>
  <c r="A61" i="29"/>
  <c r="AC60" i="29"/>
  <c r="AB60" i="29"/>
  <c r="AA60" i="29"/>
  <c r="Z60" i="29"/>
  <c r="Y60" i="29"/>
  <c r="X60" i="29"/>
  <c r="W60" i="29"/>
  <c r="V60" i="29"/>
  <c r="U60" i="29"/>
  <c r="T60" i="29"/>
  <c r="S60" i="29"/>
  <c r="R60" i="29"/>
  <c r="Q60" i="29"/>
  <c r="P60" i="29"/>
  <c r="O60" i="29"/>
  <c r="N60" i="29"/>
  <c r="M60" i="29"/>
  <c r="L60" i="29"/>
  <c r="K60" i="29"/>
  <c r="J60" i="29"/>
  <c r="I60" i="29"/>
  <c r="H60" i="29"/>
  <c r="G60" i="29"/>
  <c r="F60" i="29"/>
  <c r="E60" i="29"/>
  <c r="D60" i="29"/>
  <c r="C60" i="29"/>
  <c r="B60" i="29"/>
  <c r="A60" i="29"/>
  <c r="AC59" i="29"/>
  <c r="AB59" i="29"/>
  <c r="AA59" i="29"/>
  <c r="Z59" i="29"/>
  <c r="Y59" i="29"/>
  <c r="X59" i="29"/>
  <c r="W59" i="29"/>
  <c r="V59" i="29"/>
  <c r="U59" i="29"/>
  <c r="T59" i="29"/>
  <c r="S59" i="29"/>
  <c r="R59" i="29"/>
  <c r="Q59" i="29"/>
  <c r="P59" i="29"/>
  <c r="O59" i="29"/>
  <c r="N59" i="29"/>
  <c r="M59" i="29"/>
  <c r="L59" i="29"/>
  <c r="K59" i="29"/>
  <c r="J59" i="29"/>
  <c r="I59" i="29"/>
  <c r="H59" i="29"/>
  <c r="G59" i="29"/>
  <c r="F59" i="29"/>
  <c r="E59" i="29"/>
  <c r="D59" i="29"/>
  <c r="C59" i="29"/>
  <c r="B59" i="29"/>
  <c r="A59" i="29"/>
  <c r="AC58" i="29"/>
  <c r="AB58" i="29"/>
  <c r="AA58" i="29"/>
  <c r="Z58" i="29"/>
  <c r="Y58" i="29"/>
  <c r="X58" i="29"/>
  <c r="W58" i="29"/>
  <c r="V58" i="29"/>
  <c r="U58" i="29"/>
  <c r="T58" i="29"/>
  <c r="S58" i="29"/>
  <c r="R58" i="29"/>
  <c r="Q58" i="29"/>
  <c r="P58" i="29"/>
  <c r="O58" i="29"/>
  <c r="N58" i="29"/>
  <c r="M58" i="29"/>
  <c r="L58" i="29"/>
  <c r="K58" i="29"/>
  <c r="J58" i="29"/>
  <c r="I58" i="29"/>
  <c r="H58" i="29"/>
  <c r="G58" i="29"/>
  <c r="F58" i="29"/>
  <c r="E58" i="29"/>
  <c r="D58" i="29"/>
  <c r="C58" i="29"/>
  <c r="B58" i="29"/>
  <c r="A58" i="29"/>
  <c r="AC57" i="29"/>
  <c r="AB57" i="29"/>
  <c r="AA57" i="29"/>
  <c r="Z57" i="29"/>
  <c r="Y57" i="29"/>
  <c r="X57" i="29"/>
  <c r="W57" i="29"/>
  <c r="V57" i="29"/>
  <c r="U57" i="29"/>
  <c r="T57" i="29"/>
  <c r="S57" i="29"/>
  <c r="R57" i="29"/>
  <c r="Q57" i="29"/>
  <c r="P57" i="29"/>
  <c r="O57" i="29"/>
  <c r="N57" i="29"/>
  <c r="M57" i="29"/>
  <c r="L57" i="29"/>
  <c r="K57" i="29"/>
  <c r="J57" i="29"/>
  <c r="I57" i="29"/>
  <c r="H57" i="29"/>
  <c r="G57" i="29"/>
  <c r="F57" i="29"/>
  <c r="E57" i="29"/>
  <c r="D57" i="29"/>
  <c r="C57" i="29"/>
  <c r="B57" i="29"/>
  <c r="A57" i="29"/>
  <c r="AC56" i="29"/>
  <c r="AB56" i="29"/>
  <c r="AA56" i="29"/>
  <c r="Z56" i="29"/>
  <c r="Y56" i="29"/>
  <c r="X56" i="29"/>
  <c r="W56" i="29"/>
  <c r="V56" i="29"/>
  <c r="U56" i="29"/>
  <c r="T56" i="29"/>
  <c r="S56" i="29"/>
  <c r="R56" i="29"/>
  <c r="Q56" i="29"/>
  <c r="P56" i="29"/>
  <c r="O56" i="29"/>
  <c r="N56" i="29"/>
  <c r="M56" i="29"/>
  <c r="L56" i="29"/>
  <c r="K56" i="29"/>
  <c r="J56" i="29"/>
  <c r="I56" i="29"/>
  <c r="H56" i="29"/>
  <c r="G56" i="29"/>
  <c r="F56" i="29"/>
  <c r="E56" i="29"/>
  <c r="D56" i="29"/>
  <c r="C56" i="29"/>
  <c r="B56" i="29"/>
  <c r="A56" i="29"/>
  <c r="AC55" i="29"/>
  <c r="AB55" i="29"/>
  <c r="AA55" i="29"/>
  <c r="Z55" i="29"/>
  <c r="Y55" i="29"/>
  <c r="X55" i="29"/>
  <c r="W55" i="29"/>
  <c r="V55" i="29"/>
  <c r="U55" i="29"/>
  <c r="T55" i="29"/>
  <c r="S55" i="29"/>
  <c r="R55" i="29"/>
  <c r="Q55" i="29"/>
  <c r="P55" i="29"/>
  <c r="O55" i="29"/>
  <c r="N55" i="29"/>
  <c r="M55" i="29"/>
  <c r="L55" i="29"/>
  <c r="K55" i="29"/>
  <c r="J55" i="29"/>
  <c r="I55" i="29"/>
  <c r="H55" i="29"/>
  <c r="G55" i="29"/>
  <c r="F55" i="29"/>
  <c r="E55" i="29"/>
  <c r="D55" i="29"/>
  <c r="C55" i="29"/>
  <c r="B55" i="29"/>
  <c r="A55" i="29"/>
  <c r="AC54" i="29"/>
  <c r="AB54" i="29"/>
  <c r="AA54" i="29"/>
  <c r="Z54" i="29"/>
  <c r="Y54" i="29"/>
  <c r="X54" i="29"/>
  <c r="W54" i="29"/>
  <c r="V54" i="29"/>
  <c r="U54" i="29"/>
  <c r="T54" i="29"/>
  <c r="S54" i="29"/>
  <c r="R54" i="29"/>
  <c r="Q54" i="29"/>
  <c r="P54" i="29"/>
  <c r="O54" i="29"/>
  <c r="N54" i="29"/>
  <c r="M54" i="29"/>
  <c r="L54" i="29"/>
  <c r="K54" i="29"/>
  <c r="J54" i="29"/>
  <c r="I54" i="29"/>
  <c r="H54" i="29"/>
  <c r="G54" i="29"/>
  <c r="F54" i="29"/>
  <c r="E54" i="29"/>
  <c r="D54" i="29"/>
  <c r="C54" i="29"/>
  <c r="B54" i="29"/>
  <c r="A54" i="29"/>
  <c r="AC53" i="29"/>
  <c r="AB53" i="29"/>
  <c r="AA53" i="29"/>
  <c r="Z53" i="29"/>
  <c r="Y53" i="29"/>
  <c r="X53" i="29"/>
  <c r="W53" i="29"/>
  <c r="V53" i="29"/>
  <c r="U53" i="29"/>
  <c r="T53" i="29"/>
  <c r="S53" i="29"/>
  <c r="R53" i="29"/>
  <c r="Q53" i="29"/>
  <c r="P53" i="29"/>
  <c r="O53" i="29"/>
  <c r="N53" i="29"/>
  <c r="M53" i="29"/>
  <c r="L53" i="29"/>
  <c r="K53" i="29"/>
  <c r="J53" i="29"/>
  <c r="I53" i="29"/>
  <c r="H53" i="29"/>
  <c r="G53" i="29"/>
  <c r="F53" i="29"/>
  <c r="E53" i="29"/>
  <c r="D53" i="29"/>
  <c r="C53" i="29"/>
  <c r="B53" i="29"/>
  <c r="AC52" i="29"/>
  <c r="AB52" i="29"/>
  <c r="AA52" i="29"/>
  <c r="Z52" i="29"/>
  <c r="Y52" i="29"/>
  <c r="X52" i="29"/>
  <c r="W52" i="29"/>
  <c r="V52" i="29"/>
  <c r="U52" i="29"/>
  <c r="T52" i="29"/>
  <c r="S52" i="29"/>
  <c r="R52" i="29"/>
  <c r="Q52" i="29"/>
  <c r="P52" i="29"/>
  <c r="O52" i="29"/>
  <c r="N52" i="29"/>
  <c r="M52" i="29"/>
  <c r="L52" i="29"/>
  <c r="K52" i="29"/>
  <c r="J52" i="29"/>
  <c r="I52" i="29"/>
  <c r="H52" i="29"/>
  <c r="G52" i="29"/>
  <c r="F52" i="29"/>
  <c r="E52" i="29"/>
  <c r="D52" i="29"/>
  <c r="C52" i="29"/>
  <c r="B52" i="29"/>
  <c r="AC51" i="29"/>
  <c r="AB51" i="29"/>
  <c r="AA51" i="29"/>
  <c r="Z51" i="29"/>
  <c r="Y51" i="29"/>
  <c r="X51" i="29"/>
  <c r="W51" i="29"/>
  <c r="V51" i="29"/>
  <c r="U51" i="29"/>
  <c r="T51" i="29"/>
  <c r="S51" i="29"/>
  <c r="R51" i="29"/>
  <c r="Q51" i="29"/>
  <c r="P51" i="29"/>
  <c r="O51" i="29"/>
  <c r="N51" i="29"/>
  <c r="M51" i="29"/>
  <c r="L51" i="29"/>
  <c r="K51" i="29"/>
  <c r="J51" i="29"/>
  <c r="I51" i="29"/>
  <c r="H51" i="29"/>
  <c r="G51" i="29"/>
  <c r="F51" i="29"/>
  <c r="E51" i="29"/>
  <c r="D51" i="29"/>
  <c r="C51" i="29"/>
  <c r="B51" i="29"/>
  <c r="AC50" i="29"/>
  <c r="AB50" i="29"/>
  <c r="AA50" i="29"/>
  <c r="Z50" i="29"/>
  <c r="Y50" i="29"/>
  <c r="X50" i="29"/>
  <c r="W50" i="29"/>
  <c r="V50" i="29"/>
  <c r="U50" i="29"/>
  <c r="T50" i="29"/>
  <c r="S50" i="29"/>
  <c r="R50" i="29"/>
  <c r="Q50" i="29"/>
  <c r="P50" i="29"/>
  <c r="O50" i="29"/>
  <c r="N50" i="29"/>
  <c r="M50" i="29"/>
  <c r="L50" i="29"/>
  <c r="K50" i="29"/>
  <c r="J50" i="29"/>
  <c r="I50" i="29"/>
  <c r="H50" i="29"/>
  <c r="G50" i="29"/>
  <c r="F50" i="29"/>
  <c r="E50" i="29"/>
  <c r="D50" i="29"/>
  <c r="C50" i="29"/>
  <c r="B50" i="29"/>
  <c r="AC49" i="29"/>
  <c r="AB49" i="29"/>
  <c r="AA49" i="29"/>
  <c r="Z49" i="29"/>
  <c r="Y49" i="29"/>
  <c r="X49" i="29"/>
  <c r="W49" i="29"/>
  <c r="V49" i="29"/>
  <c r="U49" i="29"/>
  <c r="T49" i="29"/>
  <c r="S49" i="29"/>
  <c r="R49" i="29"/>
  <c r="Q49" i="29"/>
  <c r="P49" i="29"/>
  <c r="O49" i="29"/>
  <c r="N49" i="29"/>
  <c r="M49" i="29"/>
  <c r="L49" i="29"/>
  <c r="K49" i="29"/>
  <c r="J49" i="29"/>
  <c r="I49" i="29"/>
  <c r="H49" i="29"/>
  <c r="G49" i="29"/>
  <c r="F49" i="29"/>
  <c r="E49" i="29"/>
  <c r="D49" i="29"/>
  <c r="C49" i="29"/>
  <c r="B49" i="29"/>
  <c r="AC48" i="29"/>
  <c r="AB48" i="29"/>
  <c r="AA48" i="29"/>
  <c r="Z48" i="29"/>
  <c r="Y48" i="29"/>
  <c r="X48" i="29"/>
  <c r="W48" i="29"/>
  <c r="V48" i="29"/>
  <c r="U48" i="29"/>
  <c r="T48" i="29"/>
  <c r="S48" i="29"/>
  <c r="R48" i="29"/>
  <c r="Q48" i="29"/>
  <c r="P48" i="29"/>
  <c r="O48" i="29"/>
  <c r="N48" i="29"/>
  <c r="M48" i="29"/>
  <c r="L48" i="29"/>
  <c r="K48" i="29"/>
  <c r="J48" i="29"/>
  <c r="I48" i="29"/>
  <c r="H48" i="29"/>
  <c r="G48" i="29"/>
  <c r="F48" i="29"/>
  <c r="E48" i="29"/>
  <c r="D48" i="29"/>
  <c r="C48" i="29"/>
  <c r="B48" i="29"/>
  <c r="AC47" i="29"/>
  <c r="AB47" i="29"/>
  <c r="AA47" i="29"/>
  <c r="Z47" i="29"/>
  <c r="Y47" i="29"/>
  <c r="X47" i="29"/>
  <c r="W47" i="29"/>
  <c r="V47" i="29"/>
  <c r="U47" i="29"/>
  <c r="T47" i="29"/>
  <c r="S47" i="29"/>
  <c r="R47" i="29"/>
  <c r="Q47" i="29"/>
  <c r="P47" i="29"/>
  <c r="O47" i="29"/>
  <c r="N47" i="29"/>
  <c r="M47" i="29"/>
  <c r="L47" i="29"/>
  <c r="K47" i="29"/>
  <c r="J47" i="29"/>
  <c r="I47" i="29"/>
  <c r="H47" i="29"/>
  <c r="G47" i="29"/>
  <c r="F47" i="29"/>
  <c r="E47" i="29"/>
  <c r="D47" i="29"/>
  <c r="C47" i="29"/>
  <c r="B47" i="29"/>
  <c r="AC46" i="29"/>
  <c r="AB46" i="29"/>
  <c r="AA46" i="29"/>
  <c r="Z46" i="29"/>
  <c r="Y46" i="29"/>
  <c r="X46" i="29"/>
  <c r="W46" i="29"/>
  <c r="V46" i="29"/>
  <c r="U46" i="29"/>
  <c r="T46" i="29"/>
  <c r="S46" i="29"/>
  <c r="R46" i="29"/>
  <c r="Q46" i="29"/>
  <c r="P46" i="29"/>
  <c r="O46" i="29"/>
  <c r="N46" i="29"/>
  <c r="M46" i="29"/>
  <c r="L46" i="29"/>
  <c r="K46" i="29"/>
  <c r="J46" i="29"/>
  <c r="I46" i="29"/>
  <c r="H46" i="29"/>
  <c r="G46" i="29"/>
  <c r="F46" i="29"/>
  <c r="E46" i="29"/>
  <c r="D46" i="29"/>
  <c r="C46" i="29"/>
  <c r="B46" i="29"/>
  <c r="AC45" i="29"/>
  <c r="AB45" i="29"/>
  <c r="AA45" i="29"/>
  <c r="Z45" i="29"/>
  <c r="Y45" i="29"/>
  <c r="X45" i="29"/>
  <c r="W45" i="29"/>
  <c r="V45" i="29"/>
  <c r="U45" i="29"/>
  <c r="T45" i="29"/>
  <c r="S45" i="29"/>
  <c r="R45" i="29"/>
  <c r="Q45" i="29"/>
  <c r="P45" i="29"/>
  <c r="O45" i="29"/>
  <c r="N45" i="29"/>
  <c r="M45" i="29"/>
  <c r="L45" i="29"/>
  <c r="K45" i="29"/>
  <c r="J45" i="29"/>
  <c r="I45" i="29"/>
  <c r="H45" i="29"/>
  <c r="G45" i="29"/>
  <c r="F45" i="29"/>
  <c r="E45" i="29"/>
  <c r="D45" i="29"/>
  <c r="C45" i="29"/>
  <c r="B45" i="29"/>
  <c r="AC44" i="29"/>
  <c r="AB44" i="29"/>
  <c r="AA44" i="29"/>
  <c r="Z44" i="29"/>
  <c r="Y44" i="29"/>
  <c r="X44" i="29"/>
  <c r="W44" i="29"/>
  <c r="V44" i="29"/>
  <c r="U44" i="29"/>
  <c r="T44" i="29"/>
  <c r="S44" i="29"/>
  <c r="R44" i="29"/>
  <c r="Q44" i="29"/>
  <c r="P44" i="29"/>
  <c r="O44" i="29"/>
  <c r="N44" i="29"/>
  <c r="M44" i="29"/>
  <c r="L44" i="29"/>
  <c r="K44" i="29"/>
  <c r="J44" i="29"/>
  <c r="I44" i="29"/>
  <c r="H44" i="29"/>
  <c r="G44" i="29"/>
  <c r="F44" i="29"/>
  <c r="E44" i="29"/>
  <c r="D44" i="29"/>
  <c r="C44" i="29"/>
  <c r="B44" i="29"/>
  <c r="AC43" i="29"/>
  <c r="AB43" i="29"/>
  <c r="AA43" i="29"/>
  <c r="Z43" i="29"/>
  <c r="Y43" i="29"/>
  <c r="X43" i="29"/>
  <c r="W43" i="29"/>
  <c r="V43" i="29"/>
  <c r="U43" i="29"/>
  <c r="T43" i="29"/>
  <c r="S43" i="29"/>
  <c r="R43" i="29"/>
  <c r="Q43" i="29"/>
  <c r="P43" i="29"/>
  <c r="O43" i="29"/>
  <c r="N43" i="29"/>
  <c r="M43" i="29"/>
  <c r="L43" i="29"/>
  <c r="K43" i="29"/>
  <c r="J43" i="29"/>
  <c r="I43" i="29"/>
  <c r="H43" i="29"/>
  <c r="G43" i="29"/>
  <c r="F43" i="29"/>
  <c r="E43" i="29"/>
  <c r="D43" i="29"/>
  <c r="C43" i="29"/>
  <c r="B43" i="29"/>
  <c r="AC42" i="29"/>
  <c r="AB42" i="29"/>
  <c r="AA42" i="29"/>
  <c r="Z42" i="29"/>
  <c r="Y42" i="29"/>
  <c r="X42" i="29"/>
  <c r="W42" i="29"/>
  <c r="V42" i="29"/>
  <c r="U42" i="29"/>
  <c r="T42" i="29"/>
  <c r="S42" i="29"/>
  <c r="R42" i="29"/>
  <c r="Q42" i="29"/>
  <c r="P42" i="29"/>
  <c r="O42" i="29"/>
  <c r="N42" i="29"/>
  <c r="M42" i="29"/>
  <c r="L42" i="29"/>
  <c r="K42" i="29"/>
  <c r="J42" i="29"/>
  <c r="I42" i="29"/>
  <c r="H42" i="29"/>
  <c r="G42" i="29"/>
  <c r="F42" i="29"/>
  <c r="E42" i="29"/>
  <c r="D42" i="29"/>
  <c r="C42" i="29"/>
  <c r="B42" i="29"/>
  <c r="AC41" i="29"/>
  <c r="AB41" i="29"/>
  <c r="AA41" i="29"/>
  <c r="Z41" i="29"/>
  <c r="Y41" i="29"/>
  <c r="X41" i="29"/>
  <c r="W41" i="29"/>
  <c r="V41" i="29"/>
  <c r="U41" i="29"/>
  <c r="T41" i="29"/>
  <c r="S41" i="29"/>
  <c r="R41" i="29"/>
  <c r="Q41" i="29"/>
  <c r="P41" i="29"/>
  <c r="O41" i="29"/>
  <c r="N41" i="29"/>
  <c r="M41" i="29"/>
  <c r="L41" i="29"/>
  <c r="K41" i="29"/>
  <c r="J41" i="29"/>
  <c r="I41" i="29"/>
  <c r="H41" i="29"/>
  <c r="G41" i="29"/>
  <c r="F41" i="29"/>
  <c r="E41" i="29"/>
  <c r="D41" i="29"/>
  <c r="C41" i="29"/>
  <c r="B41" i="29"/>
  <c r="AC40" i="29"/>
  <c r="AB40" i="29"/>
  <c r="AA40" i="29"/>
  <c r="Z40" i="29"/>
  <c r="Y40" i="29"/>
  <c r="X40" i="29"/>
  <c r="W40" i="29"/>
  <c r="V40" i="29"/>
  <c r="U40" i="29"/>
  <c r="T40" i="29"/>
  <c r="S40" i="29"/>
  <c r="R40" i="29"/>
  <c r="Q40" i="29"/>
  <c r="P40" i="29"/>
  <c r="O40" i="29"/>
  <c r="N40" i="29"/>
  <c r="M40" i="29"/>
  <c r="L40" i="29"/>
  <c r="K40" i="29"/>
  <c r="J40" i="29"/>
  <c r="I40" i="29"/>
  <c r="H40" i="29"/>
  <c r="G40" i="29"/>
  <c r="F40" i="29"/>
  <c r="E40" i="29"/>
  <c r="D40" i="29"/>
  <c r="C40" i="29"/>
  <c r="B40" i="29"/>
  <c r="AC39" i="29"/>
  <c r="AB39" i="29"/>
  <c r="AA39" i="29"/>
  <c r="Z39" i="29"/>
  <c r="Y39" i="29"/>
  <c r="X39" i="29"/>
  <c r="W39" i="29"/>
  <c r="V39" i="29"/>
  <c r="U39" i="29"/>
  <c r="T39" i="29"/>
  <c r="S39" i="29"/>
  <c r="R39" i="29"/>
  <c r="Q39" i="29"/>
  <c r="P39" i="29"/>
  <c r="O39" i="29"/>
  <c r="N39" i="29"/>
  <c r="M39" i="29"/>
  <c r="L39" i="29"/>
  <c r="K39" i="29"/>
  <c r="J39" i="29"/>
  <c r="I39" i="29"/>
  <c r="H39" i="29"/>
  <c r="G39" i="29"/>
  <c r="F39" i="29"/>
  <c r="E39" i="29"/>
  <c r="D39" i="29"/>
  <c r="C39" i="29"/>
  <c r="B39" i="29"/>
  <c r="AC38" i="29"/>
  <c r="AB38" i="29"/>
  <c r="AA38" i="29"/>
  <c r="Z38" i="29"/>
  <c r="Y38" i="29"/>
  <c r="X38" i="29"/>
  <c r="W38" i="29"/>
  <c r="V38" i="29"/>
  <c r="U38" i="29"/>
  <c r="T38" i="29"/>
  <c r="S38" i="29"/>
  <c r="R38" i="29"/>
  <c r="Q38" i="29"/>
  <c r="P38" i="29"/>
  <c r="O38" i="29"/>
  <c r="N38" i="29"/>
  <c r="M38" i="29"/>
  <c r="L38" i="29"/>
  <c r="K38" i="29"/>
  <c r="J38" i="29"/>
  <c r="I38" i="29"/>
  <c r="H38" i="29"/>
  <c r="G38" i="29"/>
  <c r="F38" i="29"/>
  <c r="E38" i="29"/>
  <c r="D38" i="29"/>
  <c r="C38" i="29"/>
  <c r="B38" i="29"/>
  <c r="AC37" i="29"/>
  <c r="AB37" i="29"/>
  <c r="AA37" i="29"/>
  <c r="Z37" i="29"/>
  <c r="Y37" i="29"/>
  <c r="X37" i="29"/>
  <c r="W37" i="29"/>
  <c r="V37" i="29"/>
  <c r="U37" i="29"/>
  <c r="T37" i="29"/>
  <c r="S37" i="29"/>
  <c r="R37" i="29"/>
  <c r="Q37" i="29"/>
  <c r="P37" i="29"/>
  <c r="O37" i="29"/>
  <c r="N37" i="29"/>
  <c r="M37" i="29"/>
  <c r="L37" i="29"/>
  <c r="K37" i="29"/>
  <c r="J37" i="29"/>
  <c r="I37" i="29"/>
  <c r="H37" i="29"/>
  <c r="G37" i="29"/>
  <c r="F37" i="29"/>
  <c r="E37" i="29"/>
  <c r="D37" i="29"/>
  <c r="C37" i="29"/>
  <c r="B37" i="29"/>
  <c r="AC36" i="29"/>
  <c r="AB36" i="29"/>
  <c r="AA36" i="29"/>
  <c r="Z36" i="29"/>
  <c r="Y36" i="29"/>
  <c r="X36" i="29"/>
  <c r="W36" i="29"/>
  <c r="V36" i="29"/>
  <c r="U36" i="29"/>
  <c r="T36" i="29"/>
  <c r="S36" i="29"/>
  <c r="R36" i="29"/>
  <c r="Q36" i="29"/>
  <c r="P36" i="29"/>
  <c r="O36" i="29"/>
  <c r="N36" i="29"/>
  <c r="M36" i="29"/>
  <c r="L36" i="29"/>
  <c r="K36" i="29"/>
  <c r="J36" i="29"/>
  <c r="I36" i="29"/>
  <c r="H36" i="29"/>
  <c r="G36" i="29"/>
  <c r="F36" i="29"/>
  <c r="E36" i="29"/>
  <c r="D36" i="29"/>
  <c r="C36" i="29"/>
  <c r="B36" i="29"/>
  <c r="AC35" i="29"/>
  <c r="AB35" i="29"/>
  <c r="AA35" i="29"/>
  <c r="Z35" i="29"/>
  <c r="Y35" i="29"/>
  <c r="X35" i="29"/>
  <c r="W35" i="29"/>
  <c r="V35" i="29"/>
  <c r="U35" i="29"/>
  <c r="T35" i="29"/>
  <c r="S35" i="29"/>
  <c r="R35" i="29"/>
  <c r="Q35" i="29"/>
  <c r="P35" i="29"/>
  <c r="O35" i="29"/>
  <c r="N35" i="29"/>
  <c r="M35" i="29"/>
  <c r="L35" i="29"/>
  <c r="K35" i="29"/>
  <c r="J35" i="29"/>
  <c r="I35" i="29"/>
  <c r="H35" i="29"/>
  <c r="G35" i="29"/>
  <c r="F35" i="29"/>
  <c r="E35" i="29"/>
  <c r="D35" i="29"/>
  <c r="C35" i="29"/>
  <c r="B35" i="29"/>
  <c r="AC34" i="29"/>
  <c r="AB34" i="29"/>
  <c r="AA34" i="29"/>
  <c r="Z34" i="29"/>
  <c r="Y34" i="29"/>
  <c r="X34" i="29"/>
  <c r="W34" i="29"/>
  <c r="V34" i="29"/>
  <c r="U34" i="29"/>
  <c r="T34" i="29"/>
  <c r="S34" i="29"/>
  <c r="R34" i="29"/>
  <c r="Q34" i="29"/>
  <c r="P34" i="29"/>
  <c r="O34" i="29"/>
  <c r="N34" i="29"/>
  <c r="M34" i="29"/>
  <c r="L34" i="29"/>
  <c r="K34" i="29"/>
  <c r="J34" i="29"/>
  <c r="I34" i="29"/>
  <c r="H34" i="29"/>
  <c r="G34" i="29"/>
  <c r="F34" i="29"/>
  <c r="E34" i="29"/>
  <c r="D34" i="29"/>
  <c r="C34" i="29"/>
  <c r="B34" i="29"/>
  <c r="AC33" i="29"/>
  <c r="AB33" i="29"/>
  <c r="AA33" i="29"/>
  <c r="Z33" i="29"/>
  <c r="Y33" i="29"/>
  <c r="X33" i="29"/>
  <c r="W33" i="29"/>
  <c r="V33" i="29"/>
  <c r="U33" i="29"/>
  <c r="T33" i="29"/>
  <c r="S33" i="29"/>
  <c r="R33" i="29"/>
  <c r="Q33" i="29"/>
  <c r="P33" i="29"/>
  <c r="O33" i="29"/>
  <c r="N33" i="29"/>
  <c r="M33" i="29"/>
  <c r="L33" i="29"/>
  <c r="K33" i="29"/>
  <c r="J33" i="29"/>
  <c r="I33" i="29"/>
  <c r="H33" i="29"/>
  <c r="G33" i="29"/>
  <c r="F33" i="29"/>
  <c r="E33" i="29"/>
  <c r="D33" i="29"/>
  <c r="C33" i="29"/>
  <c r="B33" i="29"/>
  <c r="AC32" i="29"/>
  <c r="AB32" i="29"/>
  <c r="AA32" i="29"/>
  <c r="Z32" i="29"/>
  <c r="Y32" i="29"/>
  <c r="X32" i="29"/>
  <c r="W32" i="29"/>
  <c r="V32" i="29"/>
  <c r="U32" i="29"/>
  <c r="T32" i="29"/>
  <c r="S32" i="29"/>
  <c r="R32" i="29"/>
  <c r="Q32" i="29"/>
  <c r="P32" i="29"/>
  <c r="O32" i="29"/>
  <c r="N32" i="29"/>
  <c r="M32" i="29"/>
  <c r="L32" i="29"/>
  <c r="K32" i="29"/>
  <c r="J32" i="29"/>
  <c r="I32" i="29"/>
  <c r="H32" i="29"/>
  <c r="G32" i="29"/>
  <c r="F32" i="29"/>
  <c r="E32" i="29"/>
  <c r="D32" i="29"/>
  <c r="C32" i="29"/>
  <c r="B32" i="29"/>
  <c r="AC31" i="29"/>
  <c r="AB31" i="29"/>
  <c r="AA31" i="29"/>
  <c r="Z31" i="29"/>
  <c r="Y31" i="29"/>
  <c r="X31" i="29"/>
  <c r="W31" i="29"/>
  <c r="V31" i="29"/>
  <c r="U31" i="29"/>
  <c r="T31" i="29"/>
  <c r="S31" i="29"/>
  <c r="R31" i="29"/>
  <c r="Q31" i="29"/>
  <c r="P31" i="29"/>
  <c r="O31" i="29"/>
  <c r="N31" i="29"/>
  <c r="M31" i="29"/>
  <c r="L31" i="29"/>
  <c r="K31" i="29"/>
  <c r="J31" i="29"/>
  <c r="I31" i="29"/>
  <c r="H31" i="29"/>
  <c r="G31" i="29"/>
  <c r="F31" i="29"/>
  <c r="E31" i="29"/>
  <c r="D31" i="29"/>
  <c r="C31" i="29"/>
  <c r="B31" i="29"/>
  <c r="AC30" i="29"/>
  <c r="AB30" i="29"/>
  <c r="AA30" i="29"/>
  <c r="Z30" i="29"/>
  <c r="Y30" i="29"/>
  <c r="X30" i="29"/>
  <c r="W30" i="29"/>
  <c r="V30" i="29"/>
  <c r="U30" i="29"/>
  <c r="T30" i="29"/>
  <c r="S30" i="29"/>
  <c r="R30" i="29"/>
  <c r="Q30" i="29"/>
  <c r="P30" i="29"/>
  <c r="O30" i="29"/>
  <c r="N30" i="29"/>
  <c r="M30" i="29"/>
  <c r="L30" i="29"/>
  <c r="K30" i="29"/>
  <c r="J30" i="29"/>
  <c r="I30" i="29"/>
  <c r="H30" i="29"/>
  <c r="G30" i="29"/>
  <c r="F30" i="29"/>
  <c r="E30" i="29"/>
  <c r="D30" i="29"/>
  <c r="C30" i="29"/>
  <c r="B30" i="29"/>
  <c r="AC29" i="29"/>
  <c r="AB29" i="29"/>
  <c r="AA29" i="29"/>
  <c r="Z29" i="29"/>
  <c r="Y29" i="29"/>
  <c r="X29" i="29"/>
  <c r="W29" i="29"/>
  <c r="V29" i="29"/>
  <c r="U29" i="29"/>
  <c r="T29" i="29"/>
  <c r="S29" i="29"/>
  <c r="R29" i="29"/>
  <c r="Q29" i="29"/>
  <c r="P29" i="29"/>
  <c r="O29" i="29"/>
  <c r="N29" i="29"/>
  <c r="M29" i="29"/>
  <c r="L29" i="29"/>
  <c r="K29" i="29"/>
  <c r="J29" i="29"/>
  <c r="I29" i="29"/>
  <c r="H29" i="29"/>
  <c r="G29" i="29"/>
  <c r="F29" i="29"/>
  <c r="E29" i="29"/>
  <c r="D29" i="29"/>
  <c r="C29" i="29"/>
  <c r="B29" i="29"/>
  <c r="AC28" i="29"/>
  <c r="AB28" i="29"/>
  <c r="AA28" i="29"/>
  <c r="Z28" i="29"/>
  <c r="Y28" i="29"/>
  <c r="X28" i="29"/>
  <c r="W28" i="29"/>
  <c r="V28" i="29"/>
  <c r="U28" i="29"/>
  <c r="T28" i="29"/>
  <c r="S28" i="29"/>
  <c r="R28" i="29"/>
  <c r="Q28" i="29"/>
  <c r="P28" i="29"/>
  <c r="O28" i="29"/>
  <c r="N28" i="29"/>
  <c r="M28" i="29"/>
  <c r="L28" i="29"/>
  <c r="K28" i="29"/>
  <c r="J28" i="29"/>
  <c r="I28" i="29"/>
  <c r="H28" i="29"/>
  <c r="G28" i="29"/>
  <c r="F28" i="29"/>
  <c r="E28" i="29"/>
  <c r="D28" i="29"/>
  <c r="C28" i="29"/>
  <c r="B28" i="29"/>
  <c r="AC27" i="29"/>
  <c r="AB27" i="29"/>
  <c r="AA27" i="29"/>
  <c r="Z27" i="29"/>
  <c r="Y27" i="29"/>
  <c r="X27" i="29"/>
  <c r="W27" i="29"/>
  <c r="V27" i="29"/>
  <c r="U27" i="29"/>
  <c r="T27" i="29"/>
  <c r="S27" i="29"/>
  <c r="R27" i="29"/>
  <c r="Q27" i="29"/>
  <c r="P27" i="29"/>
  <c r="O27" i="29"/>
  <c r="N27" i="29"/>
  <c r="M27" i="29"/>
  <c r="L27" i="29"/>
  <c r="K27" i="29"/>
  <c r="J27" i="29"/>
  <c r="I27" i="29"/>
  <c r="H27" i="29"/>
  <c r="G27" i="29"/>
  <c r="F27" i="29"/>
  <c r="E27" i="29"/>
  <c r="D27" i="29"/>
  <c r="C27" i="29"/>
  <c r="B27" i="29"/>
  <c r="AC26" i="29"/>
  <c r="AB26" i="29"/>
  <c r="AA26" i="29"/>
  <c r="Z26" i="29"/>
  <c r="Y26" i="29"/>
  <c r="X26" i="29"/>
  <c r="W26" i="29"/>
  <c r="V26" i="29"/>
  <c r="U26" i="29"/>
  <c r="T26" i="29"/>
  <c r="S26" i="29"/>
  <c r="R26" i="29"/>
  <c r="Q26" i="29"/>
  <c r="P26" i="29"/>
  <c r="O26" i="29"/>
  <c r="N26" i="29"/>
  <c r="M26" i="29"/>
  <c r="L26" i="29"/>
  <c r="K26" i="29"/>
  <c r="J26" i="29"/>
  <c r="I26" i="29"/>
  <c r="H26" i="29"/>
  <c r="G26" i="29"/>
  <c r="F26" i="29"/>
  <c r="E26" i="29"/>
  <c r="D26" i="29"/>
  <c r="C26" i="29"/>
  <c r="B26" i="29"/>
  <c r="AC25" i="29"/>
  <c r="AB25" i="29"/>
  <c r="AA25" i="29"/>
  <c r="Z25" i="29"/>
  <c r="Y25" i="29"/>
  <c r="X25" i="29"/>
  <c r="W25" i="29"/>
  <c r="V25" i="29"/>
  <c r="U25" i="29"/>
  <c r="T25" i="29"/>
  <c r="S25" i="29"/>
  <c r="R25" i="29"/>
  <c r="Q25" i="29"/>
  <c r="P25" i="29"/>
  <c r="O25" i="29"/>
  <c r="N25" i="29"/>
  <c r="M25" i="29"/>
  <c r="L25" i="29"/>
  <c r="K25" i="29"/>
  <c r="J25" i="29"/>
  <c r="I25" i="29"/>
  <c r="H25" i="29"/>
  <c r="G25" i="29"/>
  <c r="F25" i="29"/>
  <c r="E25" i="29"/>
  <c r="D25" i="29"/>
  <c r="C25" i="29"/>
  <c r="B25" i="29"/>
  <c r="AC24" i="29"/>
  <c r="AB24" i="29"/>
  <c r="AA24" i="29"/>
  <c r="Z24" i="29"/>
  <c r="Y24" i="29"/>
  <c r="X24" i="29"/>
  <c r="W24" i="29"/>
  <c r="V24" i="29"/>
  <c r="U24" i="29"/>
  <c r="T24" i="29"/>
  <c r="S24" i="29"/>
  <c r="R24" i="29"/>
  <c r="Q24" i="29"/>
  <c r="P24" i="29"/>
  <c r="O24" i="29"/>
  <c r="N24" i="29"/>
  <c r="M24" i="29"/>
  <c r="L24" i="29"/>
  <c r="K24" i="29"/>
  <c r="J24" i="29"/>
  <c r="I24" i="29"/>
  <c r="H24" i="29"/>
  <c r="G24" i="29"/>
  <c r="F24" i="29"/>
  <c r="E24" i="29"/>
  <c r="D24" i="29"/>
  <c r="C24" i="29"/>
  <c r="B24" i="29"/>
  <c r="AC23" i="29"/>
  <c r="AB23" i="29"/>
  <c r="AA23" i="29"/>
  <c r="Z23" i="29"/>
  <c r="Y23" i="29"/>
  <c r="X23" i="29"/>
  <c r="W23" i="29"/>
  <c r="V23" i="29"/>
  <c r="U23" i="29"/>
  <c r="T23" i="29"/>
  <c r="S23" i="29"/>
  <c r="R23" i="29"/>
  <c r="Q23" i="29"/>
  <c r="P23" i="29"/>
  <c r="O23" i="29"/>
  <c r="N23" i="29"/>
  <c r="M23" i="29"/>
  <c r="L23" i="29"/>
  <c r="K23" i="29"/>
  <c r="J23" i="29"/>
  <c r="I23" i="29"/>
  <c r="H23" i="29"/>
  <c r="G23" i="29"/>
  <c r="F23" i="29"/>
  <c r="E23" i="29"/>
  <c r="D23" i="29"/>
  <c r="C23" i="29"/>
  <c r="B23" i="29"/>
  <c r="AC22" i="29"/>
  <c r="AB22" i="29"/>
  <c r="AA22" i="29"/>
  <c r="Z22" i="29"/>
  <c r="Y22" i="29"/>
  <c r="X22" i="29"/>
  <c r="W22" i="29"/>
  <c r="V22" i="29"/>
  <c r="U22" i="29"/>
  <c r="T22" i="29"/>
  <c r="S22" i="29"/>
  <c r="R22" i="29"/>
  <c r="Q22" i="29"/>
  <c r="P22" i="29"/>
  <c r="O22" i="29"/>
  <c r="N22" i="29"/>
  <c r="M22" i="29"/>
  <c r="L22" i="29"/>
  <c r="K22" i="29"/>
  <c r="J22" i="29"/>
  <c r="I22" i="29"/>
  <c r="H22" i="29"/>
  <c r="G22" i="29"/>
  <c r="F22" i="29"/>
  <c r="E22" i="29"/>
  <c r="D22" i="29"/>
  <c r="C22" i="29"/>
  <c r="B22" i="29"/>
  <c r="AC21" i="29"/>
  <c r="AB21" i="29"/>
  <c r="AA21" i="29"/>
  <c r="Z21" i="29"/>
  <c r="Y21" i="29"/>
  <c r="X21" i="29"/>
  <c r="W21" i="29"/>
  <c r="V21" i="29"/>
  <c r="U21" i="29"/>
  <c r="T21" i="29"/>
  <c r="S21" i="29"/>
  <c r="R21" i="29"/>
  <c r="Q21" i="29"/>
  <c r="P21" i="29"/>
  <c r="O21" i="29"/>
  <c r="N21" i="29"/>
  <c r="M21" i="29"/>
  <c r="L21" i="29"/>
  <c r="K21" i="29"/>
  <c r="J21" i="29"/>
  <c r="I21" i="29"/>
  <c r="H21" i="29"/>
  <c r="G21" i="29"/>
  <c r="F21" i="29"/>
  <c r="E21" i="29"/>
  <c r="D21" i="29"/>
  <c r="C21" i="29"/>
  <c r="B21" i="29"/>
  <c r="AC20" i="29"/>
  <c r="AB20" i="29"/>
  <c r="AA20" i="29"/>
  <c r="Z20" i="29"/>
  <c r="Y20" i="29"/>
  <c r="X20" i="29"/>
  <c r="W20" i="29"/>
  <c r="V20" i="29"/>
  <c r="U20" i="29"/>
  <c r="T20" i="29"/>
  <c r="S20" i="29"/>
  <c r="R20" i="29"/>
  <c r="Q20" i="29"/>
  <c r="P20" i="29"/>
  <c r="O20" i="29"/>
  <c r="N20" i="29"/>
  <c r="M20" i="29"/>
  <c r="L20" i="29"/>
  <c r="K20" i="29"/>
  <c r="J20" i="29"/>
  <c r="I20" i="29"/>
  <c r="H20" i="29"/>
  <c r="G20" i="29"/>
  <c r="F20" i="29"/>
  <c r="E20" i="29"/>
  <c r="D20" i="29"/>
  <c r="C20" i="29"/>
  <c r="B20" i="29"/>
  <c r="AC19" i="29"/>
  <c r="AB19" i="29"/>
  <c r="AA19" i="29"/>
  <c r="Z19" i="29"/>
  <c r="Y19" i="29"/>
  <c r="X19" i="29"/>
  <c r="W19" i="29"/>
  <c r="V19" i="29"/>
  <c r="U19" i="29"/>
  <c r="T19" i="29"/>
  <c r="S19" i="29"/>
  <c r="R19" i="29"/>
  <c r="Q19" i="29"/>
  <c r="P19" i="29"/>
  <c r="O19" i="29"/>
  <c r="N19" i="29"/>
  <c r="M19" i="29"/>
  <c r="L19" i="29"/>
  <c r="K19" i="29"/>
  <c r="J19" i="29"/>
  <c r="I19" i="29"/>
  <c r="H19" i="29"/>
  <c r="G19" i="29"/>
  <c r="F19" i="29"/>
  <c r="E19" i="29"/>
  <c r="D19" i="29"/>
  <c r="C19" i="29"/>
  <c r="B19" i="29"/>
  <c r="AC18" i="29"/>
  <c r="AB18" i="29"/>
  <c r="AA18" i="29"/>
  <c r="Z18" i="29"/>
  <c r="Y18" i="29"/>
  <c r="X18" i="29"/>
  <c r="W18" i="29"/>
  <c r="V18" i="29"/>
  <c r="U18" i="29"/>
  <c r="T18" i="29"/>
  <c r="S18" i="29"/>
  <c r="R18" i="29"/>
  <c r="Q18" i="29"/>
  <c r="P18" i="29"/>
  <c r="O18" i="29"/>
  <c r="N18" i="29"/>
  <c r="M18" i="29"/>
  <c r="L18" i="29"/>
  <c r="K18" i="29"/>
  <c r="J18" i="29"/>
  <c r="I18" i="29"/>
  <c r="H18" i="29"/>
  <c r="G18" i="29"/>
  <c r="F18" i="29"/>
  <c r="E18" i="29"/>
  <c r="D18" i="29"/>
  <c r="C18" i="29"/>
  <c r="B18" i="29"/>
  <c r="AC17" i="29"/>
  <c r="AB17" i="29"/>
  <c r="AA17" i="29"/>
  <c r="Z17" i="29"/>
  <c r="Y17" i="29"/>
  <c r="X17" i="29"/>
  <c r="W17" i="29"/>
  <c r="V17" i="29"/>
  <c r="U17" i="29"/>
  <c r="T17" i="29"/>
  <c r="S17" i="29"/>
  <c r="R17" i="29"/>
  <c r="Q17" i="29"/>
  <c r="P17" i="29"/>
  <c r="O17" i="29"/>
  <c r="N17" i="29"/>
  <c r="M17" i="29"/>
  <c r="L17" i="29"/>
  <c r="K17" i="29"/>
  <c r="J17" i="29"/>
  <c r="I17" i="29"/>
  <c r="H17" i="29"/>
  <c r="G17" i="29"/>
  <c r="F17" i="29"/>
  <c r="E17" i="29"/>
  <c r="D17" i="29"/>
  <c r="C17" i="29"/>
  <c r="B17" i="29"/>
  <c r="AC16" i="29"/>
  <c r="AB16" i="29"/>
  <c r="AA16" i="29"/>
  <c r="Z16" i="29"/>
  <c r="Y16" i="29"/>
  <c r="X16" i="29"/>
  <c r="W16" i="29"/>
  <c r="V16" i="29"/>
  <c r="U16" i="29"/>
  <c r="T16" i="29"/>
  <c r="S16" i="29"/>
  <c r="R16" i="29"/>
  <c r="Q16" i="29"/>
  <c r="P16" i="29"/>
  <c r="O16" i="29"/>
  <c r="N16" i="29"/>
  <c r="M16" i="29"/>
  <c r="L16" i="29"/>
  <c r="K16" i="29"/>
  <c r="J16" i="29"/>
  <c r="I16" i="29"/>
  <c r="H16" i="29"/>
  <c r="G16" i="29"/>
  <c r="F16" i="29"/>
  <c r="E16" i="29"/>
  <c r="D16" i="29"/>
  <c r="C16" i="29"/>
  <c r="B16" i="29"/>
  <c r="AC15" i="29"/>
  <c r="AB15" i="29"/>
  <c r="AA15" i="29"/>
  <c r="Z15" i="29"/>
  <c r="Y15" i="29"/>
  <c r="X15" i="29"/>
  <c r="W15" i="29"/>
  <c r="V15" i="29"/>
  <c r="U15" i="29"/>
  <c r="T15" i="29"/>
  <c r="S15" i="29"/>
  <c r="R15" i="29"/>
  <c r="Q15" i="29"/>
  <c r="P15" i="29"/>
  <c r="O15" i="29"/>
  <c r="N15" i="29"/>
  <c r="M15" i="29"/>
  <c r="L15" i="29"/>
  <c r="K15" i="29"/>
  <c r="J15" i="29"/>
  <c r="I15" i="29"/>
  <c r="H15" i="29"/>
  <c r="G15" i="29"/>
  <c r="F15" i="29"/>
  <c r="E15" i="29"/>
  <c r="D15" i="29"/>
  <c r="C15" i="29"/>
  <c r="B15" i="29"/>
  <c r="AC14" i="29"/>
  <c r="AB14" i="29"/>
  <c r="AA14" i="29"/>
  <c r="Z14" i="29"/>
  <c r="Y14" i="29"/>
  <c r="X14" i="29"/>
  <c r="W14" i="29"/>
  <c r="V14" i="29"/>
  <c r="U14" i="29"/>
  <c r="T14" i="29"/>
  <c r="S14" i="29"/>
  <c r="R14" i="29"/>
  <c r="Q14" i="29"/>
  <c r="P14" i="29"/>
  <c r="O14" i="29"/>
  <c r="N14" i="29"/>
  <c r="M14" i="29"/>
  <c r="L14" i="29"/>
  <c r="K14" i="29"/>
  <c r="J14" i="29"/>
  <c r="I14" i="29"/>
  <c r="H14" i="29"/>
  <c r="G14" i="29"/>
  <c r="F14" i="29"/>
  <c r="E14" i="29"/>
  <c r="D14" i="29"/>
  <c r="C14" i="29"/>
  <c r="B14" i="29"/>
  <c r="AC13" i="29"/>
  <c r="AB13" i="29"/>
  <c r="AA13" i="29"/>
  <c r="Z13" i="29"/>
  <c r="Y13" i="29"/>
  <c r="X13" i="29"/>
  <c r="W13" i="29"/>
  <c r="V13" i="29"/>
  <c r="U13" i="29"/>
  <c r="T13" i="29"/>
  <c r="S13" i="29"/>
  <c r="R13" i="29"/>
  <c r="Q13" i="29"/>
  <c r="P13" i="29"/>
  <c r="O13" i="29"/>
  <c r="N13" i="29"/>
  <c r="M13" i="29"/>
  <c r="L13" i="29"/>
  <c r="K13" i="29"/>
  <c r="J13" i="29"/>
  <c r="I13" i="29"/>
  <c r="H13" i="29"/>
  <c r="G13" i="29"/>
  <c r="F13" i="29"/>
  <c r="E13" i="29"/>
  <c r="D13" i="29"/>
  <c r="C13" i="29"/>
  <c r="B13" i="29"/>
  <c r="AC12" i="29"/>
  <c r="AB12" i="29"/>
  <c r="AA12" i="29"/>
  <c r="Z12" i="29"/>
  <c r="Y12" i="29"/>
  <c r="X12" i="29"/>
  <c r="W12" i="29"/>
  <c r="V12" i="29"/>
  <c r="U12" i="29"/>
  <c r="T12" i="29"/>
  <c r="S12" i="29"/>
  <c r="R12" i="29"/>
  <c r="Q12" i="29"/>
  <c r="P12" i="29"/>
  <c r="O12" i="29"/>
  <c r="N12" i="29"/>
  <c r="M12" i="29"/>
  <c r="L12" i="29"/>
  <c r="K12" i="29"/>
  <c r="J12" i="29"/>
  <c r="I12" i="29"/>
  <c r="H12" i="29"/>
  <c r="G12" i="29"/>
  <c r="F12" i="29"/>
  <c r="E12" i="29"/>
  <c r="D12" i="29"/>
  <c r="C12" i="29"/>
  <c r="B12" i="29"/>
  <c r="AC11" i="29"/>
  <c r="AB11" i="29"/>
  <c r="AA11" i="29"/>
  <c r="Z11" i="29"/>
  <c r="Y11" i="29"/>
  <c r="X11" i="29"/>
  <c r="W11" i="29"/>
  <c r="V11" i="29"/>
  <c r="U11" i="29"/>
  <c r="T11" i="29"/>
  <c r="S11" i="29"/>
  <c r="R11" i="29"/>
  <c r="Q11" i="29"/>
  <c r="P11" i="29"/>
  <c r="O11" i="29"/>
  <c r="N11" i="29"/>
  <c r="M11" i="29"/>
  <c r="L11" i="29"/>
  <c r="K11" i="29"/>
  <c r="J11" i="29"/>
  <c r="I11" i="29"/>
  <c r="H11" i="29"/>
  <c r="G11" i="29"/>
  <c r="F11" i="29"/>
  <c r="E11" i="29"/>
  <c r="D11" i="29"/>
  <c r="C11" i="29"/>
  <c r="B11" i="29"/>
  <c r="AC10" i="29"/>
  <c r="AB10" i="29"/>
  <c r="AA10" i="29"/>
  <c r="Z10" i="29"/>
  <c r="Y10" i="29"/>
  <c r="X10" i="29"/>
  <c r="W10" i="29"/>
  <c r="V10" i="29"/>
  <c r="U10" i="29"/>
  <c r="T10" i="29"/>
  <c r="S10" i="29"/>
  <c r="R10" i="29"/>
  <c r="Q10" i="29"/>
  <c r="P10" i="29"/>
  <c r="O10" i="29"/>
  <c r="N10" i="29"/>
  <c r="M10" i="29"/>
  <c r="L10" i="29"/>
  <c r="K10" i="29"/>
  <c r="J10" i="29"/>
  <c r="I10" i="29"/>
  <c r="H10" i="29"/>
  <c r="G10" i="29"/>
  <c r="F10" i="29"/>
  <c r="E10" i="29"/>
  <c r="D10" i="29"/>
  <c r="C10" i="29"/>
  <c r="B10" i="29"/>
  <c r="A10" i="29"/>
  <c r="A11" i="29" s="1"/>
  <c r="A12" i="29" s="1"/>
  <c r="A13" i="29" s="1"/>
  <c r="A14" i="29" s="1"/>
  <c r="A15" i="29" s="1"/>
  <c r="A16" i="29" s="1"/>
  <c r="A17" i="29" s="1"/>
  <c r="A18" i="29" s="1"/>
  <c r="A19" i="29" s="1"/>
  <c r="A20" i="29" s="1"/>
  <c r="A21" i="29" s="1"/>
  <c r="A22" i="29" s="1"/>
  <c r="A23" i="29" s="1"/>
  <c r="A24" i="29" s="1"/>
  <c r="A25" i="29" s="1"/>
  <c r="A26" i="29" s="1"/>
  <c r="A27" i="29" s="1"/>
  <c r="A28" i="29" s="1"/>
  <c r="A29" i="29" s="1"/>
  <c r="A30" i="29" s="1"/>
  <c r="A31" i="29" s="1"/>
  <c r="A32" i="29" s="1"/>
  <c r="A33" i="29" s="1"/>
  <c r="A34" i="29" s="1"/>
  <c r="A35" i="29" s="1"/>
  <c r="A36" i="29" s="1"/>
  <c r="A37" i="29" s="1"/>
  <c r="A38" i="29" s="1"/>
  <c r="A39" i="29" s="1"/>
  <c r="A40" i="29" s="1"/>
  <c r="A41" i="29" s="1"/>
  <c r="A42" i="29" s="1"/>
  <c r="A43" i="29" s="1"/>
  <c r="A44" i="29" s="1"/>
  <c r="A45" i="29" s="1"/>
  <c r="A46" i="29" s="1"/>
  <c r="A47" i="29" s="1"/>
  <c r="A48" i="29" s="1"/>
  <c r="A49" i="29" s="1"/>
  <c r="A50" i="29" s="1"/>
  <c r="A51" i="29" s="1"/>
  <c r="A52" i="29" s="1"/>
  <c r="A53" i="29" s="1"/>
  <c r="AC9" i="29"/>
  <c r="AB9" i="29"/>
  <c r="AA9" i="29"/>
  <c r="Z9" i="29"/>
  <c r="Y9" i="29"/>
  <c r="X9" i="29"/>
  <c r="W9" i="29"/>
  <c r="V9" i="29"/>
  <c r="U9" i="29"/>
  <c r="T9" i="29"/>
  <c r="S9" i="29"/>
  <c r="R9" i="29"/>
  <c r="Q9" i="29"/>
  <c r="P9" i="29"/>
  <c r="O9" i="29"/>
  <c r="N9" i="29"/>
  <c r="M9" i="29"/>
  <c r="L9" i="29"/>
  <c r="K9" i="29"/>
  <c r="J9" i="29"/>
  <c r="I9" i="29"/>
  <c r="H9" i="29"/>
  <c r="G9" i="29"/>
  <c r="F9" i="29"/>
  <c r="E9" i="29"/>
  <c r="D9" i="29"/>
  <c r="C9" i="29"/>
  <c r="B9" i="29"/>
  <c r="AC8" i="29"/>
  <c r="AB8" i="29"/>
  <c r="AA8" i="29"/>
  <c r="Z8" i="29"/>
  <c r="Y8" i="29"/>
  <c r="X8" i="29"/>
  <c r="W8" i="29"/>
  <c r="V8" i="29"/>
  <c r="U8" i="29"/>
  <c r="T8" i="29"/>
  <c r="S8" i="29"/>
  <c r="R8" i="29"/>
  <c r="Q8" i="29"/>
  <c r="P8" i="29"/>
  <c r="O8" i="29"/>
  <c r="N8" i="29"/>
  <c r="M8" i="29"/>
  <c r="L8" i="29"/>
  <c r="K8" i="29"/>
  <c r="J8" i="29"/>
  <c r="I8" i="29"/>
  <c r="H8" i="29"/>
  <c r="G8" i="29"/>
  <c r="F8" i="29"/>
  <c r="E8" i="29"/>
  <c r="D8" i="29"/>
  <c r="C8" i="29"/>
  <c r="B8" i="29"/>
  <c r="C7" i="29"/>
  <c r="B7" i="29"/>
  <c r="C2" i="29"/>
  <c r="B2" i="29"/>
  <c r="C1" i="29"/>
  <c r="B1" i="30" s="1"/>
  <c r="D26" i="28"/>
  <c r="D8" i="28"/>
  <c r="D10" i="28" s="1"/>
  <c r="B1" i="29" s="1"/>
  <c r="A1" i="30" s="1"/>
  <c r="B147" i="37"/>
  <c r="G46" i="37"/>
  <c r="F46" i="37"/>
  <c r="H46" i="37" s="1"/>
  <c r="G45" i="37"/>
  <c r="F45" i="37"/>
  <c r="H45" i="37" s="1"/>
  <c r="I44" i="37"/>
  <c r="G44" i="37"/>
  <c r="F44" i="37"/>
  <c r="E44" i="37"/>
  <c r="H44" i="37" s="1"/>
  <c r="I43" i="37"/>
  <c r="G43" i="37"/>
  <c r="F43" i="37"/>
  <c r="E43" i="37"/>
  <c r="H43" i="37" s="1"/>
  <c r="I42" i="37"/>
  <c r="G42" i="37"/>
  <c r="F42" i="37"/>
  <c r="E42" i="37"/>
  <c r="H42" i="37" s="1"/>
  <c r="I41" i="37"/>
  <c r="G41" i="37"/>
  <c r="F41" i="37"/>
  <c r="E41" i="37"/>
  <c r="H41" i="37" s="1"/>
  <c r="I40" i="37"/>
  <c r="G40" i="37"/>
  <c r="F40" i="37"/>
  <c r="E40" i="37"/>
  <c r="H40" i="37" s="1"/>
  <c r="I39" i="37"/>
  <c r="G39" i="37"/>
  <c r="F39" i="37"/>
  <c r="E39" i="37"/>
  <c r="H39" i="37" s="1"/>
  <c r="B28" i="37"/>
  <c r="B27" i="37"/>
  <c r="J21" i="37"/>
  <c r="B20" i="37"/>
  <c r="B21" i="37" s="1"/>
  <c r="B19" i="37"/>
  <c r="B14" i="37"/>
  <c r="B12" i="37"/>
  <c r="D18" i="27"/>
  <c r="D9" i="27"/>
  <c r="D12" i="27" s="1"/>
  <c r="J13" i="27" s="1"/>
  <c r="D30" i="34"/>
  <c r="B24" i="34"/>
  <c r="C24" i="34" s="1"/>
  <c r="E24" i="34" s="1"/>
  <c r="G24" i="34" s="1"/>
  <c r="C30" i="34" s="1"/>
  <c r="D17" i="34"/>
  <c r="C29" i="34" s="1"/>
  <c r="D14" i="34"/>
  <c r="C28" i="34" s="1"/>
  <c r="BT50" i="26"/>
  <c r="BS50" i="26"/>
  <c r="BR50" i="26"/>
  <c r="BQ50" i="26"/>
  <c r="BP50" i="26"/>
  <c r="BO50" i="26"/>
  <c r="BN50" i="26"/>
  <c r="BM50" i="26"/>
  <c r="BL50" i="26"/>
  <c r="BK50" i="26"/>
  <c r="BJ50" i="26"/>
  <c r="BI50" i="26"/>
  <c r="BH50" i="26"/>
  <c r="BG50" i="26"/>
  <c r="BF50" i="26"/>
  <c r="BE50" i="26"/>
  <c r="BD50" i="26"/>
  <c r="BC50" i="26"/>
  <c r="BB50" i="26"/>
  <c r="BA50" i="26"/>
  <c r="AZ50" i="26"/>
  <c r="AY50" i="26"/>
  <c r="AX50" i="26"/>
  <c r="AW50" i="26"/>
  <c r="AV50" i="26"/>
  <c r="AU50" i="26"/>
  <c r="AT50" i="26"/>
  <c r="AS50" i="26"/>
  <c r="AR50" i="26"/>
  <c r="AQ50" i="26"/>
  <c r="AP50" i="26"/>
  <c r="AO50" i="26"/>
  <c r="AN50" i="26"/>
  <c r="AM50" i="26"/>
  <c r="AL50" i="26"/>
  <c r="AK50" i="26"/>
  <c r="AJ50" i="26"/>
  <c r="AI50" i="26"/>
  <c r="AH50" i="26"/>
  <c r="AF50" i="26"/>
  <c r="AE50" i="26"/>
  <c r="AD50" i="26"/>
  <c r="AC50" i="26"/>
  <c r="AB50" i="26"/>
  <c r="AA50" i="26"/>
  <c r="Z50" i="26"/>
  <c r="Y50" i="26"/>
  <c r="X50" i="26"/>
  <c r="W50" i="26"/>
  <c r="V50" i="26"/>
  <c r="U50" i="26"/>
  <c r="T50" i="26"/>
  <c r="S50" i="26"/>
  <c r="R50" i="26"/>
  <c r="Q50" i="26"/>
  <c r="P50" i="26"/>
  <c r="O50" i="26"/>
  <c r="N50" i="26"/>
  <c r="M50" i="26"/>
  <c r="L50" i="26"/>
  <c r="K50" i="26"/>
  <c r="J50" i="26"/>
  <c r="I50" i="26"/>
  <c r="H50" i="26"/>
  <c r="G50" i="26"/>
  <c r="F50" i="26"/>
  <c r="E50" i="26"/>
  <c r="D50" i="26"/>
  <c r="C50" i="26"/>
  <c r="B50" i="26"/>
  <c r="BT49" i="26"/>
  <c r="BS49" i="26"/>
  <c r="BR49" i="26"/>
  <c r="BQ49" i="26"/>
  <c r="BP49" i="26"/>
  <c r="BO49" i="26"/>
  <c r="BN49" i="26"/>
  <c r="BM49" i="26"/>
  <c r="BL49" i="26"/>
  <c r="BK49" i="26"/>
  <c r="BJ49" i="26"/>
  <c r="BI49" i="26"/>
  <c r="BH49" i="26"/>
  <c r="BG49" i="26"/>
  <c r="BF49" i="26"/>
  <c r="BE49" i="26"/>
  <c r="BD49" i="26"/>
  <c r="BC49" i="26"/>
  <c r="BB49" i="26"/>
  <c r="BA49" i="26"/>
  <c r="AZ49" i="26"/>
  <c r="AY49" i="26"/>
  <c r="AX49" i="26"/>
  <c r="AW49" i="26"/>
  <c r="AV49" i="26"/>
  <c r="AU49" i="26"/>
  <c r="AT49" i="26"/>
  <c r="AS49" i="26"/>
  <c r="AR49" i="26"/>
  <c r="AQ49" i="26"/>
  <c r="AP49" i="26"/>
  <c r="AO49" i="26"/>
  <c r="AN49" i="26"/>
  <c r="AM49" i="26"/>
  <c r="AL49" i="26"/>
  <c r="AK49" i="26"/>
  <c r="AJ49" i="26"/>
  <c r="AI49" i="26"/>
  <c r="AH49" i="26"/>
  <c r="AF49" i="26"/>
  <c r="AE49" i="26"/>
  <c r="AD49" i="26"/>
  <c r="AC49" i="26"/>
  <c r="AB49" i="26"/>
  <c r="AA49" i="26"/>
  <c r="Z49" i="26"/>
  <c r="Y49" i="26"/>
  <c r="X49" i="26"/>
  <c r="W49" i="26"/>
  <c r="V49" i="26"/>
  <c r="U49" i="26"/>
  <c r="T49" i="26"/>
  <c r="S49" i="26"/>
  <c r="R49" i="26"/>
  <c r="Q49" i="26"/>
  <c r="P49" i="26"/>
  <c r="O49" i="26"/>
  <c r="N49" i="26"/>
  <c r="M49" i="26"/>
  <c r="L49" i="26"/>
  <c r="K49" i="26"/>
  <c r="J49" i="26"/>
  <c r="I49" i="26"/>
  <c r="H49" i="26"/>
  <c r="G49" i="26"/>
  <c r="F49" i="26"/>
  <c r="E49" i="26"/>
  <c r="D49" i="26"/>
  <c r="C49" i="26"/>
  <c r="B49" i="26"/>
  <c r="BT48" i="26"/>
  <c r="BS48" i="26"/>
  <c r="BR48" i="26"/>
  <c r="BQ48" i="26"/>
  <c r="BP48" i="26"/>
  <c r="BO48" i="26"/>
  <c r="BN48" i="26"/>
  <c r="BM48" i="26"/>
  <c r="BL48" i="26"/>
  <c r="BK48" i="26"/>
  <c r="BJ48" i="26"/>
  <c r="BI48" i="26"/>
  <c r="BH48" i="26"/>
  <c r="BG48" i="26"/>
  <c r="BF48" i="26"/>
  <c r="BE48" i="26"/>
  <c r="BD48" i="26"/>
  <c r="BC48" i="26"/>
  <c r="BB48" i="26"/>
  <c r="BA48" i="26"/>
  <c r="AZ48" i="26"/>
  <c r="AY48" i="26"/>
  <c r="AX48" i="26"/>
  <c r="AW48" i="26"/>
  <c r="AV48" i="26"/>
  <c r="AU48" i="26"/>
  <c r="AT48" i="26"/>
  <c r="AS48" i="26"/>
  <c r="AR48" i="26"/>
  <c r="AQ48" i="26"/>
  <c r="AP48" i="26"/>
  <c r="AO48" i="26"/>
  <c r="AN48" i="26"/>
  <c r="AM48" i="26"/>
  <c r="AL48" i="26"/>
  <c r="AK48" i="26"/>
  <c r="AJ48" i="26"/>
  <c r="AI48" i="26"/>
  <c r="AH48" i="26"/>
  <c r="AF48" i="26"/>
  <c r="AE48" i="26"/>
  <c r="AD48" i="26"/>
  <c r="AC48" i="26"/>
  <c r="AB48" i="26"/>
  <c r="AA48" i="26"/>
  <c r="Z48" i="26"/>
  <c r="Y48" i="26"/>
  <c r="X48" i="26"/>
  <c r="W48" i="26"/>
  <c r="V48" i="26"/>
  <c r="U48" i="26"/>
  <c r="T48" i="26"/>
  <c r="S48" i="26"/>
  <c r="R48" i="26"/>
  <c r="Q48" i="26"/>
  <c r="P48" i="26"/>
  <c r="O48" i="26"/>
  <c r="N48" i="26"/>
  <c r="M48" i="26"/>
  <c r="L48" i="26"/>
  <c r="K48" i="26"/>
  <c r="J48" i="26"/>
  <c r="I48" i="26"/>
  <c r="H48" i="26"/>
  <c r="G48" i="26"/>
  <c r="F48" i="26"/>
  <c r="E48" i="26"/>
  <c r="D48" i="26"/>
  <c r="C48" i="26"/>
  <c r="B48" i="26"/>
  <c r="BT47" i="26"/>
  <c r="BS47" i="26"/>
  <c r="BR47" i="26"/>
  <c r="BQ47" i="26"/>
  <c r="BP47" i="26"/>
  <c r="BO47" i="26"/>
  <c r="BN47" i="26"/>
  <c r="BM47" i="26"/>
  <c r="BL47" i="26"/>
  <c r="BK47" i="26"/>
  <c r="BJ47" i="26"/>
  <c r="BI47" i="26"/>
  <c r="BH47" i="26"/>
  <c r="BG47" i="26"/>
  <c r="BF47" i="26"/>
  <c r="BE47" i="26"/>
  <c r="BD47" i="26"/>
  <c r="BC47" i="26"/>
  <c r="BB47" i="26"/>
  <c r="BA47" i="26"/>
  <c r="AZ47" i="26"/>
  <c r="AY47" i="26"/>
  <c r="AX47" i="26"/>
  <c r="AW47" i="26"/>
  <c r="AV47" i="26"/>
  <c r="AU47" i="26"/>
  <c r="AT47" i="26"/>
  <c r="AS47" i="26"/>
  <c r="AR47" i="26"/>
  <c r="AQ47" i="26"/>
  <c r="AP47" i="26"/>
  <c r="AO47" i="26"/>
  <c r="AN47" i="26"/>
  <c r="AM47" i="26"/>
  <c r="AL47" i="26"/>
  <c r="AK47" i="26"/>
  <c r="AJ47" i="26"/>
  <c r="AI47" i="26"/>
  <c r="AH47" i="26"/>
  <c r="AF47" i="26"/>
  <c r="AE47" i="26"/>
  <c r="AD47" i="26"/>
  <c r="AC47" i="26"/>
  <c r="AB47" i="26"/>
  <c r="AA47" i="26"/>
  <c r="Z47" i="26"/>
  <c r="Y47" i="26"/>
  <c r="X47" i="26"/>
  <c r="W47" i="26"/>
  <c r="V47" i="26"/>
  <c r="U47" i="26"/>
  <c r="T47" i="26"/>
  <c r="S47" i="26"/>
  <c r="R47" i="26"/>
  <c r="Q47" i="26"/>
  <c r="P47" i="26"/>
  <c r="O47" i="26"/>
  <c r="N47" i="26"/>
  <c r="M47" i="26"/>
  <c r="L47" i="26"/>
  <c r="K47" i="26"/>
  <c r="J47" i="26"/>
  <c r="I47" i="26"/>
  <c r="H47" i="26"/>
  <c r="G47" i="26"/>
  <c r="F47" i="26"/>
  <c r="E47" i="26"/>
  <c r="D47" i="26"/>
  <c r="C47" i="26"/>
  <c r="B47" i="26"/>
  <c r="BT46" i="26"/>
  <c r="BS46" i="26"/>
  <c r="BR46" i="26"/>
  <c r="BQ46" i="26"/>
  <c r="BP46" i="26"/>
  <c r="BO46" i="26"/>
  <c r="BN46" i="26"/>
  <c r="BM46" i="26"/>
  <c r="BL46" i="26"/>
  <c r="BK46" i="26"/>
  <c r="BJ46" i="26"/>
  <c r="BI46" i="26"/>
  <c r="BH46" i="26"/>
  <c r="BG46" i="26"/>
  <c r="BF46" i="26"/>
  <c r="BE46" i="26"/>
  <c r="BD46" i="26"/>
  <c r="BC46" i="26"/>
  <c r="BB46" i="26"/>
  <c r="BA46" i="26"/>
  <c r="AZ46" i="26"/>
  <c r="AY46" i="26"/>
  <c r="AX46" i="26"/>
  <c r="AW46" i="26"/>
  <c r="AV46" i="26"/>
  <c r="AU46" i="26"/>
  <c r="AT46" i="26"/>
  <c r="AS46" i="26"/>
  <c r="AR46" i="26"/>
  <c r="AQ46" i="26"/>
  <c r="AP46" i="26"/>
  <c r="AO46" i="26"/>
  <c r="AN46" i="26"/>
  <c r="AM46" i="26"/>
  <c r="AL46" i="26"/>
  <c r="AK46" i="26"/>
  <c r="AJ46" i="26"/>
  <c r="AI46" i="26"/>
  <c r="AH46" i="26"/>
  <c r="AF46" i="26"/>
  <c r="AE46" i="26"/>
  <c r="AD46" i="26"/>
  <c r="AC46" i="26"/>
  <c r="AB46" i="26"/>
  <c r="AA46" i="26"/>
  <c r="Z46" i="26"/>
  <c r="Y46" i="26"/>
  <c r="X46" i="26"/>
  <c r="W46" i="26"/>
  <c r="V46" i="26"/>
  <c r="U46" i="26"/>
  <c r="T46" i="26"/>
  <c r="S46" i="26"/>
  <c r="R46" i="26"/>
  <c r="Q46" i="26"/>
  <c r="P46" i="26"/>
  <c r="O46" i="26"/>
  <c r="N46" i="26"/>
  <c r="M46" i="26"/>
  <c r="L46" i="26"/>
  <c r="K46" i="26"/>
  <c r="J46" i="26"/>
  <c r="I46" i="26"/>
  <c r="H46" i="26"/>
  <c r="G46" i="26"/>
  <c r="F46" i="26"/>
  <c r="E46" i="26"/>
  <c r="D46" i="26"/>
  <c r="C46" i="26"/>
  <c r="B46" i="26"/>
  <c r="BT45" i="26"/>
  <c r="BS45" i="26"/>
  <c r="BR45" i="26"/>
  <c r="BQ45" i="26"/>
  <c r="BP45" i="26"/>
  <c r="BO45" i="26"/>
  <c r="BN45" i="26"/>
  <c r="BM45" i="26"/>
  <c r="BL45" i="26"/>
  <c r="BK45" i="26"/>
  <c r="BJ45" i="26"/>
  <c r="BI45" i="26"/>
  <c r="BH45" i="26"/>
  <c r="BG45" i="26"/>
  <c r="BF45" i="26"/>
  <c r="BE45" i="26"/>
  <c r="BD45" i="26"/>
  <c r="BC45" i="26"/>
  <c r="BB45" i="26"/>
  <c r="BA45" i="26"/>
  <c r="AZ45" i="26"/>
  <c r="AY45" i="26"/>
  <c r="AX45" i="26"/>
  <c r="AW45" i="26"/>
  <c r="AV45" i="26"/>
  <c r="AU45" i="26"/>
  <c r="AT45" i="26"/>
  <c r="AS45" i="26"/>
  <c r="AR45" i="26"/>
  <c r="AQ45" i="26"/>
  <c r="AP45" i="26"/>
  <c r="AO45" i="26"/>
  <c r="AN45" i="26"/>
  <c r="AM45" i="26"/>
  <c r="AL45" i="26"/>
  <c r="AK45" i="26"/>
  <c r="AJ45" i="26"/>
  <c r="AI45" i="26"/>
  <c r="AH45" i="26"/>
  <c r="AF45" i="26"/>
  <c r="AE45" i="26"/>
  <c r="AD45" i="26"/>
  <c r="AC45" i="26"/>
  <c r="AB45" i="26"/>
  <c r="AA45" i="26"/>
  <c r="Z45" i="26"/>
  <c r="Y45" i="26"/>
  <c r="X45" i="26"/>
  <c r="W45" i="26"/>
  <c r="V45" i="26"/>
  <c r="U45" i="26"/>
  <c r="T45" i="26"/>
  <c r="S45" i="26"/>
  <c r="R45" i="26"/>
  <c r="Q45" i="26"/>
  <c r="P45" i="26"/>
  <c r="O45" i="26"/>
  <c r="N45" i="26"/>
  <c r="M45" i="26"/>
  <c r="L45" i="26"/>
  <c r="K45" i="26"/>
  <c r="J45" i="26"/>
  <c r="I45" i="26"/>
  <c r="H45" i="26"/>
  <c r="G45" i="26"/>
  <c r="F45" i="26"/>
  <c r="E45" i="26"/>
  <c r="D45" i="26"/>
  <c r="C45" i="26"/>
  <c r="B45" i="26"/>
  <c r="BT44" i="26"/>
  <c r="BS44" i="26"/>
  <c r="BR44" i="26"/>
  <c r="BQ44" i="26"/>
  <c r="BP44" i="26"/>
  <c r="BO44" i="26"/>
  <c r="BN44" i="26"/>
  <c r="BM44" i="26"/>
  <c r="BL44" i="26"/>
  <c r="BK44" i="26"/>
  <c r="BJ44" i="26"/>
  <c r="BI44" i="26"/>
  <c r="BH44" i="26"/>
  <c r="BG44" i="26"/>
  <c r="BF44" i="26"/>
  <c r="BE44" i="26"/>
  <c r="BD44" i="26"/>
  <c r="BC44" i="26"/>
  <c r="BB44" i="26"/>
  <c r="BA44" i="26"/>
  <c r="AZ44" i="26"/>
  <c r="AY44" i="26"/>
  <c r="AX44" i="26"/>
  <c r="AW44" i="26"/>
  <c r="AV44" i="26"/>
  <c r="AU44" i="26"/>
  <c r="AT44" i="26"/>
  <c r="AS44" i="26"/>
  <c r="AR44" i="26"/>
  <c r="AQ44" i="26"/>
  <c r="AP44" i="26"/>
  <c r="AO44" i="26"/>
  <c r="AN44" i="26"/>
  <c r="AM44" i="26"/>
  <c r="AL44" i="26"/>
  <c r="AK44" i="26"/>
  <c r="AJ44" i="26"/>
  <c r="AI44" i="26"/>
  <c r="AH44" i="26"/>
  <c r="AF44" i="26"/>
  <c r="AE44" i="26"/>
  <c r="AD44" i="26"/>
  <c r="AC44" i="26"/>
  <c r="AB44" i="26"/>
  <c r="AA44" i="26"/>
  <c r="Z44" i="26"/>
  <c r="Y44" i="26"/>
  <c r="X44" i="26"/>
  <c r="W44" i="26"/>
  <c r="V44" i="26"/>
  <c r="U44" i="26"/>
  <c r="T44" i="26"/>
  <c r="S44" i="26"/>
  <c r="R44" i="26"/>
  <c r="Q44" i="26"/>
  <c r="P44" i="26"/>
  <c r="O44" i="26"/>
  <c r="N44" i="26"/>
  <c r="M44" i="26"/>
  <c r="L44" i="26"/>
  <c r="K44" i="26"/>
  <c r="J44" i="26"/>
  <c r="I44" i="26"/>
  <c r="H44" i="26"/>
  <c r="G44" i="26"/>
  <c r="F44" i="26"/>
  <c r="E44" i="26"/>
  <c r="D44" i="26"/>
  <c r="C44" i="26"/>
  <c r="B44" i="26"/>
  <c r="BT43" i="26"/>
  <c r="BS43" i="26"/>
  <c r="BR43" i="26"/>
  <c r="BQ43" i="26"/>
  <c r="BP43" i="26"/>
  <c r="BO43" i="26"/>
  <c r="BN43" i="26"/>
  <c r="BM43" i="26"/>
  <c r="BL43" i="26"/>
  <c r="BK43" i="26"/>
  <c r="BJ43" i="26"/>
  <c r="BI43" i="26"/>
  <c r="BH43" i="26"/>
  <c r="BG43" i="26"/>
  <c r="BF43" i="26"/>
  <c r="BE43" i="26"/>
  <c r="BD43" i="26"/>
  <c r="BC43" i="26"/>
  <c r="BB43" i="26"/>
  <c r="BA43" i="26"/>
  <c r="AZ43" i="26"/>
  <c r="AY43" i="26"/>
  <c r="AX43" i="26"/>
  <c r="AW43" i="26"/>
  <c r="AV43" i="26"/>
  <c r="AU43" i="26"/>
  <c r="AT43" i="26"/>
  <c r="AS43" i="26"/>
  <c r="AR43" i="26"/>
  <c r="AQ43" i="26"/>
  <c r="AP43" i="26"/>
  <c r="AO43" i="26"/>
  <c r="AN43" i="26"/>
  <c r="AM43" i="26"/>
  <c r="AL43" i="26"/>
  <c r="AK43" i="26"/>
  <c r="AJ43" i="26"/>
  <c r="AI43" i="26"/>
  <c r="AH43" i="26"/>
  <c r="AF43" i="26"/>
  <c r="AE43" i="26"/>
  <c r="AD43" i="26"/>
  <c r="AC43" i="26"/>
  <c r="AB43" i="26"/>
  <c r="AA43" i="26"/>
  <c r="Z43" i="26"/>
  <c r="Y43" i="26"/>
  <c r="X43" i="26"/>
  <c r="W43" i="26"/>
  <c r="V43" i="26"/>
  <c r="U43" i="26"/>
  <c r="T43" i="26"/>
  <c r="S43" i="26"/>
  <c r="R43" i="26"/>
  <c r="Q43" i="26"/>
  <c r="P43" i="26"/>
  <c r="O43" i="26"/>
  <c r="N43" i="26"/>
  <c r="M43" i="26"/>
  <c r="L43" i="26"/>
  <c r="K43" i="26"/>
  <c r="J43" i="26"/>
  <c r="I43" i="26"/>
  <c r="H43" i="26"/>
  <c r="G43" i="26"/>
  <c r="F43" i="26"/>
  <c r="E43" i="26"/>
  <c r="D43" i="26"/>
  <c r="C43" i="26"/>
  <c r="B43" i="26"/>
  <c r="BT42" i="26"/>
  <c r="BS42" i="26"/>
  <c r="BR42" i="26"/>
  <c r="BQ42" i="26"/>
  <c r="BP42" i="26"/>
  <c r="BO42" i="26"/>
  <c r="BN42" i="26"/>
  <c r="BM42" i="26"/>
  <c r="BL42" i="26"/>
  <c r="BK42" i="26"/>
  <c r="BJ42" i="26"/>
  <c r="BI42" i="26"/>
  <c r="BH42" i="26"/>
  <c r="BG42" i="26"/>
  <c r="BF42" i="26"/>
  <c r="BE42" i="26"/>
  <c r="BD42" i="26"/>
  <c r="BC42" i="26"/>
  <c r="BB42" i="26"/>
  <c r="BA42" i="26"/>
  <c r="AZ42" i="26"/>
  <c r="AY42" i="26"/>
  <c r="AX42" i="26"/>
  <c r="AW42" i="26"/>
  <c r="AV42" i="26"/>
  <c r="AU42" i="26"/>
  <c r="AT42" i="26"/>
  <c r="AS42" i="26"/>
  <c r="AR42" i="26"/>
  <c r="AQ42" i="26"/>
  <c r="AP42" i="26"/>
  <c r="AO42" i="26"/>
  <c r="AN42" i="26"/>
  <c r="AM42" i="26"/>
  <c r="AL42" i="26"/>
  <c r="AK42" i="26"/>
  <c r="AJ42" i="26"/>
  <c r="AI42" i="26"/>
  <c r="AH42" i="26"/>
  <c r="AF42" i="26"/>
  <c r="AE42" i="26"/>
  <c r="AD42" i="26"/>
  <c r="AC42" i="26"/>
  <c r="AB42" i="26"/>
  <c r="AA42" i="26"/>
  <c r="Z42" i="26"/>
  <c r="Y42" i="26"/>
  <c r="X42" i="26"/>
  <c r="W42" i="26"/>
  <c r="V42" i="26"/>
  <c r="U42" i="26"/>
  <c r="T42" i="26"/>
  <c r="S42" i="26"/>
  <c r="R42" i="26"/>
  <c r="Q42" i="26"/>
  <c r="P42" i="26"/>
  <c r="O42" i="26"/>
  <c r="N42" i="26"/>
  <c r="M42" i="26"/>
  <c r="L42" i="26"/>
  <c r="K42" i="26"/>
  <c r="J42" i="26"/>
  <c r="I42" i="26"/>
  <c r="H42" i="26"/>
  <c r="G42" i="26"/>
  <c r="F42" i="26"/>
  <c r="E42" i="26"/>
  <c r="D42" i="26"/>
  <c r="C42" i="26"/>
  <c r="B42" i="26"/>
  <c r="BT41" i="26"/>
  <c r="BS41" i="26"/>
  <c r="BR41" i="26"/>
  <c r="BQ41" i="26"/>
  <c r="BP41" i="26"/>
  <c r="BO41" i="26"/>
  <c r="BN41" i="26"/>
  <c r="BM41" i="26"/>
  <c r="BL41" i="26"/>
  <c r="BK41" i="26"/>
  <c r="BJ41" i="26"/>
  <c r="BI41" i="26"/>
  <c r="BH41" i="26"/>
  <c r="BG41" i="26"/>
  <c r="BF41" i="26"/>
  <c r="BE41" i="26"/>
  <c r="BD41" i="26"/>
  <c r="BC41" i="26"/>
  <c r="BB41" i="26"/>
  <c r="BA41" i="26"/>
  <c r="AZ41" i="26"/>
  <c r="AY41" i="26"/>
  <c r="AX41" i="26"/>
  <c r="AW41" i="26"/>
  <c r="AV41" i="26"/>
  <c r="AU41" i="26"/>
  <c r="AT41" i="26"/>
  <c r="AS41" i="26"/>
  <c r="AR41" i="26"/>
  <c r="AQ41" i="26"/>
  <c r="AP41" i="26"/>
  <c r="AO41" i="26"/>
  <c r="AN41" i="26"/>
  <c r="AM41" i="26"/>
  <c r="AL41" i="26"/>
  <c r="AK41" i="26"/>
  <c r="AJ41" i="26"/>
  <c r="AI41" i="26"/>
  <c r="AH41" i="26"/>
  <c r="AF41" i="26"/>
  <c r="AE41" i="26"/>
  <c r="AD41" i="26"/>
  <c r="AC41" i="26"/>
  <c r="AB41" i="26"/>
  <c r="AA41" i="26"/>
  <c r="Z41" i="26"/>
  <c r="Y41" i="26"/>
  <c r="X41" i="26"/>
  <c r="W41" i="26"/>
  <c r="V41" i="26"/>
  <c r="U41" i="26"/>
  <c r="T41" i="26"/>
  <c r="S41" i="26"/>
  <c r="R41" i="26"/>
  <c r="Q41" i="26"/>
  <c r="P41" i="26"/>
  <c r="O41" i="26"/>
  <c r="N41" i="26"/>
  <c r="M41" i="26"/>
  <c r="L41" i="26"/>
  <c r="K41" i="26"/>
  <c r="J41" i="26"/>
  <c r="I41" i="26"/>
  <c r="H41" i="26"/>
  <c r="G41" i="26"/>
  <c r="F41" i="26"/>
  <c r="E41" i="26"/>
  <c r="D41" i="26"/>
  <c r="C41" i="26"/>
  <c r="B41" i="26"/>
  <c r="BT40" i="26"/>
  <c r="BS40" i="26"/>
  <c r="BR40" i="26"/>
  <c r="BQ40" i="26"/>
  <c r="BP40" i="26"/>
  <c r="BO40" i="26"/>
  <c r="BN40" i="26"/>
  <c r="BM40" i="26"/>
  <c r="BL40" i="26"/>
  <c r="BK40" i="26"/>
  <c r="BJ40" i="26"/>
  <c r="BI40" i="26"/>
  <c r="BH40" i="26"/>
  <c r="BG40" i="26"/>
  <c r="BF40" i="26"/>
  <c r="BE40" i="26"/>
  <c r="BD40" i="26"/>
  <c r="BC40" i="26"/>
  <c r="BB40" i="26"/>
  <c r="BA40" i="26"/>
  <c r="AZ40" i="26"/>
  <c r="AY40" i="26"/>
  <c r="AX40" i="26"/>
  <c r="AW40" i="26"/>
  <c r="AV40" i="26"/>
  <c r="AU40" i="26"/>
  <c r="AT40" i="26"/>
  <c r="AS40" i="26"/>
  <c r="AR40" i="26"/>
  <c r="AQ40" i="26"/>
  <c r="AP40" i="26"/>
  <c r="AO40" i="26"/>
  <c r="AN40" i="26"/>
  <c r="AM40" i="26"/>
  <c r="AL40" i="26"/>
  <c r="AK40" i="26"/>
  <c r="AJ40" i="26"/>
  <c r="AI40" i="26"/>
  <c r="AH40" i="26"/>
  <c r="AF40" i="26"/>
  <c r="AE40" i="26"/>
  <c r="AD40" i="26"/>
  <c r="AC40" i="26"/>
  <c r="AB40" i="26"/>
  <c r="AA40" i="26"/>
  <c r="Z40" i="26"/>
  <c r="Y40" i="26"/>
  <c r="X40" i="26"/>
  <c r="W40" i="26"/>
  <c r="V40" i="26"/>
  <c r="U40" i="26"/>
  <c r="T40" i="26"/>
  <c r="S40" i="26"/>
  <c r="R40" i="26"/>
  <c r="Q40" i="26"/>
  <c r="P40" i="26"/>
  <c r="O40" i="26"/>
  <c r="N40" i="26"/>
  <c r="M40" i="26"/>
  <c r="L40" i="26"/>
  <c r="K40" i="26"/>
  <c r="J40" i="26"/>
  <c r="I40" i="26"/>
  <c r="H40" i="26"/>
  <c r="G40" i="26"/>
  <c r="F40" i="26"/>
  <c r="E40" i="26"/>
  <c r="D40" i="26"/>
  <c r="C40" i="26"/>
  <c r="B40" i="26"/>
  <c r="BT39" i="26"/>
  <c r="BS39" i="26"/>
  <c r="BR39" i="26"/>
  <c r="BQ39" i="26"/>
  <c r="BP39" i="26"/>
  <c r="BO39" i="26"/>
  <c r="BN39" i="26"/>
  <c r="BM39" i="26"/>
  <c r="BL39" i="26"/>
  <c r="BK39" i="26"/>
  <c r="BJ39" i="26"/>
  <c r="BI39" i="26"/>
  <c r="BH39" i="26"/>
  <c r="BG39" i="26"/>
  <c r="BF39" i="26"/>
  <c r="BE39" i="26"/>
  <c r="BD39" i="26"/>
  <c r="BC39" i="26"/>
  <c r="BB39" i="26"/>
  <c r="BA39" i="26"/>
  <c r="AZ39" i="26"/>
  <c r="AY39" i="26"/>
  <c r="AX39" i="26"/>
  <c r="AW39" i="26"/>
  <c r="AV39" i="26"/>
  <c r="AU39" i="26"/>
  <c r="AT39" i="26"/>
  <c r="AS39" i="26"/>
  <c r="AR39" i="26"/>
  <c r="AQ39" i="26"/>
  <c r="AP39" i="26"/>
  <c r="AO39" i="26"/>
  <c r="AN39" i="26"/>
  <c r="AM39" i="26"/>
  <c r="AL39" i="26"/>
  <c r="AK39" i="26"/>
  <c r="AJ39" i="26"/>
  <c r="AI39" i="26"/>
  <c r="AH39" i="26"/>
  <c r="AF39" i="26"/>
  <c r="AE39" i="26"/>
  <c r="AD39" i="26"/>
  <c r="AC39" i="26"/>
  <c r="AB39" i="26"/>
  <c r="AA39" i="26"/>
  <c r="Z39" i="26"/>
  <c r="Y39" i="26"/>
  <c r="X39" i="26"/>
  <c r="W39" i="26"/>
  <c r="V39" i="26"/>
  <c r="U39" i="26"/>
  <c r="T39" i="26"/>
  <c r="S39" i="26"/>
  <c r="R39" i="26"/>
  <c r="Q39" i="26"/>
  <c r="P39" i="26"/>
  <c r="O39" i="26"/>
  <c r="N39" i="26"/>
  <c r="M39" i="26"/>
  <c r="L39" i="26"/>
  <c r="K39" i="26"/>
  <c r="J39" i="26"/>
  <c r="I39" i="26"/>
  <c r="H39" i="26"/>
  <c r="G39" i="26"/>
  <c r="F39" i="26"/>
  <c r="E39" i="26"/>
  <c r="D39" i="26"/>
  <c r="C39" i="26"/>
  <c r="B39" i="26"/>
  <c r="BT38" i="26"/>
  <c r="BS38" i="26"/>
  <c r="BR38" i="26"/>
  <c r="BQ38" i="26"/>
  <c r="BP38" i="26"/>
  <c r="BO38" i="26"/>
  <c r="BN38" i="26"/>
  <c r="BM38" i="26"/>
  <c r="BL38" i="26"/>
  <c r="BK38" i="26"/>
  <c r="BJ38" i="26"/>
  <c r="BI38" i="26"/>
  <c r="BH38" i="26"/>
  <c r="BG38" i="26"/>
  <c r="BF38" i="26"/>
  <c r="BE38" i="26"/>
  <c r="BD38" i="26"/>
  <c r="BC38" i="26"/>
  <c r="BB38" i="26"/>
  <c r="BA38" i="26"/>
  <c r="AZ38" i="26"/>
  <c r="AY38" i="26"/>
  <c r="AX38" i="26"/>
  <c r="AW38" i="26"/>
  <c r="AV38" i="26"/>
  <c r="AU38" i="26"/>
  <c r="AT38" i="26"/>
  <c r="AS38" i="26"/>
  <c r="AR38" i="26"/>
  <c r="AQ38" i="26"/>
  <c r="AP38" i="26"/>
  <c r="AO38" i="26"/>
  <c r="AN38" i="26"/>
  <c r="AM38" i="26"/>
  <c r="AL38" i="26"/>
  <c r="AK38" i="26"/>
  <c r="AJ38" i="26"/>
  <c r="AI38" i="26"/>
  <c r="AH38" i="26"/>
  <c r="AF38" i="26"/>
  <c r="AE38" i="26"/>
  <c r="AD38" i="26"/>
  <c r="AC38" i="26"/>
  <c r="AB38" i="26"/>
  <c r="AA38" i="26"/>
  <c r="Z38" i="26"/>
  <c r="Y38" i="26"/>
  <c r="X38" i="26"/>
  <c r="W38" i="26"/>
  <c r="V38" i="26"/>
  <c r="U38" i="26"/>
  <c r="T38" i="26"/>
  <c r="S38" i="26"/>
  <c r="R38" i="26"/>
  <c r="Q38" i="26"/>
  <c r="P38" i="26"/>
  <c r="O38" i="26"/>
  <c r="N38" i="26"/>
  <c r="M38" i="26"/>
  <c r="L38" i="26"/>
  <c r="K38" i="26"/>
  <c r="J38" i="26"/>
  <c r="I38" i="26"/>
  <c r="H38" i="26"/>
  <c r="G38" i="26"/>
  <c r="F38" i="26"/>
  <c r="E38" i="26"/>
  <c r="D38" i="26"/>
  <c r="C38" i="26"/>
  <c r="B38" i="26"/>
  <c r="BT37" i="26"/>
  <c r="BS37" i="26"/>
  <c r="BR37" i="26"/>
  <c r="BQ37" i="26"/>
  <c r="BP37" i="26"/>
  <c r="BO37" i="26"/>
  <c r="BN37" i="26"/>
  <c r="BM37" i="26"/>
  <c r="BL37" i="26"/>
  <c r="BK37" i="26"/>
  <c r="BJ37" i="26"/>
  <c r="BI37" i="26"/>
  <c r="BH37" i="26"/>
  <c r="BG37" i="26"/>
  <c r="BF37" i="26"/>
  <c r="BE37" i="26"/>
  <c r="BD37" i="26"/>
  <c r="BC37" i="26"/>
  <c r="BB37" i="26"/>
  <c r="BA37" i="26"/>
  <c r="AZ37" i="26"/>
  <c r="AY37" i="26"/>
  <c r="AX37" i="26"/>
  <c r="AW37" i="26"/>
  <c r="AV37" i="26"/>
  <c r="AU37" i="26"/>
  <c r="AT37" i="26"/>
  <c r="AS37" i="26"/>
  <c r="AR37" i="26"/>
  <c r="AQ37" i="26"/>
  <c r="AP37" i="26"/>
  <c r="AO37" i="26"/>
  <c r="AN37" i="26"/>
  <c r="AM37" i="26"/>
  <c r="AL37" i="26"/>
  <c r="AK37" i="26"/>
  <c r="AJ37" i="26"/>
  <c r="AI37" i="26"/>
  <c r="AH37" i="26"/>
  <c r="AF37" i="26"/>
  <c r="AE37" i="26"/>
  <c r="AD37" i="26"/>
  <c r="AC37" i="26"/>
  <c r="AB37" i="26"/>
  <c r="AA37" i="26"/>
  <c r="Z37" i="26"/>
  <c r="Y37" i="26"/>
  <c r="X37" i="26"/>
  <c r="W37" i="26"/>
  <c r="V37" i="26"/>
  <c r="U37" i="26"/>
  <c r="T37" i="26"/>
  <c r="S37" i="26"/>
  <c r="R37" i="26"/>
  <c r="Q37" i="26"/>
  <c r="P37" i="26"/>
  <c r="O37" i="26"/>
  <c r="N37" i="26"/>
  <c r="M37" i="26"/>
  <c r="L37" i="26"/>
  <c r="K37" i="26"/>
  <c r="J37" i="26"/>
  <c r="I37" i="26"/>
  <c r="H37" i="26"/>
  <c r="G37" i="26"/>
  <c r="F37" i="26"/>
  <c r="E37" i="26"/>
  <c r="D37" i="26"/>
  <c r="C37" i="26"/>
  <c r="B37" i="26"/>
  <c r="BT36" i="26"/>
  <c r="BS36" i="26"/>
  <c r="BR36" i="26"/>
  <c r="BQ36" i="26"/>
  <c r="BP36" i="26"/>
  <c r="BO36" i="26"/>
  <c r="BN36" i="26"/>
  <c r="BM36" i="26"/>
  <c r="BL36" i="26"/>
  <c r="BK36" i="26"/>
  <c r="BJ36" i="26"/>
  <c r="BI36" i="26"/>
  <c r="BH36" i="26"/>
  <c r="BG36" i="26"/>
  <c r="BF36" i="26"/>
  <c r="BE36" i="26"/>
  <c r="BD36" i="26"/>
  <c r="BC36" i="26"/>
  <c r="BB36" i="26"/>
  <c r="BA36" i="26"/>
  <c r="AZ36" i="26"/>
  <c r="AY36" i="26"/>
  <c r="AX36" i="26"/>
  <c r="AW36" i="26"/>
  <c r="AV36" i="26"/>
  <c r="AU36" i="26"/>
  <c r="AT36" i="26"/>
  <c r="AS36" i="26"/>
  <c r="AR36" i="26"/>
  <c r="AQ36" i="26"/>
  <c r="AP36" i="26"/>
  <c r="AO36" i="26"/>
  <c r="AN36" i="26"/>
  <c r="AM36" i="26"/>
  <c r="AL36" i="26"/>
  <c r="AK36" i="26"/>
  <c r="AJ36" i="26"/>
  <c r="AI36" i="26"/>
  <c r="AH36" i="26"/>
  <c r="AF36" i="26"/>
  <c r="AE36" i="26"/>
  <c r="AD36" i="26"/>
  <c r="AC36" i="26"/>
  <c r="AB36" i="26"/>
  <c r="AA36" i="26"/>
  <c r="Z36" i="26"/>
  <c r="Y36" i="26"/>
  <c r="X36" i="26"/>
  <c r="W36" i="26"/>
  <c r="V36" i="26"/>
  <c r="U36" i="26"/>
  <c r="T36" i="26"/>
  <c r="S36" i="26"/>
  <c r="R36" i="26"/>
  <c r="Q36" i="26"/>
  <c r="P36" i="26"/>
  <c r="O36" i="26"/>
  <c r="N36" i="26"/>
  <c r="M36" i="26"/>
  <c r="L36" i="26"/>
  <c r="K36" i="26"/>
  <c r="J36" i="26"/>
  <c r="I36" i="26"/>
  <c r="H36" i="26"/>
  <c r="G36" i="26"/>
  <c r="F36" i="26"/>
  <c r="E36" i="26"/>
  <c r="D36" i="26"/>
  <c r="C36" i="26"/>
  <c r="B36" i="26"/>
  <c r="BT35" i="26"/>
  <c r="BS35" i="26"/>
  <c r="BR35" i="26"/>
  <c r="BQ35" i="26"/>
  <c r="BP35" i="26"/>
  <c r="BO35" i="26"/>
  <c r="BN35" i="26"/>
  <c r="BM35" i="26"/>
  <c r="BL35" i="26"/>
  <c r="BK35" i="26"/>
  <c r="BJ35" i="26"/>
  <c r="BI35" i="26"/>
  <c r="BH35" i="26"/>
  <c r="BG35" i="26"/>
  <c r="BF35" i="26"/>
  <c r="BE35" i="26"/>
  <c r="BD35" i="26"/>
  <c r="BC35" i="26"/>
  <c r="BB35" i="26"/>
  <c r="BA35" i="26"/>
  <c r="AZ35" i="26"/>
  <c r="AY35" i="26"/>
  <c r="AX35" i="26"/>
  <c r="AW35" i="26"/>
  <c r="AV35" i="26"/>
  <c r="AU35" i="26"/>
  <c r="AT35" i="26"/>
  <c r="AS35" i="26"/>
  <c r="AR35" i="26"/>
  <c r="AQ35" i="26"/>
  <c r="AP35" i="26"/>
  <c r="AO35" i="26"/>
  <c r="AN35" i="26"/>
  <c r="AM35" i="26"/>
  <c r="AL35" i="26"/>
  <c r="AK35" i="26"/>
  <c r="AJ35" i="26"/>
  <c r="AI35" i="26"/>
  <c r="AH35" i="26"/>
  <c r="AF35" i="26"/>
  <c r="AE35" i="26"/>
  <c r="AD35" i="26"/>
  <c r="AC35" i="26"/>
  <c r="AB35" i="26"/>
  <c r="AA35" i="26"/>
  <c r="Z35" i="26"/>
  <c r="Y35" i="26"/>
  <c r="X35" i="26"/>
  <c r="W35" i="26"/>
  <c r="V35" i="26"/>
  <c r="U35" i="26"/>
  <c r="T35" i="26"/>
  <c r="S35" i="26"/>
  <c r="R35" i="26"/>
  <c r="Q35" i="26"/>
  <c r="P35" i="26"/>
  <c r="O35" i="26"/>
  <c r="N35" i="26"/>
  <c r="M35" i="26"/>
  <c r="L35" i="26"/>
  <c r="K35" i="26"/>
  <c r="J35" i="26"/>
  <c r="I35" i="26"/>
  <c r="H35" i="26"/>
  <c r="G35" i="26"/>
  <c r="F35" i="26"/>
  <c r="E35" i="26"/>
  <c r="D35" i="26"/>
  <c r="C35" i="26"/>
  <c r="B35" i="26"/>
  <c r="BT34" i="26"/>
  <c r="BS34" i="26"/>
  <c r="BR34" i="26"/>
  <c r="BQ34" i="26"/>
  <c r="BP34" i="26"/>
  <c r="BO34" i="26"/>
  <c r="BN34" i="26"/>
  <c r="BM34" i="26"/>
  <c r="BL34" i="26"/>
  <c r="BK34" i="26"/>
  <c r="BJ34" i="26"/>
  <c r="BI34" i="26"/>
  <c r="BH34" i="26"/>
  <c r="BG34" i="26"/>
  <c r="BF34" i="26"/>
  <c r="BE34" i="26"/>
  <c r="BD34" i="26"/>
  <c r="BC34" i="26"/>
  <c r="BB34" i="26"/>
  <c r="BA34" i="26"/>
  <c r="AZ34" i="26"/>
  <c r="AY34" i="26"/>
  <c r="AX34" i="26"/>
  <c r="AW34" i="26"/>
  <c r="AV34" i="26"/>
  <c r="AU34" i="26"/>
  <c r="AT34" i="26"/>
  <c r="AS34" i="26"/>
  <c r="AR34" i="26"/>
  <c r="AQ34" i="26"/>
  <c r="AP34" i="26"/>
  <c r="AO34" i="26"/>
  <c r="AN34" i="26"/>
  <c r="AM34" i="26"/>
  <c r="AL34" i="26"/>
  <c r="AK34" i="26"/>
  <c r="AJ34" i="26"/>
  <c r="AI34" i="26"/>
  <c r="AH34" i="26"/>
  <c r="AF34" i="26"/>
  <c r="AE34" i="26"/>
  <c r="AD34" i="26"/>
  <c r="AC34" i="26"/>
  <c r="AB34" i="26"/>
  <c r="AA34" i="26"/>
  <c r="Z34" i="26"/>
  <c r="Y34" i="26"/>
  <c r="X34" i="26"/>
  <c r="W34" i="26"/>
  <c r="V34" i="26"/>
  <c r="U34" i="26"/>
  <c r="T34" i="26"/>
  <c r="S34" i="26"/>
  <c r="R34" i="26"/>
  <c r="Q34" i="26"/>
  <c r="P34" i="26"/>
  <c r="O34" i="26"/>
  <c r="N34" i="26"/>
  <c r="M34" i="26"/>
  <c r="L34" i="26"/>
  <c r="K34" i="26"/>
  <c r="J34" i="26"/>
  <c r="I34" i="26"/>
  <c r="H34" i="26"/>
  <c r="G34" i="26"/>
  <c r="F34" i="26"/>
  <c r="E34" i="26"/>
  <c r="D34" i="26"/>
  <c r="C34" i="26"/>
  <c r="B34" i="26"/>
  <c r="BT33" i="26"/>
  <c r="BS33" i="26"/>
  <c r="BR33" i="26"/>
  <c r="BQ33" i="26"/>
  <c r="BP33" i="26"/>
  <c r="BO33" i="26"/>
  <c r="BN33" i="26"/>
  <c r="BM33" i="26"/>
  <c r="BL33" i="26"/>
  <c r="BK33" i="26"/>
  <c r="BJ33" i="26"/>
  <c r="BI33" i="26"/>
  <c r="BH33" i="26"/>
  <c r="BG33" i="26"/>
  <c r="BF33" i="26"/>
  <c r="BE33" i="26"/>
  <c r="BD33" i="26"/>
  <c r="BC33" i="26"/>
  <c r="BB33" i="26"/>
  <c r="BA33" i="26"/>
  <c r="AZ33" i="26"/>
  <c r="AY33" i="26"/>
  <c r="AX33" i="26"/>
  <c r="AW33" i="26"/>
  <c r="AV33" i="26"/>
  <c r="AU33" i="26"/>
  <c r="AT33" i="26"/>
  <c r="AS33" i="26"/>
  <c r="AR33" i="26"/>
  <c r="AQ33" i="26"/>
  <c r="AP33" i="26"/>
  <c r="AO33" i="26"/>
  <c r="AN33" i="26"/>
  <c r="AM33" i="26"/>
  <c r="AL33" i="26"/>
  <c r="AK33" i="26"/>
  <c r="AJ33" i="26"/>
  <c r="AI33" i="26"/>
  <c r="AH33" i="26"/>
  <c r="AF33" i="26"/>
  <c r="AE33" i="26"/>
  <c r="AD33" i="26"/>
  <c r="AC33" i="26"/>
  <c r="AB33" i="26"/>
  <c r="AA33" i="26"/>
  <c r="Z33" i="26"/>
  <c r="Y33" i="26"/>
  <c r="X33" i="26"/>
  <c r="W33" i="26"/>
  <c r="V33" i="26"/>
  <c r="U33" i="26"/>
  <c r="T33" i="26"/>
  <c r="S33" i="26"/>
  <c r="R33" i="26"/>
  <c r="Q33" i="26"/>
  <c r="P33" i="26"/>
  <c r="O33" i="26"/>
  <c r="N33" i="26"/>
  <c r="M33" i="26"/>
  <c r="L33" i="26"/>
  <c r="K33" i="26"/>
  <c r="J33" i="26"/>
  <c r="I33" i="26"/>
  <c r="H33" i="26"/>
  <c r="G33" i="26"/>
  <c r="F33" i="26"/>
  <c r="E33" i="26"/>
  <c r="D33" i="26"/>
  <c r="C33" i="26"/>
  <c r="B33" i="26"/>
  <c r="BT32" i="26"/>
  <c r="BS32" i="26"/>
  <c r="BR32" i="26"/>
  <c r="BQ32" i="26"/>
  <c r="BP32" i="26"/>
  <c r="BO32" i="26"/>
  <c r="BN32" i="26"/>
  <c r="BM32" i="26"/>
  <c r="BL32" i="26"/>
  <c r="BK32" i="26"/>
  <c r="BJ32" i="26"/>
  <c r="BI32" i="26"/>
  <c r="BH32" i="26"/>
  <c r="BG32" i="26"/>
  <c r="BF32" i="26"/>
  <c r="BE32" i="26"/>
  <c r="BD32" i="26"/>
  <c r="BC32" i="26"/>
  <c r="BB32" i="26"/>
  <c r="BA32" i="26"/>
  <c r="AZ32" i="26"/>
  <c r="AY32" i="26"/>
  <c r="AX32" i="26"/>
  <c r="AW32" i="26"/>
  <c r="AV32" i="26"/>
  <c r="AU32" i="26"/>
  <c r="AT32" i="26"/>
  <c r="AS32" i="26"/>
  <c r="AR32" i="26"/>
  <c r="AQ32" i="26"/>
  <c r="AP32" i="26"/>
  <c r="AO32" i="26"/>
  <c r="AN32" i="26"/>
  <c r="AM32" i="26"/>
  <c r="AL32" i="26"/>
  <c r="AK32" i="26"/>
  <c r="AJ32" i="26"/>
  <c r="AI32" i="26"/>
  <c r="AH32" i="26"/>
  <c r="AF32" i="26"/>
  <c r="AE32" i="26"/>
  <c r="AD32" i="26"/>
  <c r="AC32" i="26"/>
  <c r="AB32" i="26"/>
  <c r="AA32" i="26"/>
  <c r="Z32" i="26"/>
  <c r="Y32" i="26"/>
  <c r="X32" i="26"/>
  <c r="W32" i="26"/>
  <c r="V32" i="26"/>
  <c r="U32" i="26"/>
  <c r="T32" i="26"/>
  <c r="S32" i="26"/>
  <c r="R32" i="26"/>
  <c r="Q32" i="26"/>
  <c r="P32" i="26"/>
  <c r="O32" i="26"/>
  <c r="N32" i="26"/>
  <c r="M32" i="26"/>
  <c r="L32" i="26"/>
  <c r="K32" i="26"/>
  <c r="J32" i="26"/>
  <c r="I32" i="26"/>
  <c r="H32" i="26"/>
  <c r="G32" i="26"/>
  <c r="F32" i="26"/>
  <c r="E32" i="26"/>
  <c r="D32" i="26"/>
  <c r="C32" i="26"/>
  <c r="B32" i="26"/>
  <c r="BT31" i="26"/>
  <c r="BS31" i="26"/>
  <c r="BR31" i="26"/>
  <c r="BQ31" i="26"/>
  <c r="BP31" i="26"/>
  <c r="BO31" i="26"/>
  <c r="BN31" i="26"/>
  <c r="BM31" i="26"/>
  <c r="BL31" i="26"/>
  <c r="BK31" i="26"/>
  <c r="BJ31" i="26"/>
  <c r="BI31" i="26"/>
  <c r="BH31" i="26"/>
  <c r="BG31" i="26"/>
  <c r="BF31" i="26"/>
  <c r="BE31" i="26"/>
  <c r="BD31" i="26"/>
  <c r="BC31" i="26"/>
  <c r="BB31" i="26"/>
  <c r="BA31" i="26"/>
  <c r="AZ31" i="26"/>
  <c r="AY31" i="26"/>
  <c r="AX31" i="26"/>
  <c r="AW31" i="26"/>
  <c r="AV31" i="26"/>
  <c r="AU31" i="26"/>
  <c r="AT31" i="26"/>
  <c r="AS31" i="26"/>
  <c r="AR31" i="26"/>
  <c r="AQ31" i="26"/>
  <c r="AP31" i="26"/>
  <c r="AO31" i="26"/>
  <c r="AN31" i="26"/>
  <c r="AM31" i="26"/>
  <c r="AL31" i="26"/>
  <c r="AK31" i="26"/>
  <c r="AJ31" i="26"/>
  <c r="AI31" i="26"/>
  <c r="AH31" i="26"/>
  <c r="AF31" i="26"/>
  <c r="AE31" i="26"/>
  <c r="AD31" i="26"/>
  <c r="AC31" i="26"/>
  <c r="AB31" i="26"/>
  <c r="AA31" i="26"/>
  <c r="Z31" i="26"/>
  <c r="Y31" i="26"/>
  <c r="X31" i="26"/>
  <c r="W31" i="26"/>
  <c r="V31" i="26"/>
  <c r="U31" i="26"/>
  <c r="T31" i="26"/>
  <c r="S31" i="26"/>
  <c r="R31" i="26"/>
  <c r="Q31" i="26"/>
  <c r="P31" i="26"/>
  <c r="O31" i="26"/>
  <c r="N31" i="26"/>
  <c r="M31" i="26"/>
  <c r="L31" i="26"/>
  <c r="K31" i="26"/>
  <c r="J31" i="26"/>
  <c r="I31" i="26"/>
  <c r="H31" i="26"/>
  <c r="G31" i="26"/>
  <c r="F31" i="26"/>
  <c r="E31" i="26"/>
  <c r="D31" i="26"/>
  <c r="C31" i="26"/>
  <c r="B31" i="26"/>
  <c r="BT30" i="26"/>
  <c r="BS30" i="26"/>
  <c r="BR30" i="26"/>
  <c r="BQ30" i="26"/>
  <c r="BP30" i="26"/>
  <c r="BO30" i="26"/>
  <c r="BN30" i="26"/>
  <c r="BM30" i="26"/>
  <c r="BL30" i="26"/>
  <c r="BK30" i="26"/>
  <c r="BJ30" i="26"/>
  <c r="BI30" i="26"/>
  <c r="BH30" i="26"/>
  <c r="BG30" i="26"/>
  <c r="BF30" i="26"/>
  <c r="BE30" i="26"/>
  <c r="BD30" i="26"/>
  <c r="BC30" i="26"/>
  <c r="BB30" i="26"/>
  <c r="BA30" i="26"/>
  <c r="AZ30" i="26"/>
  <c r="AY30" i="26"/>
  <c r="AX30" i="26"/>
  <c r="AW30" i="26"/>
  <c r="AV30" i="26"/>
  <c r="AU30" i="26"/>
  <c r="AT30" i="26"/>
  <c r="AS30" i="26"/>
  <c r="AR30" i="26"/>
  <c r="AQ30" i="26"/>
  <c r="AP30" i="26"/>
  <c r="AO30" i="26"/>
  <c r="AN30" i="26"/>
  <c r="AM30" i="26"/>
  <c r="AL30" i="26"/>
  <c r="AK30" i="26"/>
  <c r="AJ30" i="26"/>
  <c r="AI30" i="26"/>
  <c r="AH30" i="26"/>
  <c r="AF30" i="26"/>
  <c r="AE30" i="26"/>
  <c r="AD30" i="26"/>
  <c r="AC30" i="26"/>
  <c r="AB30" i="26"/>
  <c r="AA30" i="26"/>
  <c r="Z30" i="26"/>
  <c r="Y30" i="26"/>
  <c r="X30" i="26"/>
  <c r="W30" i="26"/>
  <c r="V30" i="26"/>
  <c r="U30" i="26"/>
  <c r="T30" i="26"/>
  <c r="S30" i="26"/>
  <c r="R30" i="26"/>
  <c r="Q30" i="26"/>
  <c r="P30" i="26"/>
  <c r="O30" i="26"/>
  <c r="N30" i="26"/>
  <c r="M30" i="26"/>
  <c r="L30" i="26"/>
  <c r="K30" i="26"/>
  <c r="J30" i="26"/>
  <c r="I30" i="26"/>
  <c r="H30" i="26"/>
  <c r="G30" i="26"/>
  <c r="F30" i="26"/>
  <c r="E30" i="26"/>
  <c r="D30" i="26"/>
  <c r="C30" i="26"/>
  <c r="B30" i="26"/>
  <c r="BT29" i="26"/>
  <c r="BS29" i="26"/>
  <c r="BR29" i="26"/>
  <c r="BQ29" i="26"/>
  <c r="BP29" i="26"/>
  <c r="BO29" i="26"/>
  <c r="BN29" i="26"/>
  <c r="BM29" i="26"/>
  <c r="BL29" i="26"/>
  <c r="BK29" i="26"/>
  <c r="BJ29" i="26"/>
  <c r="BI29" i="26"/>
  <c r="BH29" i="26"/>
  <c r="BG29" i="26"/>
  <c r="BF29" i="26"/>
  <c r="BE29" i="26"/>
  <c r="BD29" i="26"/>
  <c r="BC29" i="26"/>
  <c r="BB29" i="26"/>
  <c r="BA29" i="26"/>
  <c r="AZ29" i="26"/>
  <c r="AY29" i="26"/>
  <c r="AX29" i="26"/>
  <c r="AW29" i="26"/>
  <c r="AV29" i="26"/>
  <c r="AU29" i="26"/>
  <c r="AT29" i="26"/>
  <c r="AS29" i="26"/>
  <c r="AR29" i="26"/>
  <c r="AQ29" i="26"/>
  <c r="AP29" i="26"/>
  <c r="AO29" i="26"/>
  <c r="AN29" i="26"/>
  <c r="AM29" i="26"/>
  <c r="AL29" i="26"/>
  <c r="AK29" i="26"/>
  <c r="AJ29" i="26"/>
  <c r="AI29" i="26"/>
  <c r="AH29" i="26"/>
  <c r="AF29" i="26"/>
  <c r="AE29" i="26"/>
  <c r="AD29" i="26"/>
  <c r="AC29" i="26"/>
  <c r="AB29" i="26"/>
  <c r="AA29" i="26"/>
  <c r="Z29" i="26"/>
  <c r="Y29" i="26"/>
  <c r="X29" i="26"/>
  <c r="W29" i="26"/>
  <c r="V29" i="26"/>
  <c r="U29" i="26"/>
  <c r="T29" i="26"/>
  <c r="S29" i="26"/>
  <c r="R29" i="26"/>
  <c r="Q29" i="26"/>
  <c r="P29" i="26"/>
  <c r="O29" i="26"/>
  <c r="N29" i="26"/>
  <c r="M29" i="26"/>
  <c r="L29" i="26"/>
  <c r="K29" i="26"/>
  <c r="J29" i="26"/>
  <c r="I29" i="26"/>
  <c r="H29" i="26"/>
  <c r="G29" i="26"/>
  <c r="F29" i="26"/>
  <c r="E29" i="26"/>
  <c r="D29" i="26"/>
  <c r="C29" i="26"/>
  <c r="B29" i="26"/>
  <c r="BT28" i="26"/>
  <c r="BS28" i="26"/>
  <c r="BR28" i="26"/>
  <c r="BQ28" i="26"/>
  <c r="BP28" i="26"/>
  <c r="BO28" i="26"/>
  <c r="BN28" i="26"/>
  <c r="BM28" i="26"/>
  <c r="BL28" i="26"/>
  <c r="BK28" i="26"/>
  <c r="BJ28" i="26"/>
  <c r="BI28" i="26"/>
  <c r="BH28" i="26"/>
  <c r="BG28" i="26"/>
  <c r="BF28" i="26"/>
  <c r="BE28" i="26"/>
  <c r="BD28" i="26"/>
  <c r="BC28" i="26"/>
  <c r="BB28" i="26"/>
  <c r="BA28" i="26"/>
  <c r="AZ28" i="26"/>
  <c r="AY28" i="26"/>
  <c r="AX28" i="26"/>
  <c r="AW28" i="26"/>
  <c r="AV28" i="26"/>
  <c r="AU28" i="26"/>
  <c r="AT28" i="26"/>
  <c r="AS28" i="26"/>
  <c r="AR28" i="26"/>
  <c r="AQ28" i="26"/>
  <c r="AP28" i="26"/>
  <c r="AO28" i="26"/>
  <c r="AN28" i="26"/>
  <c r="AM28" i="26"/>
  <c r="AL28" i="26"/>
  <c r="AK28" i="26"/>
  <c r="AJ28" i="26"/>
  <c r="AI28" i="26"/>
  <c r="AH28" i="26"/>
  <c r="AF28" i="26"/>
  <c r="AE28" i="26"/>
  <c r="AD28" i="26"/>
  <c r="AC28" i="26"/>
  <c r="AB28" i="26"/>
  <c r="AA28" i="26"/>
  <c r="Z28" i="26"/>
  <c r="Y28" i="26"/>
  <c r="X28" i="26"/>
  <c r="W28" i="26"/>
  <c r="V28" i="26"/>
  <c r="U28" i="26"/>
  <c r="T28" i="26"/>
  <c r="S28" i="26"/>
  <c r="R28" i="26"/>
  <c r="Q28" i="26"/>
  <c r="P28" i="26"/>
  <c r="O28" i="26"/>
  <c r="N28" i="26"/>
  <c r="M28" i="26"/>
  <c r="L28" i="26"/>
  <c r="K28" i="26"/>
  <c r="J28" i="26"/>
  <c r="I28" i="26"/>
  <c r="H28" i="26"/>
  <c r="G28" i="26"/>
  <c r="F28" i="26"/>
  <c r="E28" i="26"/>
  <c r="D28" i="26"/>
  <c r="C28" i="26"/>
  <c r="B28" i="26"/>
  <c r="BT27" i="26"/>
  <c r="BS27" i="26"/>
  <c r="BR27" i="26"/>
  <c r="BQ27" i="26"/>
  <c r="BP27" i="26"/>
  <c r="BO27" i="26"/>
  <c r="BN27" i="26"/>
  <c r="BM27" i="26"/>
  <c r="BL27" i="26"/>
  <c r="BK27" i="26"/>
  <c r="BJ27" i="26"/>
  <c r="BI27" i="26"/>
  <c r="BH27" i="26"/>
  <c r="BG27" i="26"/>
  <c r="BF27" i="26"/>
  <c r="BE27" i="26"/>
  <c r="BD27" i="26"/>
  <c r="BC27" i="26"/>
  <c r="BB27" i="26"/>
  <c r="BA27" i="26"/>
  <c r="AZ27" i="26"/>
  <c r="AY27" i="26"/>
  <c r="AX27" i="26"/>
  <c r="AW27" i="26"/>
  <c r="AV27" i="26"/>
  <c r="AU27" i="26"/>
  <c r="AT27" i="26"/>
  <c r="AS27" i="26"/>
  <c r="AR27" i="26"/>
  <c r="AQ27" i="26"/>
  <c r="AP27" i="26"/>
  <c r="AO27" i="26"/>
  <c r="AN27" i="26"/>
  <c r="AM27" i="26"/>
  <c r="AL27" i="26"/>
  <c r="AK27" i="26"/>
  <c r="AJ27" i="26"/>
  <c r="AI27" i="26"/>
  <c r="AH27" i="26"/>
  <c r="AF27" i="26"/>
  <c r="AE27" i="26"/>
  <c r="AD27" i="26"/>
  <c r="AC27" i="26"/>
  <c r="AB27" i="26"/>
  <c r="AA27" i="26"/>
  <c r="Z27" i="26"/>
  <c r="Y27" i="26"/>
  <c r="X27" i="26"/>
  <c r="W27" i="26"/>
  <c r="V27" i="26"/>
  <c r="U27" i="26"/>
  <c r="T27" i="26"/>
  <c r="S27" i="26"/>
  <c r="R27" i="26"/>
  <c r="Q27" i="26"/>
  <c r="P27" i="26"/>
  <c r="O27" i="26"/>
  <c r="N27" i="26"/>
  <c r="M27" i="26"/>
  <c r="L27" i="26"/>
  <c r="K27" i="26"/>
  <c r="J27" i="26"/>
  <c r="I27" i="26"/>
  <c r="H27" i="26"/>
  <c r="G27" i="26"/>
  <c r="F27" i="26"/>
  <c r="E27" i="26"/>
  <c r="D27" i="26"/>
  <c r="C27" i="26"/>
  <c r="B27" i="26"/>
  <c r="BT26" i="26"/>
  <c r="BS26" i="26"/>
  <c r="BR26" i="26"/>
  <c r="BQ26" i="26"/>
  <c r="BP26" i="26"/>
  <c r="BO26" i="26"/>
  <c r="BN26" i="26"/>
  <c r="BM26" i="26"/>
  <c r="BL26" i="26"/>
  <c r="BK26" i="26"/>
  <c r="BJ26" i="26"/>
  <c r="BI26" i="26"/>
  <c r="BH26" i="26"/>
  <c r="BG26" i="26"/>
  <c r="BF26" i="26"/>
  <c r="BE26" i="26"/>
  <c r="BD26" i="26"/>
  <c r="BC26" i="26"/>
  <c r="BB26" i="26"/>
  <c r="BA26" i="26"/>
  <c r="AZ26" i="26"/>
  <c r="AY26" i="26"/>
  <c r="AX26" i="26"/>
  <c r="AW26" i="26"/>
  <c r="AV26" i="26"/>
  <c r="AU26" i="26"/>
  <c r="AT26" i="26"/>
  <c r="AS26" i="26"/>
  <c r="AR26" i="26"/>
  <c r="AQ26" i="26"/>
  <c r="AP26" i="26"/>
  <c r="AO26" i="26"/>
  <c r="AN26" i="26"/>
  <c r="AM26" i="26"/>
  <c r="AL26" i="26"/>
  <c r="AK26" i="26"/>
  <c r="AJ26" i="26"/>
  <c r="AI26" i="26"/>
  <c r="AH26" i="26"/>
  <c r="AF26" i="26"/>
  <c r="AE26" i="26"/>
  <c r="AD26" i="26"/>
  <c r="AC26" i="26"/>
  <c r="AB26" i="26"/>
  <c r="AA26" i="26"/>
  <c r="Z26" i="26"/>
  <c r="Y26" i="26"/>
  <c r="X26" i="26"/>
  <c r="W26" i="26"/>
  <c r="V26" i="26"/>
  <c r="U26" i="26"/>
  <c r="T26" i="26"/>
  <c r="S26" i="26"/>
  <c r="R26" i="26"/>
  <c r="Q26" i="26"/>
  <c r="P26" i="26"/>
  <c r="O26" i="26"/>
  <c r="N26" i="26"/>
  <c r="M26" i="26"/>
  <c r="L26" i="26"/>
  <c r="K26" i="26"/>
  <c r="J26" i="26"/>
  <c r="I26" i="26"/>
  <c r="H26" i="26"/>
  <c r="G26" i="26"/>
  <c r="F26" i="26"/>
  <c r="E26" i="26"/>
  <c r="D26" i="26"/>
  <c r="C26" i="26"/>
  <c r="B26" i="26"/>
  <c r="BT25" i="26"/>
  <c r="BS25" i="26"/>
  <c r="BR25" i="26"/>
  <c r="BQ25" i="26"/>
  <c r="BP25" i="26"/>
  <c r="BO25" i="26"/>
  <c r="BN25" i="26"/>
  <c r="BM25" i="26"/>
  <c r="BL25" i="26"/>
  <c r="BK25" i="26"/>
  <c r="BJ25" i="26"/>
  <c r="BI25" i="26"/>
  <c r="BH25" i="26"/>
  <c r="BG25" i="26"/>
  <c r="BF25" i="26"/>
  <c r="BE25" i="26"/>
  <c r="BD25" i="26"/>
  <c r="BC25" i="26"/>
  <c r="BB25" i="26"/>
  <c r="BA25" i="26"/>
  <c r="AZ25" i="26"/>
  <c r="AY25" i="26"/>
  <c r="AX25" i="26"/>
  <c r="AW25" i="26"/>
  <c r="AV25" i="26"/>
  <c r="AU25" i="26"/>
  <c r="AT25" i="26"/>
  <c r="AS25" i="26"/>
  <c r="AR25" i="26"/>
  <c r="AQ25" i="26"/>
  <c r="AP25" i="26"/>
  <c r="AO25" i="26"/>
  <c r="AN25" i="26"/>
  <c r="AM25" i="26"/>
  <c r="AL25" i="26"/>
  <c r="AK25" i="26"/>
  <c r="AJ25" i="26"/>
  <c r="AI25" i="26"/>
  <c r="AH25" i="26"/>
  <c r="AF25" i="26"/>
  <c r="AE25" i="26"/>
  <c r="AD25" i="26"/>
  <c r="AC25" i="26"/>
  <c r="AB25" i="26"/>
  <c r="AA25" i="26"/>
  <c r="Z25" i="26"/>
  <c r="Y25" i="26"/>
  <c r="X25" i="26"/>
  <c r="W25" i="26"/>
  <c r="V25" i="26"/>
  <c r="U25" i="26"/>
  <c r="T25" i="26"/>
  <c r="S25" i="26"/>
  <c r="R25" i="26"/>
  <c r="Q25" i="26"/>
  <c r="P25" i="26"/>
  <c r="O25" i="26"/>
  <c r="N25" i="26"/>
  <c r="M25" i="26"/>
  <c r="L25" i="26"/>
  <c r="K25" i="26"/>
  <c r="J25" i="26"/>
  <c r="I25" i="26"/>
  <c r="H25" i="26"/>
  <c r="G25" i="26"/>
  <c r="F25" i="26"/>
  <c r="E25" i="26"/>
  <c r="D25" i="26"/>
  <c r="C25" i="26"/>
  <c r="B25" i="26"/>
  <c r="BT24" i="26"/>
  <c r="BS24" i="26"/>
  <c r="BR24" i="26"/>
  <c r="BQ24" i="26"/>
  <c r="BP24" i="26"/>
  <c r="BO24" i="26"/>
  <c r="BN24" i="26"/>
  <c r="BM24" i="26"/>
  <c r="BL24" i="26"/>
  <c r="BK24" i="26"/>
  <c r="BJ24" i="26"/>
  <c r="BI24" i="26"/>
  <c r="BH24" i="26"/>
  <c r="BG24" i="26"/>
  <c r="BF24" i="26"/>
  <c r="BE24" i="26"/>
  <c r="BD24" i="26"/>
  <c r="BC24" i="26"/>
  <c r="BB24" i="26"/>
  <c r="BA24" i="26"/>
  <c r="AZ24" i="26"/>
  <c r="AY24" i="26"/>
  <c r="AX24" i="26"/>
  <c r="AW24" i="26"/>
  <c r="AV24" i="26"/>
  <c r="AU24" i="26"/>
  <c r="AT24" i="26"/>
  <c r="AS24" i="26"/>
  <c r="AR24" i="26"/>
  <c r="AQ24" i="26"/>
  <c r="AP24" i="26"/>
  <c r="AO24" i="26"/>
  <c r="AN24" i="26"/>
  <c r="AM24" i="26"/>
  <c r="AL24" i="26"/>
  <c r="AK24" i="26"/>
  <c r="AJ24" i="26"/>
  <c r="AI24" i="26"/>
  <c r="AH24" i="26"/>
  <c r="AF24" i="26"/>
  <c r="AE24" i="26"/>
  <c r="AD24" i="26"/>
  <c r="AC24" i="26"/>
  <c r="AB24" i="26"/>
  <c r="AA24" i="26"/>
  <c r="Z24" i="26"/>
  <c r="Y24" i="26"/>
  <c r="X24" i="26"/>
  <c r="W24" i="26"/>
  <c r="V24" i="26"/>
  <c r="U24" i="26"/>
  <c r="T24" i="26"/>
  <c r="S24" i="26"/>
  <c r="R24" i="26"/>
  <c r="Q24" i="26"/>
  <c r="P24" i="26"/>
  <c r="O24" i="26"/>
  <c r="N24" i="26"/>
  <c r="M24" i="26"/>
  <c r="L24" i="26"/>
  <c r="K24" i="26"/>
  <c r="J24" i="26"/>
  <c r="I24" i="26"/>
  <c r="H24" i="26"/>
  <c r="G24" i="26"/>
  <c r="F24" i="26"/>
  <c r="E24" i="26"/>
  <c r="D24" i="26"/>
  <c r="C24" i="26"/>
  <c r="B24" i="26"/>
  <c r="BT23" i="26"/>
  <c r="BS23" i="26"/>
  <c r="BR23" i="26"/>
  <c r="BQ23" i="26"/>
  <c r="BP23" i="26"/>
  <c r="BO23" i="26"/>
  <c r="BN23" i="26"/>
  <c r="BM23" i="26"/>
  <c r="BL23" i="26"/>
  <c r="BK23" i="26"/>
  <c r="BJ23" i="26"/>
  <c r="BI23" i="26"/>
  <c r="BH23" i="26"/>
  <c r="BG23" i="26"/>
  <c r="BF23" i="26"/>
  <c r="BE23" i="26"/>
  <c r="BD23" i="26"/>
  <c r="BC23" i="26"/>
  <c r="BB23" i="26"/>
  <c r="BA23" i="26"/>
  <c r="AZ23" i="26"/>
  <c r="AY23" i="26"/>
  <c r="AX23" i="26"/>
  <c r="AW23" i="26"/>
  <c r="AV23" i="26"/>
  <c r="AU23" i="26"/>
  <c r="AT23" i="26"/>
  <c r="AS23" i="26"/>
  <c r="AR23" i="26"/>
  <c r="AQ23" i="26"/>
  <c r="AP23" i="26"/>
  <c r="AO23" i="26"/>
  <c r="AN23" i="26"/>
  <c r="AM23" i="26"/>
  <c r="AL23" i="26"/>
  <c r="AK23" i="26"/>
  <c r="AJ23" i="26"/>
  <c r="AI23" i="26"/>
  <c r="AH23" i="26"/>
  <c r="AF23" i="26"/>
  <c r="AE23" i="26"/>
  <c r="AD23" i="26"/>
  <c r="AC23" i="26"/>
  <c r="AB23" i="26"/>
  <c r="AA23" i="26"/>
  <c r="Z23" i="26"/>
  <c r="Y23" i="26"/>
  <c r="X23" i="26"/>
  <c r="W23" i="26"/>
  <c r="V23" i="26"/>
  <c r="U23" i="26"/>
  <c r="T23" i="26"/>
  <c r="S23" i="26"/>
  <c r="R23" i="26"/>
  <c r="Q23" i="26"/>
  <c r="P23" i="26"/>
  <c r="O23" i="26"/>
  <c r="N23" i="26"/>
  <c r="M23" i="26"/>
  <c r="L23" i="26"/>
  <c r="K23" i="26"/>
  <c r="J23" i="26"/>
  <c r="I23" i="26"/>
  <c r="H23" i="26"/>
  <c r="G23" i="26"/>
  <c r="F23" i="26"/>
  <c r="E23" i="26"/>
  <c r="D23" i="26"/>
  <c r="C23" i="26"/>
  <c r="B23" i="26"/>
  <c r="BT22" i="26"/>
  <c r="BS22" i="26"/>
  <c r="BR22" i="26"/>
  <c r="BQ22" i="26"/>
  <c r="BP22" i="26"/>
  <c r="BO22" i="26"/>
  <c r="BN22" i="26"/>
  <c r="BM22" i="26"/>
  <c r="BL22" i="26"/>
  <c r="BK22" i="26"/>
  <c r="BJ22" i="26"/>
  <c r="BI22" i="26"/>
  <c r="BH22" i="26"/>
  <c r="BG22" i="26"/>
  <c r="BF22" i="26"/>
  <c r="BE22" i="26"/>
  <c r="BD22" i="26"/>
  <c r="BC22" i="26"/>
  <c r="BB22" i="26"/>
  <c r="BA22" i="26"/>
  <c r="AZ22" i="26"/>
  <c r="AY22" i="26"/>
  <c r="AX22" i="26"/>
  <c r="AW22" i="26"/>
  <c r="AV22" i="26"/>
  <c r="AU22" i="26"/>
  <c r="AT22" i="26"/>
  <c r="AS22" i="26"/>
  <c r="AR22" i="26"/>
  <c r="AQ22" i="26"/>
  <c r="AP22" i="26"/>
  <c r="AO22" i="26"/>
  <c r="AN22" i="26"/>
  <c r="AM22" i="26"/>
  <c r="AL22" i="26"/>
  <c r="AK22" i="26"/>
  <c r="AJ22" i="26"/>
  <c r="AI22" i="26"/>
  <c r="AH22" i="26"/>
  <c r="AF22" i="26"/>
  <c r="AE22" i="26"/>
  <c r="AD22" i="26"/>
  <c r="AC22" i="26"/>
  <c r="AB22" i="26"/>
  <c r="AA22" i="26"/>
  <c r="Z22" i="26"/>
  <c r="Y22" i="26"/>
  <c r="X22" i="26"/>
  <c r="W22" i="26"/>
  <c r="V22" i="26"/>
  <c r="U22" i="26"/>
  <c r="T22" i="26"/>
  <c r="S22" i="26"/>
  <c r="R22" i="26"/>
  <c r="Q22" i="26"/>
  <c r="P22" i="26"/>
  <c r="O22" i="26"/>
  <c r="N22" i="26"/>
  <c r="M22" i="26"/>
  <c r="L22" i="26"/>
  <c r="K22" i="26"/>
  <c r="J22" i="26"/>
  <c r="I22" i="26"/>
  <c r="H22" i="26"/>
  <c r="G22" i="26"/>
  <c r="F22" i="26"/>
  <c r="E22" i="26"/>
  <c r="D22" i="26"/>
  <c r="C22" i="26"/>
  <c r="B22" i="26"/>
  <c r="BT21" i="26"/>
  <c r="BS21" i="26"/>
  <c r="BR21" i="26"/>
  <c r="BQ21" i="26"/>
  <c r="BP21" i="26"/>
  <c r="BO21" i="26"/>
  <c r="BN21" i="26"/>
  <c r="BM21" i="26"/>
  <c r="BL21" i="26"/>
  <c r="BK21" i="26"/>
  <c r="BJ21" i="26"/>
  <c r="BI21" i="26"/>
  <c r="BH21" i="26"/>
  <c r="BG21" i="26"/>
  <c r="BF21" i="26"/>
  <c r="BE21" i="26"/>
  <c r="BD21" i="26"/>
  <c r="BC21" i="26"/>
  <c r="BB21" i="26"/>
  <c r="BA21" i="26"/>
  <c r="AZ21" i="26"/>
  <c r="AY21" i="26"/>
  <c r="AX21" i="26"/>
  <c r="AW21" i="26"/>
  <c r="AV21" i="26"/>
  <c r="AU21" i="26"/>
  <c r="AT21" i="26"/>
  <c r="AS21" i="26"/>
  <c r="AR21" i="26"/>
  <c r="AQ21" i="26"/>
  <c r="AP21" i="26"/>
  <c r="AO21" i="26"/>
  <c r="AN21" i="26"/>
  <c r="AM21" i="26"/>
  <c r="AL21" i="26"/>
  <c r="AK21" i="26"/>
  <c r="AJ21" i="26"/>
  <c r="AI21" i="26"/>
  <c r="AH21" i="26"/>
  <c r="AF21" i="26"/>
  <c r="AE21" i="26"/>
  <c r="AD21" i="26"/>
  <c r="AC21" i="26"/>
  <c r="AB21" i="26"/>
  <c r="AA21" i="26"/>
  <c r="Z21" i="26"/>
  <c r="Y21" i="26"/>
  <c r="X21" i="26"/>
  <c r="W21" i="26"/>
  <c r="V21" i="26"/>
  <c r="U21" i="26"/>
  <c r="T21" i="26"/>
  <c r="S21" i="26"/>
  <c r="R21" i="26"/>
  <c r="Q21" i="26"/>
  <c r="P21" i="26"/>
  <c r="O21" i="26"/>
  <c r="N21" i="26"/>
  <c r="M21" i="26"/>
  <c r="L21" i="26"/>
  <c r="K21" i="26"/>
  <c r="J21" i="26"/>
  <c r="I21" i="26"/>
  <c r="H21" i="26"/>
  <c r="G21" i="26"/>
  <c r="F21" i="26"/>
  <c r="E21" i="26"/>
  <c r="D21" i="26"/>
  <c r="C21" i="26"/>
  <c r="B21" i="26"/>
  <c r="BT20" i="26"/>
  <c r="BS20" i="26"/>
  <c r="BR20" i="26"/>
  <c r="BQ20" i="26"/>
  <c r="BP20" i="26"/>
  <c r="BO20" i="26"/>
  <c r="BN20" i="26"/>
  <c r="BM20" i="26"/>
  <c r="BL20" i="26"/>
  <c r="BK20" i="26"/>
  <c r="BJ20" i="26"/>
  <c r="BI20" i="26"/>
  <c r="BH20" i="26"/>
  <c r="BG20" i="26"/>
  <c r="BF20" i="26"/>
  <c r="BE20" i="26"/>
  <c r="BD20" i="26"/>
  <c r="BC20" i="26"/>
  <c r="BB20" i="26"/>
  <c r="BA20" i="26"/>
  <c r="AZ20" i="26"/>
  <c r="AY20" i="26"/>
  <c r="AX20" i="26"/>
  <c r="AW20" i="26"/>
  <c r="AV20" i="26"/>
  <c r="AU20" i="26"/>
  <c r="AT20" i="26"/>
  <c r="AS20" i="26"/>
  <c r="AR20" i="26"/>
  <c r="AQ20" i="26"/>
  <c r="AP20" i="26"/>
  <c r="AO20" i="26"/>
  <c r="AN20" i="26"/>
  <c r="AM20" i="26"/>
  <c r="AL20" i="26"/>
  <c r="AK20" i="26"/>
  <c r="AJ20" i="26"/>
  <c r="AI20" i="26"/>
  <c r="AH20" i="26"/>
  <c r="AF20" i="26"/>
  <c r="AE20" i="26"/>
  <c r="AD20" i="26"/>
  <c r="AC20" i="26"/>
  <c r="AB20" i="26"/>
  <c r="AA20" i="26"/>
  <c r="Z20" i="26"/>
  <c r="Y20" i="26"/>
  <c r="X20" i="26"/>
  <c r="W20" i="26"/>
  <c r="V20" i="26"/>
  <c r="U20" i="26"/>
  <c r="T20" i="26"/>
  <c r="S20" i="26"/>
  <c r="R20" i="26"/>
  <c r="Q20" i="26"/>
  <c r="P20" i="26"/>
  <c r="O20" i="26"/>
  <c r="N20" i="26"/>
  <c r="M20" i="26"/>
  <c r="L20" i="26"/>
  <c r="K20" i="26"/>
  <c r="J20" i="26"/>
  <c r="I20" i="26"/>
  <c r="H20" i="26"/>
  <c r="G20" i="26"/>
  <c r="F20" i="26"/>
  <c r="E20" i="26"/>
  <c r="D20" i="26"/>
  <c r="C20" i="26"/>
  <c r="B20" i="26"/>
  <c r="BT19" i="26"/>
  <c r="BS19" i="26"/>
  <c r="BR19" i="26"/>
  <c r="BQ19" i="26"/>
  <c r="BP19" i="26"/>
  <c r="BO19" i="26"/>
  <c r="BN19" i="26"/>
  <c r="BM19" i="26"/>
  <c r="BL19" i="26"/>
  <c r="BK19" i="26"/>
  <c r="BJ19" i="26"/>
  <c r="BI19" i="26"/>
  <c r="BH19" i="26"/>
  <c r="BG19" i="26"/>
  <c r="BF19" i="26"/>
  <c r="BE19" i="26"/>
  <c r="BD19" i="26"/>
  <c r="BC19" i="26"/>
  <c r="BB19" i="26"/>
  <c r="BA19" i="26"/>
  <c r="AZ19" i="26"/>
  <c r="AY19" i="26"/>
  <c r="AX19" i="26"/>
  <c r="AW19" i="26"/>
  <c r="AV19" i="26"/>
  <c r="AU19" i="26"/>
  <c r="AT19" i="26"/>
  <c r="AS19" i="26"/>
  <c r="AR19" i="26"/>
  <c r="AQ19" i="26"/>
  <c r="AP19" i="26"/>
  <c r="AO19" i="26"/>
  <c r="AN19" i="26"/>
  <c r="AM19" i="26"/>
  <c r="AL19" i="26"/>
  <c r="AK19" i="26"/>
  <c r="AJ19" i="26"/>
  <c r="AI19" i="26"/>
  <c r="AH19" i="26"/>
  <c r="AF19" i="26"/>
  <c r="AE19" i="26"/>
  <c r="AD19" i="26"/>
  <c r="AC19" i="26"/>
  <c r="AB19" i="26"/>
  <c r="AA19" i="26"/>
  <c r="Z19" i="26"/>
  <c r="Y19" i="26"/>
  <c r="X19" i="26"/>
  <c r="W19" i="26"/>
  <c r="V19" i="26"/>
  <c r="U19" i="26"/>
  <c r="T19" i="26"/>
  <c r="S19" i="26"/>
  <c r="R19" i="26"/>
  <c r="Q19" i="26"/>
  <c r="P19" i="26"/>
  <c r="O19" i="26"/>
  <c r="N19" i="26"/>
  <c r="M19" i="26"/>
  <c r="L19" i="26"/>
  <c r="K19" i="26"/>
  <c r="J19" i="26"/>
  <c r="I19" i="26"/>
  <c r="H19" i="26"/>
  <c r="G19" i="26"/>
  <c r="F19" i="26"/>
  <c r="E19" i="26"/>
  <c r="D19" i="26"/>
  <c r="C19" i="26"/>
  <c r="B19" i="26"/>
  <c r="BT18" i="26"/>
  <c r="BS18" i="26"/>
  <c r="BR18" i="26"/>
  <c r="BQ18" i="26"/>
  <c r="BP18" i="26"/>
  <c r="BO18" i="26"/>
  <c r="BN18" i="26"/>
  <c r="BM18" i="26"/>
  <c r="BL18" i="26"/>
  <c r="BK18" i="26"/>
  <c r="BJ18" i="26"/>
  <c r="BI18" i="26"/>
  <c r="BH18" i="26"/>
  <c r="BG18" i="26"/>
  <c r="BF18" i="26"/>
  <c r="BE18" i="26"/>
  <c r="BD18" i="26"/>
  <c r="BC18" i="26"/>
  <c r="BB18" i="26"/>
  <c r="BA18" i="26"/>
  <c r="AZ18" i="26"/>
  <c r="AY18" i="26"/>
  <c r="AX18" i="26"/>
  <c r="AW18" i="26"/>
  <c r="AV18" i="26"/>
  <c r="AU18" i="26"/>
  <c r="AT18" i="26"/>
  <c r="AS18" i="26"/>
  <c r="AR18" i="26"/>
  <c r="AQ18" i="26"/>
  <c r="AP18" i="26"/>
  <c r="AO18" i="26"/>
  <c r="AN18" i="26"/>
  <c r="AM18" i="26"/>
  <c r="AL18" i="26"/>
  <c r="AK18" i="26"/>
  <c r="AJ18" i="26"/>
  <c r="AI18" i="26"/>
  <c r="AH18" i="26"/>
  <c r="AF18" i="26"/>
  <c r="AE18" i="26"/>
  <c r="AD18" i="26"/>
  <c r="AC18" i="26"/>
  <c r="AB18" i="26"/>
  <c r="AA18" i="26"/>
  <c r="Z18" i="26"/>
  <c r="Y18" i="26"/>
  <c r="X18" i="26"/>
  <c r="W18" i="26"/>
  <c r="V18" i="26"/>
  <c r="U18" i="26"/>
  <c r="T18" i="26"/>
  <c r="S18" i="26"/>
  <c r="R18" i="26"/>
  <c r="Q18" i="26"/>
  <c r="P18" i="26"/>
  <c r="O18" i="26"/>
  <c r="N18" i="26"/>
  <c r="M18" i="26"/>
  <c r="L18" i="26"/>
  <c r="K18" i="26"/>
  <c r="J18" i="26"/>
  <c r="I18" i="26"/>
  <c r="H18" i="26"/>
  <c r="G18" i="26"/>
  <c r="F18" i="26"/>
  <c r="E18" i="26"/>
  <c r="D18" i="26"/>
  <c r="C18" i="26"/>
  <c r="B18" i="26"/>
  <c r="BT17" i="26"/>
  <c r="BS17" i="26"/>
  <c r="BR17" i="26"/>
  <c r="BQ17" i="26"/>
  <c r="BP17" i="26"/>
  <c r="BO17" i="26"/>
  <c r="BN17" i="26"/>
  <c r="BM17" i="26"/>
  <c r="BL17" i="26"/>
  <c r="BK17" i="26"/>
  <c r="BJ17" i="26"/>
  <c r="BI17" i="26"/>
  <c r="BH17" i="26"/>
  <c r="BG17" i="26"/>
  <c r="BF17" i="26"/>
  <c r="BE17" i="26"/>
  <c r="BD17" i="26"/>
  <c r="BC17" i="26"/>
  <c r="BB17" i="26"/>
  <c r="BA17" i="26"/>
  <c r="AZ17" i="26"/>
  <c r="AY17" i="26"/>
  <c r="AX17" i="26"/>
  <c r="AW17" i="26"/>
  <c r="AV17" i="26"/>
  <c r="AU17" i="26"/>
  <c r="AT17" i="26"/>
  <c r="AS17" i="26"/>
  <c r="AR17" i="26"/>
  <c r="AQ17" i="26"/>
  <c r="AP17" i="26"/>
  <c r="AO17" i="26"/>
  <c r="AN17" i="26"/>
  <c r="AM17" i="26"/>
  <c r="AL17" i="26"/>
  <c r="AK17" i="26"/>
  <c r="AJ17" i="26"/>
  <c r="AI17" i="26"/>
  <c r="AH17" i="26"/>
  <c r="AF17" i="26"/>
  <c r="AE17" i="26"/>
  <c r="AD17" i="26"/>
  <c r="AC17" i="26"/>
  <c r="AB17" i="26"/>
  <c r="AA17" i="26"/>
  <c r="Z17" i="26"/>
  <c r="Y17" i="26"/>
  <c r="X17" i="26"/>
  <c r="W17" i="26"/>
  <c r="V17" i="26"/>
  <c r="U17" i="26"/>
  <c r="T17" i="26"/>
  <c r="S17" i="26"/>
  <c r="R17" i="26"/>
  <c r="Q17" i="26"/>
  <c r="P17" i="26"/>
  <c r="O17" i="26"/>
  <c r="N17" i="26"/>
  <c r="M17" i="26"/>
  <c r="L17" i="26"/>
  <c r="K17" i="26"/>
  <c r="J17" i="26"/>
  <c r="I17" i="26"/>
  <c r="H17" i="26"/>
  <c r="G17" i="26"/>
  <c r="F17" i="26"/>
  <c r="E17" i="26"/>
  <c r="D17" i="26"/>
  <c r="C17" i="26"/>
  <c r="B17" i="26"/>
  <c r="BT16" i="26"/>
  <c r="BS16" i="26"/>
  <c r="BR16" i="26"/>
  <c r="BQ16" i="26"/>
  <c r="BP16" i="26"/>
  <c r="BO16" i="26"/>
  <c r="BN16" i="26"/>
  <c r="BM16" i="26"/>
  <c r="BL16" i="26"/>
  <c r="BK16" i="26"/>
  <c r="BJ16" i="26"/>
  <c r="BI16" i="26"/>
  <c r="BH16" i="26"/>
  <c r="BG16" i="26"/>
  <c r="BF16" i="26"/>
  <c r="BE16" i="26"/>
  <c r="BD16" i="26"/>
  <c r="BC16" i="26"/>
  <c r="BB16" i="26"/>
  <c r="BA16" i="26"/>
  <c r="AZ16" i="26"/>
  <c r="AY16" i="26"/>
  <c r="AX16" i="26"/>
  <c r="AW16" i="26"/>
  <c r="AV16" i="26"/>
  <c r="AU16" i="26"/>
  <c r="AT16" i="26"/>
  <c r="AS16" i="26"/>
  <c r="AR16" i="26"/>
  <c r="AQ16" i="26"/>
  <c r="AP16" i="26"/>
  <c r="AO16" i="26"/>
  <c r="AN16" i="26"/>
  <c r="AM16" i="26"/>
  <c r="AL16" i="26"/>
  <c r="AK16" i="26"/>
  <c r="AJ16" i="26"/>
  <c r="AI16" i="26"/>
  <c r="AH16" i="26"/>
  <c r="AF16" i="26"/>
  <c r="AE16" i="26"/>
  <c r="AD16" i="26"/>
  <c r="AC16" i="26"/>
  <c r="AB16" i="26"/>
  <c r="AA16" i="26"/>
  <c r="Z16" i="26"/>
  <c r="Y16" i="26"/>
  <c r="X16" i="26"/>
  <c r="W16" i="26"/>
  <c r="V16" i="26"/>
  <c r="U16" i="26"/>
  <c r="T16" i="26"/>
  <c r="S16" i="26"/>
  <c r="R16" i="26"/>
  <c r="Q16" i="26"/>
  <c r="P16" i="26"/>
  <c r="O16" i="26"/>
  <c r="N16" i="26"/>
  <c r="M16" i="26"/>
  <c r="L16" i="26"/>
  <c r="K16" i="26"/>
  <c r="J16" i="26"/>
  <c r="I16" i="26"/>
  <c r="H16" i="26"/>
  <c r="G16" i="26"/>
  <c r="F16" i="26"/>
  <c r="E16" i="26"/>
  <c r="D16" i="26"/>
  <c r="C16" i="26"/>
  <c r="B16" i="26"/>
  <c r="BT15" i="26"/>
  <c r="BS15" i="26"/>
  <c r="BR15" i="26"/>
  <c r="BQ15" i="26"/>
  <c r="BP15" i="26"/>
  <c r="BO15" i="26"/>
  <c r="BN15" i="26"/>
  <c r="BM15" i="26"/>
  <c r="BL15" i="26"/>
  <c r="BK15" i="26"/>
  <c r="BJ15" i="26"/>
  <c r="BI15" i="26"/>
  <c r="BH15" i="26"/>
  <c r="BG15" i="26"/>
  <c r="BF15" i="26"/>
  <c r="BE15" i="26"/>
  <c r="BD15" i="26"/>
  <c r="BC15" i="26"/>
  <c r="BB15" i="26"/>
  <c r="BA15" i="26"/>
  <c r="AZ15" i="26"/>
  <c r="AY15" i="26"/>
  <c r="AX15" i="26"/>
  <c r="AW15" i="26"/>
  <c r="AV15" i="26"/>
  <c r="AU15" i="26"/>
  <c r="AT15" i="26"/>
  <c r="AS15" i="26"/>
  <c r="AR15" i="26"/>
  <c r="AQ15" i="26"/>
  <c r="AP15" i="26"/>
  <c r="AO15" i="26"/>
  <c r="AN15" i="26"/>
  <c r="AM15" i="26"/>
  <c r="AL15" i="26"/>
  <c r="AK15" i="26"/>
  <c r="AJ15" i="26"/>
  <c r="AI15" i="26"/>
  <c r="AH15" i="26"/>
  <c r="AF15" i="26"/>
  <c r="AE15" i="26"/>
  <c r="AD15" i="26"/>
  <c r="AC15" i="26"/>
  <c r="AB15" i="26"/>
  <c r="AA15" i="26"/>
  <c r="Z15" i="26"/>
  <c r="Y15" i="26"/>
  <c r="X15" i="26"/>
  <c r="W15" i="26"/>
  <c r="V15" i="26"/>
  <c r="U15" i="26"/>
  <c r="T15" i="26"/>
  <c r="S15" i="26"/>
  <c r="R15" i="26"/>
  <c r="Q15" i="26"/>
  <c r="P15" i="26"/>
  <c r="O15" i="26"/>
  <c r="N15" i="26"/>
  <c r="M15" i="26"/>
  <c r="L15" i="26"/>
  <c r="K15" i="26"/>
  <c r="J15" i="26"/>
  <c r="I15" i="26"/>
  <c r="H15" i="26"/>
  <c r="G15" i="26"/>
  <c r="F15" i="26"/>
  <c r="E15" i="26"/>
  <c r="D15" i="26"/>
  <c r="C15" i="26"/>
  <c r="B15" i="26"/>
  <c r="BT14" i="26"/>
  <c r="BS14" i="26"/>
  <c r="BR14" i="26"/>
  <c r="BQ14" i="26"/>
  <c r="BP14" i="26"/>
  <c r="BO14" i="26"/>
  <c r="BN14" i="26"/>
  <c r="BM14" i="26"/>
  <c r="BL14" i="26"/>
  <c r="BK14" i="26"/>
  <c r="BJ14" i="26"/>
  <c r="BI14" i="26"/>
  <c r="BH14" i="26"/>
  <c r="BG14" i="26"/>
  <c r="BF14" i="26"/>
  <c r="BE14" i="26"/>
  <c r="BD14" i="26"/>
  <c r="BC14" i="26"/>
  <c r="BB14" i="26"/>
  <c r="BA14" i="26"/>
  <c r="AZ14" i="26"/>
  <c r="AY14" i="26"/>
  <c r="AX14" i="26"/>
  <c r="AW14" i="26"/>
  <c r="AV14" i="26"/>
  <c r="AU14" i="26"/>
  <c r="AT14" i="26"/>
  <c r="AS14" i="26"/>
  <c r="AR14" i="26"/>
  <c r="AQ14" i="26"/>
  <c r="AP14" i="26"/>
  <c r="AO14" i="26"/>
  <c r="AN14" i="26"/>
  <c r="AM14" i="26"/>
  <c r="AL14" i="26"/>
  <c r="AK14" i="26"/>
  <c r="AJ14" i="26"/>
  <c r="AI14" i="26"/>
  <c r="AH14" i="26"/>
  <c r="AF14" i="26"/>
  <c r="AE14" i="26"/>
  <c r="AD14" i="26"/>
  <c r="AC14" i="26"/>
  <c r="AB14" i="26"/>
  <c r="AA14" i="26"/>
  <c r="Z14" i="26"/>
  <c r="Y14" i="26"/>
  <c r="X14" i="26"/>
  <c r="W14" i="26"/>
  <c r="V14" i="26"/>
  <c r="U14" i="26"/>
  <c r="T14" i="26"/>
  <c r="S14" i="26"/>
  <c r="R14" i="26"/>
  <c r="Q14" i="26"/>
  <c r="P14" i="26"/>
  <c r="O14" i="26"/>
  <c r="N14" i="26"/>
  <c r="M14" i="26"/>
  <c r="L14" i="26"/>
  <c r="K14" i="26"/>
  <c r="J14" i="26"/>
  <c r="I14" i="26"/>
  <c r="H14" i="26"/>
  <c r="G14" i="26"/>
  <c r="F14" i="26"/>
  <c r="E14" i="26"/>
  <c r="D14" i="26"/>
  <c r="C14" i="26"/>
  <c r="B14" i="26"/>
  <c r="BT13" i="26"/>
  <c r="BS13" i="26"/>
  <c r="BR13" i="26"/>
  <c r="BQ13" i="26"/>
  <c r="BP13" i="26"/>
  <c r="BO13" i="26"/>
  <c r="BN13" i="26"/>
  <c r="BM13" i="26"/>
  <c r="BL13" i="26"/>
  <c r="BK13" i="26"/>
  <c r="BJ13" i="26"/>
  <c r="BI13" i="26"/>
  <c r="BH13" i="26"/>
  <c r="BG13" i="26"/>
  <c r="BF13" i="26"/>
  <c r="BE13" i="26"/>
  <c r="BD13" i="26"/>
  <c r="BC13" i="26"/>
  <c r="BB13" i="26"/>
  <c r="BA13" i="26"/>
  <c r="AZ13" i="26"/>
  <c r="AY13" i="26"/>
  <c r="AX13" i="26"/>
  <c r="AW13" i="26"/>
  <c r="AV13" i="26"/>
  <c r="AU13" i="26"/>
  <c r="AT13" i="26"/>
  <c r="AS13" i="26"/>
  <c r="AR13" i="26"/>
  <c r="AQ13" i="26"/>
  <c r="AP13" i="26"/>
  <c r="AO13" i="26"/>
  <c r="AN13" i="26"/>
  <c r="AM13" i="26"/>
  <c r="AL13" i="26"/>
  <c r="AK13" i="26"/>
  <c r="AJ13" i="26"/>
  <c r="AI13" i="26"/>
  <c r="AH13" i="26"/>
  <c r="AF13" i="26"/>
  <c r="AE13" i="26"/>
  <c r="AD13" i="26"/>
  <c r="AC13" i="26"/>
  <c r="AB13" i="26"/>
  <c r="AA13" i="26"/>
  <c r="Z13" i="26"/>
  <c r="Y13" i="26"/>
  <c r="X13" i="26"/>
  <c r="W13" i="26"/>
  <c r="V13" i="26"/>
  <c r="U13" i="26"/>
  <c r="T13" i="26"/>
  <c r="S13" i="26"/>
  <c r="R13" i="26"/>
  <c r="Q13" i="26"/>
  <c r="P13" i="26"/>
  <c r="O13" i="26"/>
  <c r="N13" i="26"/>
  <c r="M13" i="26"/>
  <c r="L13" i="26"/>
  <c r="K13" i="26"/>
  <c r="J13" i="26"/>
  <c r="I13" i="26"/>
  <c r="H13" i="26"/>
  <c r="G13" i="26"/>
  <c r="F13" i="26"/>
  <c r="E13" i="26"/>
  <c r="D13" i="26"/>
  <c r="C13" i="26"/>
  <c r="B13" i="26"/>
  <c r="BT12" i="26"/>
  <c r="BS12" i="26"/>
  <c r="BR12" i="26"/>
  <c r="BQ12" i="26"/>
  <c r="BP12" i="26"/>
  <c r="BO12" i="26"/>
  <c r="BN12" i="26"/>
  <c r="BM12" i="26"/>
  <c r="BL12" i="26"/>
  <c r="BK12" i="26"/>
  <c r="BJ12" i="26"/>
  <c r="BI12" i="26"/>
  <c r="BH12" i="26"/>
  <c r="BG12" i="26"/>
  <c r="BF12" i="26"/>
  <c r="BE12" i="26"/>
  <c r="BD12" i="26"/>
  <c r="BC12" i="26"/>
  <c r="BB12" i="26"/>
  <c r="BA12" i="26"/>
  <c r="AZ12" i="26"/>
  <c r="AY12" i="26"/>
  <c r="AX12" i="26"/>
  <c r="AW12" i="26"/>
  <c r="AV12" i="26"/>
  <c r="AU12" i="26"/>
  <c r="AT12" i="26"/>
  <c r="AS12" i="26"/>
  <c r="AR12" i="26"/>
  <c r="AQ12" i="26"/>
  <c r="AP12" i="26"/>
  <c r="AO12" i="26"/>
  <c r="AN12" i="26"/>
  <c r="AM12" i="26"/>
  <c r="AL12" i="26"/>
  <c r="AK12" i="26"/>
  <c r="AJ12" i="26"/>
  <c r="AI12" i="26"/>
  <c r="AH12" i="26"/>
  <c r="AF12" i="26"/>
  <c r="AE12" i="26"/>
  <c r="AD12" i="26"/>
  <c r="AC12" i="26"/>
  <c r="AB12" i="26"/>
  <c r="AA12" i="26"/>
  <c r="Z12" i="26"/>
  <c r="Y12" i="26"/>
  <c r="X12" i="26"/>
  <c r="W12" i="26"/>
  <c r="V12" i="26"/>
  <c r="U12" i="26"/>
  <c r="T12" i="26"/>
  <c r="S12" i="26"/>
  <c r="R12" i="26"/>
  <c r="Q12" i="26"/>
  <c r="P12" i="26"/>
  <c r="O12" i="26"/>
  <c r="N12" i="26"/>
  <c r="M12" i="26"/>
  <c r="L12" i="26"/>
  <c r="K12" i="26"/>
  <c r="J12" i="26"/>
  <c r="I12" i="26"/>
  <c r="H12" i="26"/>
  <c r="G12" i="26"/>
  <c r="F12" i="26"/>
  <c r="E12" i="26"/>
  <c r="D12" i="26"/>
  <c r="C12" i="26"/>
  <c r="B12" i="26"/>
  <c r="BT11" i="26"/>
  <c r="BS11" i="26"/>
  <c r="BR11" i="26"/>
  <c r="BQ11" i="26"/>
  <c r="BP11" i="26"/>
  <c r="BO11" i="26"/>
  <c r="BN11" i="26"/>
  <c r="BM11" i="26"/>
  <c r="BL11" i="26"/>
  <c r="BK11" i="26"/>
  <c r="BJ11" i="26"/>
  <c r="BI11" i="26"/>
  <c r="BH11" i="26"/>
  <c r="BG11" i="26"/>
  <c r="BF11" i="26"/>
  <c r="BE11" i="26"/>
  <c r="BD11" i="26"/>
  <c r="BC11" i="26"/>
  <c r="BB11" i="26"/>
  <c r="BA11" i="26"/>
  <c r="AZ11" i="26"/>
  <c r="AY11" i="26"/>
  <c r="AX11" i="26"/>
  <c r="AW11" i="26"/>
  <c r="AV11" i="26"/>
  <c r="AU11" i="26"/>
  <c r="AT11" i="26"/>
  <c r="AS11" i="26"/>
  <c r="AR11" i="26"/>
  <c r="AQ11" i="26"/>
  <c r="AP11" i="26"/>
  <c r="AO11" i="26"/>
  <c r="AN11" i="26"/>
  <c r="AM11" i="26"/>
  <c r="AL11" i="26"/>
  <c r="AK11" i="26"/>
  <c r="AJ11" i="26"/>
  <c r="AI11" i="26"/>
  <c r="AH11" i="26"/>
  <c r="AF11" i="26"/>
  <c r="AE11" i="26"/>
  <c r="AD11" i="26"/>
  <c r="AC11" i="26"/>
  <c r="AB11" i="26"/>
  <c r="AA11" i="26"/>
  <c r="Z11" i="26"/>
  <c r="Y11" i="26"/>
  <c r="X11" i="26"/>
  <c r="W11" i="26"/>
  <c r="V11" i="26"/>
  <c r="U11" i="26"/>
  <c r="T11" i="26"/>
  <c r="S11" i="26"/>
  <c r="R11" i="26"/>
  <c r="Q11" i="26"/>
  <c r="P11" i="26"/>
  <c r="O11" i="26"/>
  <c r="N11" i="26"/>
  <c r="M11" i="26"/>
  <c r="L11" i="26"/>
  <c r="K11" i="26"/>
  <c r="J11" i="26"/>
  <c r="I11" i="26"/>
  <c r="H11" i="26"/>
  <c r="G11" i="26"/>
  <c r="F11" i="26"/>
  <c r="E11" i="26"/>
  <c r="D11" i="26"/>
  <c r="C11" i="26"/>
  <c r="B11" i="26"/>
  <c r="BT10" i="26"/>
  <c r="BS10" i="26"/>
  <c r="BR10" i="26"/>
  <c r="BQ10" i="26"/>
  <c r="BP10" i="26"/>
  <c r="BO10" i="26"/>
  <c r="BN10" i="26"/>
  <c r="BM10" i="26"/>
  <c r="BL10" i="26"/>
  <c r="BK10" i="26"/>
  <c r="BJ10" i="26"/>
  <c r="BI10" i="26"/>
  <c r="BH10" i="26"/>
  <c r="BG10" i="26"/>
  <c r="BF10" i="26"/>
  <c r="BE10" i="26"/>
  <c r="BD10" i="26"/>
  <c r="BC10" i="26"/>
  <c r="BB10" i="26"/>
  <c r="BA10" i="26"/>
  <c r="AZ10" i="26"/>
  <c r="AY10" i="26"/>
  <c r="AX10" i="26"/>
  <c r="AW10" i="26"/>
  <c r="AV10" i="26"/>
  <c r="AU10" i="26"/>
  <c r="AT10" i="26"/>
  <c r="AS10" i="26"/>
  <c r="AR10" i="26"/>
  <c r="AQ10" i="26"/>
  <c r="AP10" i="26"/>
  <c r="AO10" i="26"/>
  <c r="AN10" i="26"/>
  <c r="AM10" i="26"/>
  <c r="AL10" i="26"/>
  <c r="AK10" i="26"/>
  <c r="AJ10" i="26"/>
  <c r="AI10" i="26"/>
  <c r="AH10" i="26"/>
  <c r="AF10" i="26"/>
  <c r="AE10" i="26"/>
  <c r="AD10" i="26"/>
  <c r="AC10" i="26"/>
  <c r="AB10" i="26"/>
  <c r="AA10" i="26"/>
  <c r="Z10" i="26"/>
  <c r="Y10" i="26"/>
  <c r="X10" i="26"/>
  <c r="W10" i="26"/>
  <c r="V10" i="26"/>
  <c r="U10" i="26"/>
  <c r="T10" i="26"/>
  <c r="S10" i="26"/>
  <c r="R10" i="26"/>
  <c r="Q10" i="26"/>
  <c r="P10" i="26"/>
  <c r="O10" i="26"/>
  <c r="N10" i="26"/>
  <c r="M10" i="26"/>
  <c r="L10" i="26"/>
  <c r="K10" i="26"/>
  <c r="J10" i="26"/>
  <c r="I10" i="26"/>
  <c r="H10" i="26"/>
  <c r="G10" i="26"/>
  <c r="F10" i="26"/>
  <c r="E10" i="26"/>
  <c r="D10" i="26"/>
  <c r="C10" i="26"/>
  <c r="B10" i="26"/>
  <c r="BT9" i="26"/>
  <c r="BS9" i="26"/>
  <c r="BR9" i="26"/>
  <c r="BQ9" i="26"/>
  <c r="BP9" i="26"/>
  <c r="BO9" i="26"/>
  <c r="BN9" i="26"/>
  <c r="BM9" i="26"/>
  <c r="BL9" i="26"/>
  <c r="BK9" i="26"/>
  <c r="BJ9" i="26"/>
  <c r="BI9" i="26"/>
  <c r="BH9" i="26"/>
  <c r="BG9" i="26"/>
  <c r="BF9" i="26"/>
  <c r="BE9" i="26"/>
  <c r="BD9" i="26"/>
  <c r="BC9" i="26"/>
  <c r="BB9" i="26"/>
  <c r="BA9" i="26"/>
  <c r="AZ9" i="26"/>
  <c r="AY9" i="26"/>
  <c r="AX9" i="26"/>
  <c r="AW9" i="26"/>
  <c r="AV9" i="26"/>
  <c r="AU9" i="26"/>
  <c r="AT9" i="26"/>
  <c r="AS9" i="26"/>
  <c r="AR9" i="26"/>
  <c r="AQ9" i="26"/>
  <c r="AP9" i="26"/>
  <c r="AO9" i="26"/>
  <c r="AN9" i="26"/>
  <c r="AM9" i="26"/>
  <c r="AL9" i="26"/>
  <c r="AK9" i="26"/>
  <c r="AJ9" i="26"/>
  <c r="AI9" i="26"/>
  <c r="AH9" i="26"/>
  <c r="AF9" i="26"/>
  <c r="AE9" i="26"/>
  <c r="AD9" i="26"/>
  <c r="AC9" i="26"/>
  <c r="AB9" i="26"/>
  <c r="AA9" i="26"/>
  <c r="Z9" i="26"/>
  <c r="Y9" i="26"/>
  <c r="X9" i="26"/>
  <c r="W9" i="26"/>
  <c r="V9" i="26"/>
  <c r="U9" i="26"/>
  <c r="T9" i="26"/>
  <c r="S9" i="26"/>
  <c r="R9" i="26"/>
  <c r="Q9" i="26"/>
  <c r="P9" i="26"/>
  <c r="O9" i="26"/>
  <c r="N9" i="26"/>
  <c r="M9" i="26"/>
  <c r="L9" i="26"/>
  <c r="K9" i="26"/>
  <c r="J9" i="26"/>
  <c r="I9" i="26"/>
  <c r="H9" i="26"/>
  <c r="G9" i="26"/>
  <c r="F9" i="26"/>
  <c r="E9" i="26"/>
  <c r="D9" i="26"/>
  <c r="C9" i="26"/>
  <c r="B9" i="26"/>
  <c r="BT8" i="26"/>
  <c r="BS8" i="26"/>
  <c r="BR8" i="26"/>
  <c r="BQ8" i="26"/>
  <c r="BP8" i="26"/>
  <c r="BO8" i="26"/>
  <c r="BN8" i="26"/>
  <c r="BM8" i="26"/>
  <c r="BL8" i="26"/>
  <c r="BK8" i="26"/>
  <c r="BJ8" i="26"/>
  <c r="BI8" i="26"/>
  <c r="BH8" i="26"/>
  <c r="BG8" i="26"/>
  <c r="BF8" i="26"/>
  <c r="BE8" i="26"/>
  <c r="BD8" i="26"/>
  <c r="BC8" i="26"/>
  <c r="BB8" i="26"/>
  <c r="BA8" i="26"/>
  <c r="AZ8" i="26"/>
  <c r="AY8" i="26"/>
  <c r="AX8" i="26"/>
  <c r="AW8" i="26"/>
  <c r="AV8" i="26"/>
  <c r="AU8" i="26"/>
  <c r="AT8" i="26"/>
  <c r="AS8" i="26"/>
  <c r="AR8" i="26"/>
  <c r="AQ8" i="26"/>
  <c r="AP8" i="26"/>
  <c r="AO8" i="26"/>
  <c r="AN8" i="26"/>
  <c r="AM8" i="26"/>
  <c r="AL8" i="26"/>
  <c r="AK8" i="26"/>
  <c r="AJ8" i="26"/>
  <c r="AI8" i="26"/>
  <c r="AH8" i="26"/>
  <c r="AF8" i="26"/>
  <c r="AE8" i="26"/>
  <c r="AD8" i="26"/>
  <c r="AC8" i="26"/>
  <c r="AB8" i="26"/>
  <c r="AA8" i="26"/>
  <c r="Z8" i="26"/>
  <c r="Y8" i="26"/>
  <c r="X8" i="26"/>
  <c r="W8" i="26"/>
  <c r="V8" i="26"/>
  <c r="U8" i="26"/>
  <c r="T8" i="26"/>
  <c r="S8" i="26"/>
  <c r="R8" i="26"/>
  <c r="Q8" i="26"/>
  <c r="P8" i="26"/>
  <c r="O8" i="26"/>
  <c r="N8" i="26"/>
  <c r="M8" i="26"/>
  <c r="L8" i="26"/>
  <c r="K8" i="26"/>
  <c r="J8" i="26"/>
  <c r="I8" i="26"/>
  <c r="H8" i="26"/>
  <c r="G8" i="26"/>
  <c r="F8" i="26"/>
  <c r="E8" i="26"/>
  <c r="D8" i="26"/>
  <c r="C8" i="26"/>
  <c r="B8" i="26"/>
  <c r="BT7" i="26"/>
  <c r="BS7" i="26"/>
  <c r="BR7" i="26"/>
  <c r="BQ7" i="26"/>
  <c r="BP7" i="26"/>
  <c r="BO7" i="26"/>
  <c r="BN7" i="26"/>
  <c r="BM7" i="26"/>
  <c r="BL7" i="26"/>
  <c r="BK7" i="26"/>
  <c r="BJ7" i="26"/>
  <c r="BI7" i="26"/>
  <c r="BH7" i="26"/>
  <c r="BG7" i="26"/>
  <c r="BF7" i="26"/>
  <c r="BE7" i="26"/>
  <c r="BD7" i="26"/>
  <c r="BC7" i="26"/>
  <c r="BB7" i="26"/>
  <c r="BA7" i="26"/>
  <c r="AZ7" i="26"/>
  <c r="AY7" i="26"/>
  <c r="AX7" i="26"/>
  <c r="AW7" i="26"/>
  <c r="AV7" i="26"/>
  <c r="AU7" i="26"/>
  <c r="AT7" i="26"/>
  <c r="AS7" i="26"/>
  <c r="AR7" i="26"/>
  <c r="AQ7" i="26"/>
  <c r="AP7" i="26"/>
  <c r="AO7" i="26"/>
  <c r="AN7" i="26"/>
  <c r="AM7" i="26"/>
  <c r="AL7" i="26"/>
  <c r="AK7" i="26"/>
  <c r="AJ7" i="26"/>
  <c r="AI7" i="26"/>
  <c r="AH7" i="26"/>
  <c r="AF7" i="26"/>
  <c r="AE7" i="26"/>
  <c r="AD7" i="26"/>
  <c r="AC7" i="26"/>
  <c r="AB7" i="26"/>
  <c r="AA7" i="26"/>
  <c r="Z7" i="26"/>
  <c r="Y7" i="26"/>
  <c r="X7" i="26"/>
  <c r="W7" i="26"/>
  <c r="V7" i="26"/>
  <c r="U7" i="26"/>
  <c r="T7" i="26"/>
  <c r="S7" i="26"/>
  <c r="R7" i="26"/>
  <c r="Q7" i="26"/>
  <c r="P7" i="26"/>
  <c r="O7" i="26"/>
  <c r="N7" i="26"/>
  <c r="M7" i="26"/>
  <c r="L7" i="26"/>
  <c r="K7" i="26"/>
  <c r="J7" i="26"/>
  <c r="I7" i="26"/>
  <c r="H7" i="26"/>
  <c r="G7" i="26"/>
  <c r="F7" i="26"/>
  <c r="E7" i="26"/>
  <c r="D7" i="26"/>
  <c r="C7" i="26"/>
  <c r="B7" i="26"/>
  <c r="BT6" i="26"/>
  <c r="BS6" i="26"/>
  <c r="BR6" i="26"/>
  <c r="BQ6" i="26"/>
  <c r="BP6" i="26"/>
  <c r="BO6" i="26"/>
  <c r="BN6" i="26"/>
  <c r="BM6" i="26"/>
  <c r="BL6" i="26"/>
  <c r="BK6" i="26"/>
  <c r="BJ6" i="26"/>
  <c r="BI6" i="26"/>
  <c r="BH6" i="26"/>
  <c r="BG6" i="26"/>
  <c r="BF6" i="26"/>
  <c r="BE6" i="26"/>
  <c r="BD6" i="26"/>
  <c r="BC6" i="26"/>
  <c r="BB6" i="26"/>
  <c r="BA6" i="26"/>
  <c r="AZ6" i="26"/>
  <c r="AY6" i="26"/>
  <c r="AX6" i="26"/>
  <c r="AW6" i="26"/>
  <c r="AV6" i="26"/>
  <c r="AU6" i="26"/>
  <c r="AT6" i="26"/>
  <c r="AS6" i="26"/>
  <c r="AR6" i="26"/>
  <c r="AQ6" i="26"/>
  <c r="AP6" i="26"/>
  <c r="AO6" i="26"/>
  <c r="AN6" i="26"/>
  <c r="AM6" i="26"/>
  <c r="AL6" i="26"/>
  <c r="AK6" i="26"/>
  <c r="AJ6" i="26"/>
  <c r="AI6" i="26"/>
  <c r="AH6" i="26"/>
  <c r="AF6" i="26"/>
  <c r="AE6" i="26"/>
  <c r="AD6" i="26"/>
  <c r="AC6" i="26"/>
  <c r="AB6" i="26"/>
  <c r="AA6" i="26"/>
  <c r="Z6" i="26"/>
  <c r="Y6" i="26"/>
  <c r="X6" i="26"/>
  <c r="W6" i="26"/>
  <c r="V6" i="26"/>
  <c r="U6" i="26"/>
  <c r="T6" i="26"/>
  <c r="S6" i="26"/>
  <c r="R6" i="26"/>
  <c r="Q6" i="26"/>
  <c r="P6" i="26"/>
  <c r="O6" i="26"/>
  <c r="N6" i="26"/>
  <c r="M6" i="26"/>
  <c r="L6" i="26"/>
  <c r="K6" i="26"/>
  <c r="J6" i="26"/>
  <c r="I6" i="26"/>
  <c r="H6" i="26"/>
  <c r="G6" i="26"/>
  <c r="F6" i="26"/>
  <c r="E6" i="26"/>
  <c r="D6" i="26"/>
  <c r="C6" i="26"/>
  <c r="B6" i="26"/>
  <c r="BT5" i="26"/>
  <c r="BS5" i="26"/>
  <c r="BR5" i="26"/>
  <c r="BQ5" i="26"/>
  <c r="BP5" i="26"/>
  <c r="BO5" i="26"/>
  <c r="BN5" i="26"/>
  <c r="BM5" i="26"/>
  <c r="BL5" i="26"/>
  <c r="BK5" i="26"/>
  <c r="BJ5" i="26"/>
  <c r="BI5" i="26"/>
  <c r="BH5" i="26"/>
  <c r="BG5" i="26"/>
  <c r="BF5" i="26"/>
  <c r="BE5" i="26"/>
  <c r="BD5" i="26"/>
  <c r="BC5" i="26"/>
  <c r="BB5" i="26"/>
  <c r="BA5" i="26"/>
  <c r="AZ5" i="26"/>
  <c r="AY5" i="26"/>
  <c r="AX5" i="26"/>
  <c r="AW5" i="26"/>
  <c r="AV5" i="26"/>
  <c r="AU5" i="26"/>
  <c r="AT5" i="26"/>
  <c r="AS5" i="26"/>
  <c r="AR5" i="26"/>
  <c r="AQ5" i="26"/>
  <c r="AP5" i="26"/>
  <c r="AO5" i="26"/>
  <c r="AN5" i="26"/>
  <c r="AM5" i="26"/>
  <c r="AL5" i="26"/>
  <c r="AK5" i="26"/>
  <c r="AJ5" i="26"/>
  <c r="AI5" i="26"/>
  <c r="AH5" i="26"/>
  <c r="AF5" i="26"/>
  <c r="AE5" i="26"/>
  <c r="AD5" i="26"/>
  <c r="AC5" i="26"/>
  <c r="AB5" i="26"/>
  <c r="AA5" i="26"/>
  <c r="Z5" i="26"/>
  <c r="Y5" i="26"/>
  <c r="X5" i="26"/>
  <c r="W5" i="26"/>
  <c r="V5" i="26"/>
  <c r="U5" i="26"/>
  <c r="T5" i="26"/>
  <c r="S5" i="26"/>
  <c r="R5" i="26"/>
  <c r="Q5" i="26"/>
  <c r="P5" i="26"/>
  <c r="O5" i="26"/>
  <c r="N5" i="26"/>
  <c r="M5" i="26"/>
  <c r="L5" i="26"/>
  <c r="K5" i="26"/>
  <c r="J5" i="26"/>
  <c r="I5" i="26"/>
  <c r="H5" i="26"/>
  <c r="G5" i="26"/>
  <c r="F5" i="26"/>
  <c r="E5" i="26"/>
  <c r="D5" i="26"/>
  <c r="C5" i="26"/>
  <c r="B5" i="26"/>
  <c r="BT4" i="26"/>
  <c r="BS4" i="26"/>
  <c r="BR4" i="26"/>
  <c r="BQ4" i="26"/>
  <c r="BP4" i="26"/>
  <c r="BO4" i="26"/>
  <c r="BN4" i="26"/>
  <c r="BM4" i="26"/>
  <c r="BL4" i="26"/>
  <c r="BK4" i="26"/>
  <c r="BJ4" i="26"/>
  <c r="BI4" i="26"/>
  <c r="BH4" i="26"/>
  <c r="BG4" i="26"/>
  <c r="BF4" i="26"/>
  <c r="BE4" i="26"/>
  <c r="BD4" i="26"/>
  <c r="BC4" i="26"/>
  <c r="BB4" i="26"/>
  <c r="BA4" i="26"/>
  <c r="AZ4" i="26"/>
  <c r="AY4" i="26"/>
  <c r="AX4" i="26"/>
  <c r="AW4" i="26"/>
  <c r="AV4" i="26"/>
  <c r="AU4" i="26"/>
  <c r="AT4" i="26"/>
  <c r="AS4" i="26"/>
  <c r="AR4" i="26"/>
  <c r="AQ4" i="26"/>
  <c r="AP4" i="26"/>
  <c r="AO4" i="26"/>
  <c r="AN4" i="26"/>
  <c r="AM4" i="26"/>
  <c r="AL4" i="26"/>
  <c r="AK4" i="26"/>
  <c r="AJ4" i="26"/>
  <c r="AI4" i="26"/>
  <c r="AH4" i="26"/>
  <c r="AF4" i="26"/>
  <c r="AE4" i="26"/>
  <c r="AD4" i="26"/>
  <c r="AC4" i="26"/>
  <c r="AB4" i="26"/>
  <c r="AA4" i="26"/>
  <c r="Z4" i="26"/>
  <c r="Y4" i="26"/>
  <c r="X4" i="26"/>
  <c r="W4" i="26"/>
  <c r="V4" i="26"/>
  <c r="U4" i="26"/>
  <c r="T4" i="26"/>
  <c r="S4" i="26"/>
  <c r="R4" i="26"/>
  <c r="Q4" i="26"/>
  <c r="P4" i="26"/>
  <c r="O4" i="26"/>
  <c r="N4" i="26"/>
  <c r="M4" i="26"/>
  <c r="L4" i="26"/>
  <c r="K4" i="26"/>
  <c r="J4" i="26"/>
  <c r="I4" i="26"/>
  <c r="H4" i="26"/>
  <c r="G4" i="26"/>
  <c r="F4" i="26"/>
  <c r="E4" i="26"/>
  <c r="D4" i="26"/>
  <c r="C4" i="26"/>
  <c r="B4" i="26"/>
  <c r="C52" i="25"/>
  <c r="C53" i="25" s="1"/>
  <c r="C39" i="25"/>
  <c r="C40" i="25" s="1"/>
  <c r="L29" i="25"/>
  <c r="C19" i="25"/>
  <c r="C21" i="25" s="1"/>
  <c r="E24" i="35"/>
  <c r="B24" i="35"/>
  <c r="K18" i="35"/>
  <c r="G29" i="35" s="1"/>
  <c r="J29" i="35" s="1"/>
  <c r="E18" i="35"/>
  <c r="L15" i="35"/>
  <c r="G27" i="35" s="1"/>
  <c r="J27" i="35" s="1"/>
  <c r="J8" i="35"/>
  <c r="G4" i="35"/>
  <c r="L21" i="35" s="1"/>
  <c r="L16" i="36"/>
  <c r="L15" i="36"/>
  <c r="L14" i="36"/>
  <c r="L13" i="36"/>
  <c r="B13" i="36"/>
  <c r="B15" i="36" s="1"/>
  <c r="L12" i="36"/>
  <c r="L11" i="36"/>
  <c r="L10" i="36"/>
  <c r="L9" i="36"/>
  <c r="L8" i="36"/>
  <c r="L7" i="36"/>
  <c r="L6" i="36"/>
  <c r="F6" i="36"/>
  <c r="F11" i="36" s="1"/>
  <c r="F13" i="36" s="1"/>
  <c r="B6" i="36"/>
  <c r="L5" i="36"/>
  <c r="G25" i="38"/>
  <c r="C20" i="38"/>
  <c r="C21" i="38" s="1"/>
  <c r="C19" i="38"/>
  <c r="C18" i="38"/>
  <c r="D6" i="41"/>
  <c r="C43" i="40"/>
  <c r="C37" i="40"/>
  <c r="G36" i="40"/>
  <c r="I36" i="40" s="1"/>
  <c r="G35" i="40"/>
  <c r="I34" i="40" s="1"/>
  <c r="H34" i="40"/>
  <c r="G34" i="40"/>
  <c r="I33" i="40" s="1"/>
  <c r="H33" i="40"/>
  <c r="G33" i="40"/>
  <c r="I32" i="40" s="1"/>
  <c r="C33" i="40"/>
  <c r="H32" i="40"/>
  <c r="G32" i="40"/>
  <c r="I31" i="40" s="1"/>
  <c r="G31" i="40"/>
  <c r="I30" i="40" s="1"/>
  <c r="C31" i="40"/>
  <c r="C26" i="40" s="1"/>
  <c r="C32" i="40" s="1"/>
  <c r="H30" i="40"/>
  <c r="G30" i="40"/>
  <c r="I29" i="40" s="1"/>
  <c r="H29" i="40"/>
  <c r="I28" i="40"/>
  <c r="H28" i="40"/>
  <c r="J25" i="40"/>
  <c r="J26" i="40" s="1"/>
  <c r="J27" i="40" s="1"/>
  <c r="J28" i="40" s="1"/>
  <c r="J29" i="40" s="1"/>
  <c r="J30" i="40" s="1"/>
  <c r="J31" i="40" s="1"/>
  <c r="J32" i="40" s="1"/>
  <c r="C15" i="40"/>
  <c r="I12" i="40"/>
  <c r="I11" i="40"/>
  <c r="C11" i="40"/>
  <c r="I10" i="40"/>
  <c r="I9" i="40"/>
  <c r="C9" i="40"/>
  <c r="C10" i="40" s="1"/>
  <c r="I8" i="40"/>
  <c r="I7" i="40"/>
  <c r="I6" i="40"/>
  <c r="I5" i="40"/>
  <c r="J4" i="40"/>
  <c r="J5" i="40" s="1"/>
  <c r="J6" i="40" s="1"/>
  <c r="J7" i="40" s="1"/>
  <c r="J8" i="40" s="1"/>
  <c r="J9" i="40" s="1"/>
  <c r="J10" i="40" s="1"/>
  <c r="J11" i="40" s="1"/>
  <c r="I4" i="40"/>
  <c r="I29" i="24"/>
  <c r="D29" i="24"/>
  <c r="I28" i="24"/>
  <c r="D28" i="24"/>
  <c r="I17" i="24"/>
  <c r="I19" i="24" s="1"/>
  <c r="D17" i="24"/>
  <c r="D19" i="24" s="1"/>
  <c r="I16" i="24"/>
  <c r="D16" i="24"/>
  <c r="M15" i="24"/>
  <c r="M16" i="24" s="1"/>
  <c r="H8" i="24"/>
  <c r="M7" i="24"/>
  <c r="M8" i="24" s="1"/>
  <c r="C47" i="23"/>
  <c r="C37" i="23"/>
  <c r="C36" i="23"/>
  <c r="C29" i="23"/>
  <c r="C28" i="23"/>
  <c r="C20" i="23"/>
  <c r="C18" i="23"/>
  <c r="C13" i="23"/>
  <c r="C12" i="23"/>
  <c r="D9" i="23"/>
  <c r="E9" i="23" s="1"/>
  <c r="F9" i="23" s="1"/>
  <c r="G9" i="23" s="1"/>
  <c r="H9" i="23" s="1"/>
  <c r="I9" i="23" s="1"/>
  <c r="J9" i="23" s="1"/>
  <c r="K9" i="23" s="1"/>
  <c r="L9" i="23" s="1"/>
  <c r="M9" i="23" s="1"/>
  <c r="N9" i="23" s="1"/>
  <c r="O9" i="23" s="1"/>
  <c r="P9" i="23" s="1"/>
  <c r="Q9" i="23" s="1"/>
  <c r="R9" i="23" s="1"/>
  <c r="S9" i="23" s="1"/>
  <c r="T9" i="23" s="1"/>
  <c r="U9" i="23" s="1"/>
  <c r="V9" i="23" s="1"/>
  <c r="W9" i="23" s="1"/>
  <c r="X9" i="23" s="1"/>
  <c r="Y9" i="23" s="1"/>
  <c r="Z9" i="23" s="1"/>
  <c r="AA9" i="23" s="1"/>
  <c r="AB9" i="23" s="1"/>
  <c r="AC9" i="23" s="1"/>
  <c r="AD9" i="23" s="1"/>
  <c r="AE9" i="23" s="1"/>
  <c r="AF9" i="23" s="1"/>
  <c r="AG9" i="23" s="1"/>
  <c r="AH9" i="23" s="1"/>
  <c r="AI9" i="23" s="1"/>
  <c r="AJ9" i="23" s="1"/>
  <c r="AK9" i="23" s="1"/>
  <c r="AL9" i="23" s="1"/>
  <c r="AM9" i="23" s="1"/>
  <c r="AN9" i="23" s="1"/>
  <c r="AO9" i="23" s="1"/>
  <c r="AP9" i="23" s="1"/>
  <c r="AQ9" i="23" s="1"/>
  <c r="AR9" i="23" s="1"/>
  <c r="AS9" i="23" s="1"/>
  <c r="AT9" i="23" s="1"/>
  <c r="AU9" i="23" s="1"/>
  <c r="AV9" i="23" s="1"/>
  <c r="AW9" i="23" s="1"/>
  <c r="AX9" i="23" s="1"/>
  <c r="AY9" i="23" s="1"/>
  <c r="AZ9" i="23" s="1"/>
  <c r="BA9" i="23" s="1"/>
  <c r="BB9" i="23" s="1"/>
  <c r="BC9" i="23" s="1"/>
  <c r="BD9" i="23" s="1"/>
  <c r="BE9" i="23" s="1"/>
  <c r="BF9" i="23" s="1"/>
  <c r="BG9" i="23" s="1"/>
  <c r="BH9" i="23" s="1"/>
  <c r="BI9" i="23" s="1"/>
  <c r="BJ9" i="23" s="1"/>
  <c r="BK9" i="23" s="1"/>
  <c r="BL9" i="23" s="1"/>
  <c r="BM9" i="23" s="1"/>
  <c r="BN9" i="23" s="1"/>
  <c r="BO9" i="23" s="1"/>
  <c r="BP9" i="23" s="1"/>
  <c r="BQ9" i="23" s="1"/>
  <c r="BR9" i="23" s="1"/>
  <c r="BS9" i="23" s="1"/>
  <c r="BT9" i="23" s="1"/>
  <c r="BU9" i="23" s="1"/>
  <c r="BV9" i="23" s="1"/>
  <c r="BW9" i="23" s="1"/>
  <c r="BX9" i="23" s="1"/>
  <c r="BY9" i="23" s="1"/>
  <c r="BZ9" i="23" s="1"/>
  <c r="CA9" i="23" s="1"/>
  <c r="CB9" i="23" s="1"/>
  <c r="CC9" i="23" s="1"/>
  <c r="CD9" i="23" s="1"/>
  <c r="CE9" i="23" s="1"/>
  <c r="CF9" i="23" s="1"/>
  <c r="CG9" i="23" s="1"/>
  <c r="CH9" i="23" s="1"/>
  <c r="CI9" i="23" s="1"/>
  <c r="CJ9" i="23" s="1"/>
  <c r="CK9" i="23" s="1"/>
  <c r="CL9" i="23" s="1"/>
  <c r="CM9" i="23" s="1"/>
  <c r="CN9" i="23" s="1"/>
  <c r="CO9" i="23" s="1"/>
  <c r="CP9" i="23" s="1"/>
  <c r="CQ9" i="23" s="1"/>
  <c r="CR9" i="23" s="1"/>
  <c r="CS9" i="23" s="1"/>
  <c r="CT9" i="23" s="1"/>
  <c r="CU9" i="23" s="1"/>
  <c r="CV9" i="23" s="1"/>
  <c r="CW9" i="23" s="1"/>
  <c r="CX9" i="23" s="1"/>
  <c r="CY9" i="23" s="1"/>
  <c r="CZ9" i="23" s="1"/>
  <c r="DA9" i="23" s="1"/>
  <c r="DB9" i="23" s="1"/>
  <c r="DC9" i="23" s="1"/>
  <c r="DD9" i="23" s="1"/>
  <c r="DE9" i="23" s="1"/>
  <c r="DF9" i="23" s="1"/>
  <c r="DG9" i="23" s="1"/>
  <c r="DH9" i="23" s="1"/>
  <c r="DI9" i="23" s="1"/>
  <c r="DJ9" i="23" s="1"/>
  <c r="DK9" i="23" s="1"/>
  <c r="DL9" i="23" s="1"/>
  <c r="DM9" i="23" s="1"/>
  <c r="DN9" i="23" s="1"/>
  <c r="DO9" i="23" s="1"/>
  <c r="DP9" i="23" s="1"/>
  <c r="DQ9" i="23" s="1"/>
  <c r="DR9" i="23" s="1"/>
  <c r="DS9" i="23" s="1"/>
  <c r="DT9" i="23" s="1"/>
  <c r="DU9" i="23" s="1"/>
  <c r="DV9" i="23" s="1"/>
  <c r="DW9" i="23" s="1"/>
  <c r="DX9" i="23" s="1"/>
  <c r="DY9" i="23" s="1"/>
  <c r="DZ9" i="23" s="1"/>
  <c r="EA9" i="23" s="1"/>
  <c r="EB9" i="23" s="1"/>
  <c r="EC9" i="23" s="1"/>
  <c r="ED9" i="23" s="1"/>
  <c r="EE9" i="23" s="1"/>
  <c r="EF9" i="23" s="1"/>
  <c r="EG9" i="23" s="1"/>
  <c r="EH9" i="23" s="1"/>
  <c r="EI9" i="23" s="1"/>
  <c r="EJ9" i="23" s="1"/>
  <c r="EK9" i="23" s="1"/>
  <c r="EL9" i="23" s="1"/>
  <c r="EM9" i="23" s="1"/>
  <c r="EN9" i="23" s="1"/>
  <c r="EO9" i="23" s="1"/>
  <c r="EP9" i="23" s="1"/>
  <c r="EQ9" i="23" s="1"/>
  <c r="ER9" i="23" s="1"/>
  <c r="ES9" i="23" s="1"/>
  <c r="ET9" i="23" s="1"/>
  <c r="EU9" i="23" s="1"/>
  <c r="EV9" i="23" s="1"/>
  <c r="EW9" i="23" s="1"/>
  <c r="EX9" i="23" s="1"/>
  <c r="EY9" i="23" s="1"/>
  <c r="EZ9" i="23" s="1"/>
  <c r="FA9" i="23" s="1"/>
  <c r="FB9" i="23" s="1"/>
  <c r="FC9" i="23" s="1"/>
  <c r="FD9" i="23" s="1"/>
  <c r="FE9" i="23" s="1"/>
  <c r="FF9" i="23" s="1"/>
  <c r="FG9" i="23" s="1"/>
  <c r="FH9" i="23" s="1"/>
  <c r="FI9" i="23" s="1"/>
  <c r="FJ9" i="23" s="1"/>
  <c r="FK9" i="23" s="1"/>
  <c r="FL9" i="23" s="1"/>
  <c r="FM9" i="23" s="1"/>
  <c r="FN9" i="23" s="1"/>
  <c r="FO9" i="23" s="1"/>
  <c r="FP9" i="23" s="1"/>
  <c r="FQ9" i="23" s="1"/>
  <c r="FR9" i="23" s="1"/>
  <c r="FS9" i="23" s="1"/>
  <c r="FT9" i="23" s="1"/>
  <c r="FU9" i="23" s="1"/>
  <c r="FV9" i="23" s="1"/>
  <c r="FW9" i="23" s="1"/>
  <c r="FX9" i="23" s="1"/>
  <c r="FY9" i="23" s="1"/>
  <c r="FZ9" i="23" s="1"/>
  <c r="GA9" i="23" s="1"/>
  <c r="GB9" i="23" s="1"/>
  <c r="GC9" i="23" s="1"/>
  <c r="GD9" i="23" s="1"/>
  <c r="GE9" i="23" s="1"/>
  <c r="D8" i="23"/>
  <c r="E8" i="23" s="1"/>
  <c r="J35" i="22"/>
  <c r="J34" i="22"/>
  <c r="C22" i="22"/>
  <c r="C23" i="22" s="1"/>
  <c r="I20" i="22"/>
  <c r="E10" i="22"/>
  <c r="E11" i="22" s="1"/>
  <c r="C10" i="22"/>
  <c r="C11" i="22" s="1"/>
  <c r="R9" i="22"/>
  <c r="N9" i="22"/>
  <c r="I6" i="22"/>
  <c r="I11" i="22" s="1"/>
  <c r="D83" i="21"/>
  <c r="D78" i="21"/>
  <c r="D77" i="21"/>
  <c r="K66" i="21"/>
  <c r="D66" i="21"/>
  <c r="D68" i="21" s="1"/>
  <c r="K56" i="21"/>
  <c r="D55" i="21"/>
  <c r="D47" i="21"/>
  <c r="K27" i="21"/>
  <c r="D27" i="21"/>
  <c r="K26" i="21"/>
  <c r="D26" i="21"/>
  <c r="R12" i="21"/>
  <c r="K12" i="21"/>
  <c r="D12" i="21"/>
  <c r="R11" i="21"/>
  <c r="K11" i="21"/>
  <c r="D11" i="21"/>
  <c r="K92" i="20"/>
  <c r="G83" i="20"/>
  <c r="K83" i="20" s="1"/>
  <c r="E82" i="20"/>
  <c r="B82" i="20"/>
  <c r="M79" i="20"/>
  <c r="L76" i="20"/>
  <c r="G87" i="20" s="1"/>
  <c r="K87" i="20" s="1"/>
  <c r="E76" i="20"/>
  <c r="M73" i="20"/>
  <c r="J66" i="20"/>
  <c r="C50" i="20"/>
  <c r="C39" i="20"/>
  <c r="F39" i="20" s="1"/>
  <c r="J28" i="20"/>
  <c r="J31" i="20" s="1"/>
  <c r="C28" i="20"/>
  <c r="C31" i="20" s="1"/>
  <c r="C15" i="20"/>
  <c r="C12" i="20"/>
  <c r="D45" i="19"/>
  <c r="D44" i="19" s="1"/>
  <c r="F16" i="19"/>
  <c r="F15" i="19"/>
  <c r="F14" i="19"/>
  <c r="I14" i="19" s="1"/>
  <c r="J10" i="19"/>
  <c r="I10" i="19"/>
  <c r="E10" i="19"/>
  <c r="J9" i="19"/>
  <c r="I9" i="19"/>
  <c r="H9" i="19"/>
  <c r="G9" i="19"/>
  <c r="F9" i="19"/>
  <c r="J8" i="19"/>
  <c r="I8" i="19"/>
  <c r="H8" i="19"/>
  <c r="G8" i="19"/>
  <c r="F8" i="19"/>
  <c r="J7" i="19"/>
  <c r="I7" i="19"/>
  <c r="H7" i="19"/>
  <c r="G7" i="19"/>
  <c r="F7" i="19"/>
  <c r="J6" i="19"/>
  <c r="I6" i="19"/>
  <c r="H6" i="19"/>
  <c r="G6" i="19"/>
  <c r="F6" i="19"/>
  <c r="I5" i="19"/>
  <c r="J5" i="19" s="1"/>
  <c r="H5" i="19"/>
  <c r="G5" i="19"/>
  <c r="F5" i="19"/>
  <c r="C279" i="18"/>
  <c r="C278" i="18"/>
  <c r="C277" i="18"/>
  <c r="C276" i="18"/>
  <c r="C275" i="18"/>
  <c r="C255" i="18"/>
  <c r="C254" i="18"/>
  <c r="C253" i="18"/>
  <c r="C252" i="18"/>
  <c r="C251" i="18"/>
  <c r="C250" i="18"/>
  <c r="C249" i="18"/>
  <c r="C248" i="18"/>
  <c r="C247" i="18"/>
  <c r="C246" i="18"/>
  <c r="C245" i="18"/>
  <c r="C244" i="18"/>
  <c r="C243" i="18"/>
  <c r="C242" i="18"/>
  <c r="C241" i="18"/>
  <c r="C240" i="18"/>
  <c r="C239" i="18"/>
  <c r="K226" i="18"/>
  <c r="K225" i="18"/>
  <c r="K224" i="18"/>
  <c r="K223" i="18"/>
  <c r="K222" i="18"/>
  <c r="K221" i="18"/>
  <c r="L220" i="18"/>
  <c r="K220" i="18"/>
  <c r="L219" i="18"/>
  <c r="K219" i="18"/>
  <c r="L218" i="18"/>
  <c r="K218" i="18"/>
  <c r="L217" i="18"/>
  <c r="K217" i="18"/>
  <c r="L216" i="18"/>
  <c r="K216" i="18"/>
  <c r="L215" i="18"/>
  <c r="L214" i="18"/>
  <c r="L213" i="18"/>
  <c r="L212" i="18"/>
  <c r="L211" i="18"/>
  <c r="L210" i="18"/>
  <c r="L209" i="18"/>
  <c r="L208" i="18"/>
  <c r="L207" i="18"/>
  <c r="L206" i="18"/>
  <c r="L205" i="18"/>
  <c r="L204" i="18"/>
  <c r="L203" i="18"/>
  <c r="L202" i="18"/>
  <c r="L201" i="18"/>
  <c r="L200" i="18"/>
  <c r="K183" i="18"/>
  <c r="K182" i="18"/>
  <c r="K181" i="18"/>
  <c r="K180" i="18"/>
  <c r="K179" i="18"/>
  <c r="K178" i="18"/>
  <c r="K177" i="18"/>
  <c r="K176" i="18"/>
  <c r="K175" i="18"/>
  <c r="K174" i="18"/>
  <c r="K173" i="18"/>
  <c r="K172" i="18"/>
  <c r="K171" i="18"/>
  <c r="K170" i="18"/>
  <c r="K169" i="18"/>
  <c r="X153" i="18"/>
  <c r="W153" i="18"/>
  <c r="V153" i="18"/>
  <c r="U153" i="18"/>
  <c r="X152" i="18"/>
  <c r="W152" i="18"/>
  <c r="V152" i="18"/>
  <c r="U152" i="18"/>
  <c r="K152" i="18"/>
  <c r="X151" i="18"/>
  <c r="W151" i="18"/>
  <c r="V151" i="18"/>
  <c r="U151" i="18"/>
  <c r="K151" i="18"/>
  <c r="X150" i="18"/>
  <c r="W150" i="18"/>
  <c r="V150" i="18"/>
  <c r="U150" i="18"/>
  <c r="K150" i="18"/>
  <c r="X149" i="18"/>
  <c r="W149" i="18"/>
  <c r="V149" i="18"/>
  <c r="U149" i="18"/>
  <c r="K149" i="18"/>
  <c r="X148" i="18"/>
  <c r="W148" i="18"/>
  <c r="V148" i="18"/>
  <c r="U148" i="18"/>
  <c r="K148" i="18"/>
  <c r="X147" i="18"/>
  <c r="W147" i="18"/>
  <c r="V147" i="18"/>
  <c r="U147" i="18"/>
  <c r="K147" i="18"/>
  <c r="K146" i="18"/>
  <c r="K145" i="18"/>
  <c r="K144" i="18"/>
  <c r="K143" i="18"/>
  <c r="K142" i="18"/>
  <c r="K141" i="18"/>
  <c r="K140" i="18"/>
  <c r="K139" i="18"/>
  <c r="K138" i="18"/>
  <c r="K120" i="18"/>
  <c r="K119" i="18"/>
  <c r="K118" i="18"/>
  <c r="K117" i="18"/>
  <c r="K116" i="18"/>
  <c r="K115" i="18"/>
  <c r="K114" i="18"/>
  <c r="K113" i="18"/>
  <c r="K112" i="18"/>
  <c r="K99" i="18"/>
  <c r="K98" i="18"/>
  <c r="K97" i="18"/>
  <c r="K96" i="18"/>
  <c r="K95" i="18"/>
  <c r="K94" i="18"/>
  <c r="K93" i="18"/>
  <c r="K92" i="18"/>
  <c r="K84" i="18"/>
  <c r="K83" i="18"/>
  <c r="K82" i="18"/>
  <c r="K81" i="18"/>
  <c r="K80" i="18"/>
  <c r="K79" i="18"/>
  <c r="K78" i="18"/>
  <c r="K67" i="18"/>
  <c r="K66" i="18"/>
  <c r="K65" i="18"/>
  <c r="K64" i="18"/>
  <c r="K63" i="18"/>
  <c r="K62" i="18"/>
  <c r="K47" i="18"/>
  <c r="K46" i="18"/>
  <c r="K45" i="18"/>
  <c r="K44" i="18"/>
  <c r="K43" i="18"/>
  <c r="K29" i="18"/>
  <c r="K28" i="18"/>
  <c r="K27" i="18"/>
  <c r="K26" i="18"/>
  <c r="K25" i="18"/>
  <c r="P15" i="18"/>
  <c r="P14" i="18"/>
  <c r="R14" i="18" s="1"/>
  <c r="P13" i="18"/>
  <c r="R13" i="18" s="1"/>
  <c r="P12" i="18"/>
  <c r="R12" i="18" s="1"/>
  <c r="P11" i="18"/>
  <c r="R11" i="18" s="1"/>
  <c r="P10" i="18"/>
  <c r="R10" i="18" s="1"/>
  <c r="P9" i="18"/>
  <c r="R9" i="18" s="1"/>
  <c r="P8" i="18"/>
  <c r="R8" i="18" s="1"/>
  <c r="R7" i="18"/>
  <c r="E61" i="17"/>
  <c r="E62" i="17" s="1"/>
  <c r="E63" i="17" s="1"/>
  <c r="E64" i="17" s="1"/>
  <c r="E65" i="17" s="1"/>
  <c r="E66" i="17" s="1"/>
  <c r="E68" i="17" s="1"/>
  <c r="E48" i="17"/>
  <c r="G52" i="17" s="1"/>
  <c r="G53" i="17" s="1"/>
  <c r="E31" i="17"/>
  <c r="D14" i="17"/>
  <c r="F8" i="17"/>
  <c r="D50" i="43"/>
  <c r="D49" i="43"/>
  <c r="D36" i="43"/>
  <c r="D35" i="43"/>
  <c r="D34" i="43"/>
  <c r="D33" i="43"/>
  <c r="C26" i="43"/>
  <c r="C28" i="43" s="1"/>
  <c r="C29" i="43" s="1"/>
  <c r="K12" i="43"/>
  <c r="K13" i="43" s="1"/>
  <c r="C12" i="43"/>
  <c r="C13" i="43" s="1"/>
  <c r="C14" i="43" s="1"/>
  <c r="C15" i="43" s="1"/>
  <c r="AW95" i="16"/>
  <c r="AY95" i="16" s="1"/>
  <c r="AZ95" i="16" s="1"/>
  <c r="AV95" i="16"/>
  <c r="AN95" i="16"/>
  <c r="AO95" i="16" s="1"/>
  <c r="AL94" i="16"/>
  <c r="AK94" i="16"/>
  <c r="AG94" i="16" s="1"/>
  <c r="S91" i="16"/>
  <c r="S95" i="16" s="1"/>
  <c r="U84" i="16"/>
  <c r="AD78" i="16"/>
  <c r="AD77" i="16"/>
  <c r="AD76" i="16"/>
  <c r="AD75" i="16"/>
  <c r="AD74" i="16"/>
  <c r="AD73" i="16"/>
  <c r="AD72" i="16"/>
  <c r="AD71" i="16"/>
  <c r="U71" i="16"/>
  <c r="U79" i="16" s="1"/>
  <c r="AD70" i="16"/>
  <c r="AD69" i="16"/>
  <c r="AD68" i="16"/>
  <c r="AD67" i="16"/>
  <c r="AD66" i="16"/>
  <c r="AD65" i="16"/>
  <c r="AD64" i="16"/>
  <c r="AD63" i="16"/>
  <c r="AD62" i="16"/>
  <c r="AD61" i="16"/>
  <c r="AD60" i="16"/>
  <c r="AD59" i="16"/>
  <c r="AD58" i="16"/>
  <c r="AD57" i="16"/>
  <c r="AD56" i="16"/>
  <c r="AD55" i="16"/>
  <c r="U55" i="16"/>
  <c r="U63" i="16" s="1"/>
  <c r="AD54" i="16"/>
  <c r="AD53" i="16"/>
  <c r="AD52" i="16"/>
  <c r="J39" i="16"/>
  <c r="D39" i="16"/>
  <c r="D40" i="16" s="1"/>
  <c r="B39" i="16"/>
  <c r="B40" i="16" s="1"/>
  <c r="V37" i="16"/>
  <c r="Q37" i="16"/>
  <c r="Q39" i="16" s="1"/>
  <c r="P37" i="16"/>
  <c r="O37" i="16"/>
  <c r="O38" i="16" s="1"/>
  <c r="N37" i="16"/>
  <c r="N38" i="16" s="1"/>
  <c r="M37" i="16"/>
  <c r="M39" i="16" s="1"/>
  <c r="L37" i="16"/>
  <c r="K37" i="16"/>
  <c r="K38" i="16" s="1"/>
  <c r="J37" i="16"/>
  <c r="J38" i="16" s="1"/>
  <c r="I37" i="16"/>
  <c r="I38" i="16" s="1"/>
  <c r="H37" i="16"/>
  <c r="G37" i="16"/>
  <c r="F37" i="16"/>
  <c r="F38" i="16" s="1"/>
  <c r="W36" i="16"/>
  <c r="B34" i="16" s="1"/>
  <c r="D36" i="16"/>
  <c r="B36" i="16"/>
  <c r="W35" i="16"/>
  <c r="D34" i="16"/>
  <c r="D8" i="16"/>
  <c r="D9" i="16" s="1"/>
  <c r="B8" i="16"/>
  <c r="B9" i="16" s="1"/>
  <c r="D5" i="16"/>
  <c r="B5" i="16"/>
  <c r="D3" i="16"/>
  <c r="B3" i="16"/>
  <c r="C86" i="15"/>
  <c r="C85" i="15"/>
  <c r="C71" i="15"/>
  <c r="C72" i="15" s="1"/>
  <c r="C60" i="15"/>
  <c r="C50" i="15"/>
  <c r="C35" i="15"/>
  <c r="O23" i="15"/>
  <c r="C21" i="15"/>
  <c r="C24" i="15" s="1"/>
  <c r="O20" i="15"/>
  <c r="O12" i="15"/>
  <c r="C12" i="15"/>
  <c r="O8" i="15"/>
  <c r="O9" i="15" s="1"/>
  <c r="C23" i="39"/>
  <c r="C12" i="39"/>
  <c r="D73" i="14"/>
  <c r="C73" i="14"/>
  <c r="F65" i="14"/>
  <c r="D67" i="14" s="1"/>
  <c r="D68" i="14" s="1"/>
  <c r="D62" i="14"/>
  <c r="D63" i="14" s="1"/>
  <c r="C79" i="14" s="1"/>
  <c r="F56" i="14"/>
  <c r="F55" i="14"/>
  <c r="F53" i="14"/>
  <c r="F48" i="14"/>
  <c r="C48" i="14"/>
  <c r="C50" i="14" s="1"/>
  <c r="K46" i="14"/>
  <c r="C46" i="14" s="1"/>
  <c r="I43" i="14"/>
  <c r="C38" i="14"/>
  <c r="C40" i="14" s="1"/>
  <c r="C42" i="14" s="1"/>
  <c r="C44" i="14" s="1"/>
  <c r="C32" i="14"/>
  <c r="C34" i="14" s="1"/>
  <c r="H8" i="14"/>
  <c r="J8" i="14" s="1"/>
  <c r="H7" i="14"/>
  <c r="J7" i="14" s="1"/>
  <c r="H6" i="14"/>
  <c r="J6" i="14" s="1"/>
  <c r="H5" i="14"/>
  <c r="H4" i="14"/>
  <c r="J4" i="14" s="1"/>
  <c r="C33" i="13"/>
  <c r="E33" i="13" s="1"/>
  <c r="C21" i="13"/>
  <c r="C23" i="13" s="1"/>
  <c r="C20" i="13"/>
  <c r="C9" i="13"/>
  <c r="C10" i="13" s="1"/>
  <c r="F43" i="12"/>
  <c r="E43" i="12"/>
  <c r="D43" i="12"/>
  <c r="C43" i="12"/>
  <c r="G33" i="12"/>
  <c r="C44" i="12" s="1"/>
  <c r="C45" i="12" s="1"/>
  <c r="F33" i="12"/>
  <c r="E44" i="12" s="1"/>
  <c r="E45" i="12" s="1"/>
  <c r="E33" i="12"/>
  <c r="F44" i="12" s="1"/>
  <c r="F45" i="12" s="1"/>
  <c r="E27" i="12"/>
  <c r="E17" i="12"/>
  <c r="E7" i="12"/>
  <c r="E26" i="11"/>
  <c r="E18" i="11"/>
  <c r="E7" i="11"/>
  <c r="I58" i="33"/>
  <c r="U57" i="33"/>
  <c r="U58" i="33" s="1"/>
  <c r="S57" i="33"/>
  <c r="S58" i="33" s="1"/>
  <c r="Q57" i="33"/>
  <c r="Q58" i="33" s="1"/>
  <c r="O57" i="33"/>
  <c r="O58" i="33" s="1"/>
  <c r="M57" i="33"/>
  <c r="M58" i="33" s="1"/>
  <c r="K57" i="33"/>
  <c r="K58" i="33" s="1"/>
  <c r="I57" i="33"/>
  <c r="G57" i="33"/>
  <c r="G58" i="33" s="1"/>
  <c r="E57" i="33"/>
  <c r="E58" i="33" s="1"/>
  <c r="S55" i="33"/>
  <c r="Q55" i="33"/>
  <c r="P55" i="33"/>
  <c r="M55" i="33"/>
  <c r="K55" i="33"/>
  <c r="J55" i="33"/>
  <c r="G55" i="33"/>
  <c r="E55" i="33"/>
  <c r="D55" i="33"/>
  <c r="V48" i="33"/>
  <c r="Q48" i="33"/>
  <c r="P38" i="33" s="1"/>
  <c r="K48" i="33"/>
  <c r="J38" i="33" s="1"/>
  <c r="J59" i="33" s="1"/>
  <c r="E48" i="33"/>
  <c r="D38" i="33" s="1"/>
  <c r="D43" i="33"/>
  <c r="U40" i="33"/>
  <c r="S40" i="33"/>
  <c r="Q40" i="33"/>
  <c r="P40" i="33" s="1"/>
  <c r="P42" i="33" s="1"/>
  <c r="P45" i="33" s="1"/>
  <c r="O40" i="33"/>
  <c r="M40" i="33"/>
  <c r="K40" i="33"/>
  <c r="J40" i="33" s="1"/>
  <c r="I40" i="33"/>
  <c r="G40" i="33"/>
  <c r="E40" i="33"/>
  <c r="Q39" i="33"/>
  <c r="K39" i="33"/>
  <c r="E39" i="33"/>
  <c r="Q38" i="33"/>
  <c r="K38" i="33"/>
  <c r="E38" i="33"/>
  <c r="E37" i="33" s="1"/>
  <c r="J35" i="33"/>
  <c r="J32" i="33" s="1"/>
  <c r="D35" i="33"/>
  <c r="D32" i="33" s="1"/>
  <c r="P33" i="33"/>
  <c r="N33" i="33"/>
  <c r="J33" i="33"/>
  <c r="D33" i="33"/>
  <c r="U29" i="33"/>
  <c r="T29" i="33"/>
  <c r="T33" i="33" s="1"/>
  <c r="S29" i="33"/>
  <c r="R29" i="33"/>
  <c r="Q29" i="33"/>
  <c r="O29" i="33"/>
  <c r="N29" i="33"/>
  <c r="M29" i="33"/>
  <c r="L29" i="33"/>
  <c r="K29" i="33"/>
  <c r="I29" i="33"/>
  <c r="H29" i="33"/>
  <c r="H33" i="33" s="1"/>
  <c r="G29" i="33"/>
  <c r="F29" i="33"/>
  <c r="F33" i="33" s="1"/>
  <c r="E29" i="33"/>
  <c r="T28" i="33"/>
  <c r="U48" i="33" s="1"/>
  <c r="R28" i="33"/>
  <c r="S48" i="33" s="1"/>
  <c r="N28" i="33"/>
  <c r="O48" i="33" s="1"/>
  <c r="L28" i="33"/>
  <c r="M48" i="33" s="1"/>
  <c r="H28" i="33"/>
  <c r="I48" i="33" s="1"/>
  <c r="F28" i="33"/>
  <c r="G48" i="33" s="1"/>
  <c r="T27" i="33"/>
  <c r="S27" i="33"/>
  <c r="R27" i="33"/>
  <c r="N27" i="33"/>
  <c r="M27" i="33"/>
  <c r="L27" i="33"/>
  <c r="H27" i="33"/>
  <c r="G27" i="33"/>
  <c r="F27" i="33"/>
  <c r="P26" i="33"/>
  <c r="S26" i="33" s="1"/>
  <c r="O26" i="33"/>
  <c r="M26" i="33"/>
  <c r="K26" i="33"/>
  <c r="I26" i="33"/>
  <c r="G26" i="33"/>
  <c r="E26" i="33"/>
  <c r="T25" i="33"/>
  <c r="R25" i="33"/>
  <c r="P25" i="33"/>
  <c r="N25" i="33"/>
  <c r="L25" i="33"/>
  <c r="H25" i="33"/>
  <c r="F25" i="33"/>
  <c r="T24" i="33"/>
  <c r="R24" i="33"/>
  <c r="P24" i="33"/>
  <c r="P35" i="33" s="1"/>
  <c r="P32" i="33" s="1"/>
  <c r="N24" i="33"/>
  <c r="L24" i="33"/>
  <c r="H24" i="33"/>
  <c r="F24" i="33"/>
  <c r="U23" i="33"/>
  <c r="T23" i="33"/>
  <c r="S23" i="33"/>
  <c r="R23" i="33"/>
  <c r="Q23" i="33"/>
  <c r="O23" i="33"/>
  <c r="N23" i="33"/>
  <c r="M23" i="33"/>
  <c r="L23" i="33"/>
  <c r="K23" i="33"/>
  <c r="I23" i="33"/>
  <c r="H23" i="33"/>
  <c r="G23" i="33"/>
  <c r="F23" i="33"/>
  <c r="E23" i="33"/>
  <c r="U22" i="33"/>
  <c r="T22" i="33"/>
  <c r="S22" i="33"/>
  <c r="R22" i="33"/>
  <c r="Q22" i="33"/>
  <c r="O22" i="33"/>
  <c r="N22" i="33"/>
  <c r="M22" i="33"/>
  <c r="L22" i="33"/>
  <c r="K22" i="33"/>
  <c r="I22" i="33"/>
  <c r="H22" i="33"/>
  <c r="G22" i="33"/>
  <c r="F22" i="33"/>
  <c r="E22" i="33"/>
  <c r="T21" i="33"/>
  <c r="S21" i="33"/>
  <c r="R21" i="33"/>
  <c r="Q21" i="33"/>
  <c r="N21" i="33"/>
  <c r="M21" i="33"/>
  <c r="L21" i="33"/>
  <c r="K21" i="33"/>
  <c r="H21" i="33"/>
  <c r="G21" i="33"/>
  <c r="F21" i="33"/>
  <c r="E21" i="33"/>
  <c r="U20" i="33"/>
  <c r="Q20" i="33"/>
  <c r="O20" i="33"/>
  <c r="K20" i="33"/>
  <c r="I20" i="33"/>
  <c r="E20" i="33"/>
  <c r="W19" i="33"/>
  <c r="P19" i="33"/>
  <c r="N19" i="33"/>
  <c r="O19" i="33" s="1"/>
  <c r="L19" i="33"/>
  <c r="M19" i="33" s="1"/>
  <c r="K19" i="33"/>
  <c r="H19" i="33"/>
  <c r="I19" i="33" s="1"/>
  <c r="F19" i="33"/>
  <c r="G19" i="33" s="1"/>
  <c r="E19" i="33"/>
  <c r="T18" i="33"/>
  <c r="U18" i="33" s="1"/>
  <c r="R18" i="33"/>
  <c r="S18" i="33" s="1"/>
  <c r="Q18" i="33"/>
  <c r="N18" i="33"/>
  <c r="O18" i="33" s="1"/>
  <c r="L18" i="33"/>
  <c r="M18" i="33" s="1"/>
  <c r="K18" i="33"/>
  <c r="H18" i="33"/>
  <c r="I18" i="33" s="1"/>
  <c r="F18" i="33"/>
  <c r="G18" i="33" s="1"/>
  <c r="E18" i="33"/>
  <c r="U16" i="33"/>
  <c r="T16" i="33"/>
  <c r="S16" i="33"/>
  <c r="R16" i="33"/>
  <c r="Q16" i="33"/>
  <c r="O16" i="33"/>
  <c r="N16" i="33"/>
  <c r="M16" i="33"/>
  <c r="L16" i="33"/>
  <c r="K16" i="33"/>
  <c r="I16" i="33"/>
  <c r="H16" i="33"/>
  <c r="G16" i="33"/>
  <c r="F16" i="33"/>
  <c r="E16" i="33"/>
  <c r="U15" i="33"/>
  <c r="T15" i="33"/>
  <c r="S15" i="33"/>
  <c r="S14" i="33" s="1"/>
  <c r="R15" i="33"/>
  <c r="Q15" i="33"/>
  <c r="Q14" i="33" s="1"/>
  <c r="O15" i="33"/>
  <c r="N15" i="33"/>
  <c r="M15" i="33"/>
  <c r="M14" i="33" s="1"/>
  <c r="L15" i="33"/>
  <c r="K15" i="33"/>
  <c r="I15" i="33"/>
  <c r="H15" i="33"/>
  <c r="G15" i="33"/>
  <c r="G14" i="33" s="1"/>
  <c r="F15" i="33"/>
  <c r="E15" i="33"/>
  <c r="E14" i="33" s="1"/>
  <c r="P14" i="33"/>
  <c r="K14" i="33"/>
  <c r="J14" i="33"/>
  <c r="D14" i="33"/>
  <c r="T13" i="33"/>
  <c r="R13" i="33"/>
  <c r="N13" i="33"/>
  <c r="L13" i="33"/>
  <c r="H13" i="33"/>
  <c r="F13" i="33"/>
  <c r="W12" i="33"/>
  <c r="V12" i="33"/>
  <c r="T12" i="33"/>
  <c r="T38" i="33" s="1"/>
  <c r="T56" i="33" s="1"/>
  <c r="N12" i="33"/>
  <c r="H12" i="33"/>
  <c r="C12" i="33"/>
  <c r="T11" i="33"/>
  <c r="R11" i="33"/>
  <c r="N11" i="33"/>
  <c r="L11" i="33"/>
  <c r="H11" i="33"/>
  <c r="F11" i="33"/>
  <c r="Y10" i="33"/>
  <c r="T10" i="33"/>
  <c r="R10" i="33"/>
  <c r="N10" i="33"/>
  <c r="L10" i="33"/>
  <c r="H10" i="33"/>
  <c r="F10" i="33"/>
  <c r="Y9" i="33"/>
  <c r="T9" i="33"/>
  <c r="R9" i="33"/>
  <c r="N9" i="33"/>
  <c r="L9" i="33"/>
  <c r="H9" i="33"/>
  <c r="F9" i="33"/>
  <c r="Y8" i="33"/>
  <c r="T8" i="33"/>
  <c r="R8" i="33"/>
  <c r="N8" i="33"/>
  <c r="L8" i="33"/>
  <c r="H8" i="33"/>
  <c r="F8" i="33"/>
  <c r="Y7" i="33"/>
  <c r="T7" i="33"/>
  <c r="R7" i="33"/>
  <c r="N7" i="33"/>
  <c r="O39" i="33" s="1"/>
  <c r="L7" i="33"/>
  <c r="H7" i="33"/>
  <c r="I39" i="33" s="1"/>
  <c r="F7" i="33"/>
  <c r="Y6" i="33"/>
  <c r="S6" i="33"/>
  <c r="Q6" i="33"/>
  <c r="P6" i="33"/>
  <c r="M6" i="33"/>
  <c r="K6" i="33"/>
  <c r="J6" i="33"/>
  <c r="G6" i="33"/>
  <c r="E6" i="33"/>
  <c r="D6" i="33"/>
  <c r="R5" i="33"/>
  <c r="L5" i="33"/>
  <c r="F5" i="33"/>
  <c r="C5" i="33"/>
  <c r="R4" i="33"/>
  <c r="R14" i="33" s="1"/>
  <c r="L4" i="33"/>
  <c r="F4" i="33"/>
  <c r="F6" i="33" s="1"/>
  <c r="C4" i="33"/>
  <c r="B17" i="9"/>
  <c r="B18" i="9" s="1"/>
  <c r="B19" i="9" s="1"/>
  <c r="B20" i="9" s="1"/>
  <c r="H38" i="33" l="1"/>
  <c r="C47" i="14"/>
  <c r="W37" i="16"/>
  <c r="F39" i="16"/>
  <c r="F40" i="16" s="1"/>
  <c r="L14" i="33"/>
  <c r="R35" i="33"/>
  <c r="T35" i="33"/>
  <c r="N38" i="33"/>
  <c r="N59" i="33" s="1"/>
  <c r="N60" i="33" s="1"/>
  <c r="J34" i="33"/>
  <c r="C74" i="14"/>
  <c r="O14" i="15"/>
  <c r="M38" i="16"/>
  <c r="M40" i="16" s="1"/>
  <c r="I39" i="16"/>
  <c r="CV4" i="32"/>
  <c r="K39" i="1"/>
  <c r="L39" i="1" s="1"/>
  <c r="K43" i="1"/>
  <c r="L43" i="1" s="1"/>
  <c r="K47" i="1"/>
  <c r="L47" i="1" s="1"/>
  <c r="G79" i="1"/>
  <c r="G80" i="1"/>
  <c r="K81" i="1"/>
  <c r="L81" i="1" s="1"/>
  <c r="N81" i="1" s="1"/>
  <c r="B81" i="1" s="1"/>
  <c r="K118" i="1"/>
  <c r="L118" i="1" s="1"/>
  <c r="G131" i="1"/>
  <c r="B131" i="1" s="1"/>
  <c r="Q161" i="1"/>
  <c r="G185" i="1"/>
  <c r="B185" i="1" s="1"/>
  <c r="B29" i="37"/>
  <c r="AB12" i="32"/>
  <c r="T15" i="6"/>
  <c r="G22" i="10"/>
  <c r="G6" i="1"/>
  <c r="B6" i="1" s="1"/>
  <c r="G13" i="1"/>
  <c r="B13" i="1" s="1"/>
  <c r="K38" i="1"/>
  <c r="L38" i="1" s="1"/>
  <c r="K42" i="1"/>
  <c r="L42" i="1" s="1"/>
  <c r="K46" i="1"/>
  <c r="L46" i="1" s="1"/>
  <c r="K83" i="1"/>
  <c r="L83" i="1" s="1"/>
  <c r="A94" i="1"/>
  <c r="G119" i="1"/>
  <c r="G156" i="1"/>
  <c r="K190" i="1"/>
  <c r="L190" i="1" s="1"/>
  <c r="M191" i="1"/>
  <c r="N191" i="1" s="1"/>
  <c r="B191" i="1" s="1"/>
  <c r="G196" i="1"/>
  <c r="B196" i="1" s="1"/>
  <c r="R32" i="10"/>
  <c r="L44" i="10"/>
  <c r="M33" i="10"/>
  <c r="M83" i="1"/>
  <c r="M156" i="1"/>
  <c r="G188" i="1"/>
  <c r="B188" i="1" s="1"/>
  <c r="G189" i="1"/>
  <c r="B189" i="1" s="1"/>
  <c r="G222" i="1"/>
  <c r="B222" i="1" s="1"/>
  <c r="M42" i="33"/>
  <c r="AX95" i="16"/>
  <c r="BA95" i="16" s="1"/>
  <c r="BB95" i="16" s="1"/>
  <c r="M39" i="10"/>
  <c r="L35" i="10"/>
  <c r="L32" i="10" s="1"/>
  <c r="K79" i="1"/>
  <c r="L79" i="1" s="1"/>
  <c r="G83" i="1"/>
  <c r="G149" i="1"/>
  <c r="B149" i="1" s="1"/>
  <c r="G158" i="1"/>
  <c r="G160" i="1"/>
  <c r="B160" i="1" s="1"/>
  <c r="K195" i="1"/>
  <c r="L195" i="1" s="1"/>
  <c r="K228" i="1"/>
  <c r="L228" i="1" s="1"/>
  <c r="E8" i="11"/>
  <c r="C35" i="13"/>
  <c r="D42" i="16"/>
  <c r="N39" i="16"/>
  <c r="N40" i="16" s="1"/>
  <c r="C40" i="23"/>
  <c r="D18" i="24"/>
  <c r="D30" i="24"/>
  <c r="I35" i="40"/>
  <c r="G24" i="35"/>
  <c r="J24" i="35" s="1"/>
  <c r="C45" i="44"/>
  <c r="C49" i="44" s="1"/>
  <c r="C50" i="44" s="1"/>
  <c r="S22" i="10"/>
  <c r="N35" i="10"/>
  <c r="N32" i="10" s="1"/>
  <c r="U42" i="10"/>
  <c r="P50" i="10"/>
  <c r="G32" i="1"/>
  <c r="B32" i="1" s="1"/>
  <c r="G37" i="1"/>
  <c r="G41" i="1"/>
  <c r="G45" i="1"/>
  <c r="G48" i="1"/>
  <c r="B48" i="1" s="1"/>
  <c r="G81" i="1"/>
  <c r="K82" i="1"/>
  <c r="L82" i="1" s="1"/>
  <c r="G84" i="1"/>
  <c r="M118" i="1"/>
  <c r="G130" i="1"/>
  <c r="B130" i="1" s="1"/>
  <c r="M158" i="1"/>
  <c r="G159" i="1"/>
  <c r="B159" i="1" s="1"/>
  <c r="G187" i="1"/>
  <c r="B187" i="1" s="1"/>
  <c r="K192" i="1"/>
  <c r="L192" i="1" s="1"/>
  <c r="N192" i="1" s="1"/>
  <c r="B192" i="1" s="1"/>
  <c r="K193" i="1"/>
  <c r="L193" i="1" s="1"/>
  <c r="G204" i="1"/>
  <c r="B204" i="1" s="1"/>
  <c r="G224" i="1"/>
  <c r="B224" i="1" s="1"/>
  <c r="G226" i="1"/>
  <c r="B226" i="1" s="1"/>
  <c r="K229" i="1"/>
  <c r="L229" i="1" s="1"/>
  <c r="G231" i="1"/>
  <c r="S42" i="33"/>
  <c r="F33" i="10"/>
  <c r="F34" i="10" s="1"/>
  <c r="F36" i="10" s="1"/>
  <c r="E42" i="33"/>
  <c r="C11" i="13"/>
  <c r="C34" i="13"/>
  <c r="C87" i="15"/>
  <c r="B42" i="16"/>
  <c r="G14" i="1"/>
  <c r="B14" i="1" s="1"/>
  <c r="L6" i="33"/>
  <c r="D11" i="16"/>
  <c r="D14" i="16" s="1"/>
  <c r="D26" i="16" s="1"/>
  <c r="Z22" i="16" s="1"/>
  <c r="O39" i="16"/>
  <c r="I30" i="24"/>
  <c r="D7" i="29"/>
  <c r="DT8" i="32"/>
  <c r="T8" i="32" s="1"/>
  <c r="C6" i="10"/>
  <c r="K36" i="1"/>
  <c r="L36" i="1" s="1"/>
  <c r="K40" i="1"/>
  <c r="L40" i="1" s="1"/>
  <c r="K44" i="1"/>
  <c r="L44" i="1" s="1"/>
  <c r="G82" i="1"/>
  <c r="G93" i="1"/>
  <c r="B93" i="1" s="1"/>
  <c r="G94" i="1"/>
  <c r="B94" i="1" s="1"/>
  <c r="G112" i="1"/>
  <c r="B112" i="1" s="1"/>
  <c r="G114" i="1"/>
  <c r="B114" i="1" s="1"/>
  <c r="G117" i="1"/>
  <c r="N118" i="1"/>
  <c r="B118" i="1" s="1"/>
  <c r="G121" i="1"/>
  <c r="G192" i="1"/>
  <c r="G228" i="1"/>
  <c r="D54" i="33"/>
  <c r="D49" i="33"/>
  <c r="D59" i="33"/>
  <c r="D60" i="33" s="1"/>
  <c r="D56" i="33"/>
  <c r="E26" i="22"/>
  <c r="E27" i="22" s="1"/>
  <c r="C26" i="22"/>
  <c r="C27" i="22" s="1"/>
  <c r="J41" i="33"/>
  <c r="J42" i="33"/>
  <c r="J45" i="33" s="1"/>
  <c r="P54" i="33"/>
  <c r="P59" i="33"/>
  <c r="P60" i="33" s="1"/>
  <c r="P56" i="33"/>
  <c r="C81" i="14"/>
  <c r="C82" i="14"/>
  <c r="AQ95" i="16"/>
  <c r="AR95" i="16" s="1"/>
  <c r="AU95" i="16" s="1"/>
  <c r="AP95" i="16"/>
  <c r="AS95" i="16" s="1"/>
  <c r="AT95" i="16" s="1"/>
  <c r="B11" i="16"/>
  <c r="B18" i="16" s="1"/>
  <c r="V18" i="16" s="1"/>
  <c r="AF69" i="16"/>
  <c r="AR6" i="6"/>
  <c r="AR5" i="6" s="1"/>
  <c r="AR1" i="6"/>
  <c r="AR7" i="6" s="1"/>
  <c r="AR2" i="6" s="1"/>
  <c r="Q51" i="1"/>
  <c r="G51" i="1" s="1"/>
  <c r="B51" i="1" s="1"/>
  <c r="A50" i="1"/>
  <c r="G50" i="1"/>
  <c r="B50" i="1" s="1"/>
  <c r="R32" i="33"/>
  <c r="N35" i="33"/>
  <c r="N32" i="33" s="1"/>
  <c r="N34" i="33" s="1"/>
  <c r="Y12" i="33"/>
  <c r="O38" i="33"/>
  <c r="O37" i="33" s="1"/>
  <c r="D40" i="33"/>
  <c r="O25" i="15"/>
  <c r="G38" i="16"/>
  <c r="G39" i="16"/>
  <c r="O40" i="16"/>
  <c r="I40" i="16"/>
  <c r="I18" i="24"/>
  <c r="I24" i="34"/>
  <c r="J24" i="34" s="1"/>
  <c r="B3" i="29"/>
  <c r="D11" i="28" s="1"/>
  <c r="K37" i="33"/>
  <c r="F55" i="33"/>
  <c r="C75" i="14"/>
  <c r="C76" i="14" s="1"/>
  <c r="G42" i="33"/>
  <c r="J36" i="33"/>
  <c r="J37" i="33" s="1"/>
  <c r="F35" i="33"/>
  <c r="F36" i="33" s="1"/>
  <c r="P34" i="33"/>
  <c r="Q26" i="33"/>
  <c r="U26" i="33"/>
  <c r="C55" i="33"/>
  <c r="K39" i="16"/>
  <c r="K40" i="16" s="1"/>
  <c r="G91" i="20"/>
  <c r="K91" i="20" s="1"/>
  <c r="G85" i="20"/>
  <c r="K85" i="20" s="1"/>
  <c r="L17" i="36"/>
  <c r="AZ8" i="32"/>
  <c r="AZ11" i="32"/>
  <c r="BX11" i="32"/>
  <c r="BX4" i="32"/>
  <c r="J20" i="32" s="1"/>
  <c r="BX6" i="32"/>
  <c r="CV8" i="32"/>
  <c r="AR13" i="6"/>
  <c r="L40" i="33"/>
  <c r="L35" i="33"/>
  <c r="L36" i="33" s="1"/>
  <c r="D34" i="33"/>
  <c r="O42" i="33"/>
  <c r="Q38" i="16"/>
  <c r="K29" i="21"/>
  <c r="F47" i="22"/>
  <c r="F48" i="22" s="1"/>
  <c r="C16" i="40"/>
  <c r="C18" i="40" s="1"/>
  <c r="C38" i="40"/>
  <c r="G28" i="35"/>
  <c r="G30" i="35" s="1"/>
  <c r="J30" i="35" s="1"/>
  <c r="S17" i="6"/>
  <c r="C60" i="44"/>
  <c r="R40" i="10"/>
  <c r="R42" i="10" s="1"/>
  <c r="O39" i="10"/>
  <c r="N33" i="10"/>
  <c r="J44" i="10"/>
  <c r="O15" i="1"/>
  <c r="O16" i="1" s="1"/>
  <c r="O58" i="1"/>
  <c r="O59" i="1" s="1"/>
  <c r="N83" i="1"/>
  <c r="B83" i="1" s="1"/>
  <c r="G151" i="1"/>
  <c r="B151" i="1" s="1"/>
  <c r="G154" i="1"/>
  <c r="K155" i="1"/>
  <c r="L155" i="1" s="1"/>
  <c r="G157" i="1"/>
  <c r="A168" i="1"/>
  <c r="G194" i="1"/>
  <c r="G229" i="1"/>
  <c r="C47" i="44"/>
  <c r="F40" i="10"/>
  <c r="F42" i="10" s="1"/>
  <c r="M22" i="10"/>
  <c r="G38" i="10"/>
  <c r="J34" i="10"/>
  <c r="J36" i="10" s="1"/>
  <c r="M38" i="10"/>
  <c r="J40" i="10"/>
  <c r="J42" i="10" s="1"/>
  <c r="V47" i="7"/>
  <c r="V18" i="7" s="1"/>
  <c r="A49" i="1"/>
  <c r="A57" i="1"/>
  <c r="G75" i="1"/>
  <c r="B75" i="1" s="1"/>
  <c r="G77" i="1"/>
  <c r="B77" i="1" s="1"/>
  <c r="K84" i="1"/>
  <c r="L84" i="1" s="1"/>
  <c r="G85" i="1"/>
  <c r="B85" i="1" s="1"/>
  <c r="Q87" i="1"/>
  <c r="G87" i="1" s="1"/>
  <c r="B87" i="1" s="1"/>
  <c r="O95" i="1"/>
  <c r="Q95" i="1" s="1"/>
  <c r="G95" i="1" s="1"/>
  <c r="B95" i="1" s="1"/>
  <c r="M157" i="1"/>
  <c r="K158" i="1"/>
  <c r="L158" i="1" s="1"/>
  <c r="K191" i="1"/>
  <c r="L191" i="1" s="1"/>
  <c r="M193" i="1"/>
  <c r="M194" i="1"/>
  <c r="N194" i="1" s="1"/>
  <c r="B194" i="1" s="1"/>
  <c r="G227" i="1"/>
  <c r="M229" i="1"/>
  <c r="N229" i="1" s="1"/>
  <c r="B229" i="1" s="1"/>
  <c r="G230" i="1"/>
  <c r="C51" i="44"/>
  <c r="R6" i="10"/>
  <c r="M36" i="1"/>
  <c r="N36" i="1" s="1"/>
  <c r="B36" i="1" s="1"/>
  <c r="M38" i="1"/>
  <c r="N38" i="1" s="1"/>
  <c r="B38" i="1" s="1"/>
  <c r="M40" i="1"/>
  <c r="M42" i="1"/>
  <c r="M44" i="1"/>
  <c r="M46" i="1"/>
  <c r="N46" i="1" s="1"/>
  <c r="B46" i="1" s="1"/>
  <c r="G49" i="1"/>
  <c r="B49" i="1" s="1"/>
  <c r="N79" i="1"/>
  <c r="B79" i="1" s="1"/>
  <c r="G118" i="1"/>
  <c r="G122" i="1"/>
  <c r="B122" i="1" s="1"/>
  <c r="M154" i="1"/>
  <c r="G155" i="1"/>
  <c r="K157" i="1"/>
  <c r="L157" i="1" s="1"/>
  <c r="G186" i="1"/>
  <c r="B186" i="1" s="1"/>
  <c r="G191" i="1"/>
  <c r="M192" i="1"/>
  <c r="G193" i="1"/>
  <c r="K194" i="1"/>
  <c r="L194" i="1" s="1"/>
  <c r="M195" i="1"/>
  <c r="G197" i="1"/>
  <c r="B197" i="1" s="1"/>
  <c r="Q198" i="1"/>
  <c r="A198" i="1" s="1"/>
  <c r="G223" i="1"/>
  <c r="B223" i="1" s="1"/>
  <c r="M227" i="1"/>
  <c r="N227" i="1" s="1"/>
  <c r="B227" i="1" s="1"/>
  <c r="M230" i="1"/>
  <c r="K232" i="1"/>
  <c r="L232" i="1" s="1"/>
  <c r="A6" i="1"/>
  <c r="G34" i="1"/>
  <c r="B34" i="1" s="1"/>
  <c r="G36" i="1"/>
  <c r="K37" i="1"/>
  <c r="L37" i="1" s="1"/>
  <c r="G38" i="1"/>
  <c r="G40" i="1"/>
  <c r="K41" i="1"/>
  <c r="L41" i="1" s="1"/>
  <c r="G42" i="1"/>
  <c r="G44" i="1"/>
  <c r="K45" i="1"/>
  <c r="L45" i="1" s="1"/>
  <c r="G46" i="1"/>
  <c r="K80" i="1"/>
  <c r="L80" i="1" s="1"/>
  <c r="G86" i="1"/>
  <c r="B86" i="1" s="1"/>
  <c r="K230" i="1"/>
  <c r="L230" i="1" s="1"/>
  <c r="M231" i="1"/>
  <c r="N231" i="1" s="1"/>
  <c r="B231" i="1" s="1"/>
  <c r="G232" i="1"/>
  <c r="N54" i="45"/>
  <c r="N55" i="45" s="1"/>
  <c r="N76" i="45"/>
  <c r="N99" i="45"/>
  <c r="N79" i="45"/>
  <c r="N75" i="45"/>
  <c r="N96" i="45"/>
  <c r="N102" i="45"/>
  <c r="N78" i="45"/>
  <c r="N74" i="45"/>
  <c r="N101" i="45"/>
  <c r="N98" i="45"/>
  <c r="N77" i="45"/>
  <c r="N73" i="45"/>
  <c r="N97" i="45"/>
  <c r="N100" i="45"/>
  <c r="O53" i="45"/>
  <c r="O59" i="45"/>
  <c r="O58" i="45" s="1"/>
  <c r="O56" i="45"/>
  <c r="P70" i="45"/>
  <c r="P69" i="45"/>
  <c r="P68" i="45"/>
  <c r="P67" i="45"/>
  <c r="P66" i="45"/>
  <c r="P65" i="45"/>
  <c r="P64" i="45"/>
  <c r="P47" i="45"/>
  <c r="Q81" i="45"/>
  <c r="Q42" i="45"/>
  <c r="Q41" i="45"/>
  <c r="R40" i="45"/>
  <c r="Q51" i="45"/>
  <c r="D87" i="21"/>
  <c r="D88" i="21" s="1"/>
  <c r="D90" i="21"/>
  <c r="D28" i="21"/>
  <c r="D29" i="21"/>
  <c r="U72" i="16"/>
  <c r="U78" i="16"/>
  <c r="U74" i="16"/>
  <c r="D14" i="21"/>
  <c r="C22" i="13"/>
  <c r="F17" i="19"/>
  <c r="I15" i="19" s="1"/>
  <c r="K13" i="21"/>
  <c r="K14" i="21"/>
  <c r="U56" i="16"/>
  <c r="U62" i="16"/>
  <c r="B22" i="37"/>
  <c r="D13" i="21"/>
  <c r="AB8" i="32"/>
  <c r="AB11" i="32"/>
  <c r="E4" i="32" s="1"/>
  <c r="D81" i="21"/>
  <c r="D84" i="21" s="1"/>
  <c r="P36" i="33"/>
  <c r="C6" i="33"/>
  <c r="R19" i="33"/>
  <c r="S19" i="33" s="1"/>
  <c r="T19" i="33"/>
  <c r="Q19" i="33"/>
  <c r="Q37" i="33"/>
  <c r="P39" i="33" s="1"/>
  <c r="P46" i="33" s="1"/>
  <c r="H39" i="16"/>
  <c r="H38" i="16"/>
  <c r="L39" i="16"/>
  <c r="L38" i="16"/>
  <c r="L40" i="16" s="1"/>
  <c r="P39" i="16"/>
  <c r="P38" i="16"/>
  <c r="L33" i="33"/>
  <c r="M39" i="33"/>
  <c r="M38" i="33"/>
  <c r="E59" i="33"/>
  <c r="E60" i="33"/>
  <c r="E56" i="33"/>
  <c r="J60" i="33"/>
  <c r="J56" i="33"/>
  <c r="C38" i="33"/>
  <c r="J54" i="33"/>
  <c r="J49" i="33"/>
  <c r="H9" i="14"/>
  <c r="J5" i="14"/>
  <c r="J9" i="14" s="1"/>
  <c r="G14" i="14" s="1"/>
  <c r="G18" i="14" s="1"/>
  <c r="G22" i="14" s="1"/>
  <c r="K24" i="14" s="1"/>
  <c r="H3" i="9"/>
  <c r="H16" i="9" s="1"/>
  <c r="D3" i="9"/>
  <c r="G3" i="9"/>
  <c r="C16" i="9"/>
  <c r="M2" i="9"/>
  <c r="E3" i="9"/>
  <c r="L2" i="9"/>
  <c r="I3" i="9"/>
  <c r="C35" i="14"/>
  <c r="C52" i="14"/>
  <c r="F3" i="9"/>
  <c r="H54" i="33"/>
  <c r="H59" i="33"/>
  <c r="H60" i="33" s="1"/>
  <c r="H56" i="33"/>
  <c r="F40" i="33"/>
  <c r="V38" i="33"/>
  <c r="K42" i="33"/>
  <c r="Q42" i="33"/>
  <c r="N54" i="33"/>
  <c r="E54" i="33"/>
  <c r="C51" i="14"/>
  <c r="R6" i="33"/>
  <c r="R36" i="33" s="1"/>
  <c r="T32" i="33"/>
  <c r="T34" i="33" s="1"/>
  <c r="X12" i="33"/>
  <c r="H35" i="33"/>
  <c r="H32" i="33" s="1"/>
  <c r="H34" i="33" s="1"/>
  <c r="S39" i="33"/>
  <c r="I42" i="33"/>
  <c r="R40" i="33"/>
  <c r="R55" i="33"/>
  <c r="E19" i="11"/>
  <c r="D44" i="12"/>
  <c r="D45" i="12" s="1"/>
  <c r="D15" i="17"/>
  <c r="D16" i="17" s="1"/>
  <c r="R13" i="21"/>
  <c r="E13" i="23"/>
  <c r="F8" i="23"/>
  <c r="F14" i="23" s="1"/>
  <c r="J12" i="40"/>
  <c r="J13" i="40" s="1"/>
  <c r="J14" i="40" s="1"/>
  <c r="J15" i="40" s="1"/>
  <c r="J16" i="40" s="1"/>
  <c r="J17" i="40" s="1"/>
  <c r="J18" i="40" s="1"/>
  <c r="F15" i="36"/>
  <c r="F17" i="36"/>
  <c r="D34" i="34"/>
  <c r="D32" i="34"/>
  <c r="I38" i="33"/>
  <c r="I37" i="33" s="1"/>
  <c r="J40" i="16"/>
  <c r="Q40" i="16"/>
  <c r="K28" i="21"/>
  <c r="C17" i="40"/>
  <c r="C39" i="40"/>
  <c r="C40" i="40"/>
  <c r="D36" i="33"/>
  <c r="T54" i="33"/>
  <c r="T59" i="33"/>
  <c r="T60" i="33" s="1"/>
  <c r="F14" i="33"/>
  <c r="G39" i="33"/>
  <c r="G38" i="33"/>
  <c r="C54" i="33"/>
  <c r="U38" i="33"/>
  <c r="U39" i="33"/>
  <c r="U42" i="33"/>
  <c r="D30" i="16"/>
  <c r="Z24" i="16" s="1"/>
  <c r="G93" i="20"/>
  <c r="K93" i="20" s="1"/>
  <c r="G86" i="20"/>
  <c r="G82" i="20"/>
  <c r="J33" i="40"/>
  <c r="J34" i="40" s="1"/>
  <c r="J35" i="40" s="1"/>
  <c r="J36" i="40" s="1"/>
  <c r="J37" i="40" s="1"/>
  <c r="J38" i="40" s="1"/>
  <c r="J39" i="40" s="1"/>
  <c r="E14" i="23"/>
  <c r="E17" i="23"/>
  <c r="C38" i="23"/>
  <c r="C39" i="23" s="1"/>
  <c r="G25" i="35"/>
  <c r="J25" i="35" s="1"/>
  <c r="B4" i="29"/>
  <c r="AN11" i="32"/>
  <c r="AN8" i="32"/>
  <c r="AN6" i="32"/>
  <c r="E12" i="32" s="1"/>
  <c r="AN4" i="32"/>
  <c r="AN10" i="32"/>
  <c r="BL11" i="32"/>
  <c r="BL8" i="32"/>
  <c r="BL6" i="32"/>
  <c r="BL4" i="32"/>
  <c r="BL12" i="32"/>
  <c r="BL10" i="32"/>
  <c r="CJ11" i="32"/>
  <c r="CJ8" i="32"/>
  <c r="O4" i="32" s="1"/>
  <c r="CJ6" i="32"/>
  <c r="CJ4" i="32"/>
  <c r="CJ12" i="32"/>
  <c r="CJ10" i="32"/>
  <c r="DH8" i="32"/>
  <c r="DH6" i="32"/>
  <c r="O20" i="32" s="1"/>
  <c r="DH4" i="32"/>
  <c r="CJ5" i="32"/>
  <c r="BL7" i="32"/>
  <c r="BF12" i="32"/>
  <c r="BL13" i="32"/>
  <c r="E22" i="23"/>
  <c r="D14" i="23"/>
  <c r="D17" i="23"/>
  <c r="C22" i="38"/>
  <c r="C3" i="29"/>
  <c r="D17" i="28" s="1"/>
  <c r="AH9" i="32"/>
  <c r="AH7" i="32"/>
  <c r="AH5" i="32"/>
  <c r="AH14" i="32"/>
  <c r="AH12" i="32"/>
  <c r="AH11" i="32"/>
  <c r="E8" i="32" s="1"/>
  <c r="AH8" i="32"/>
  <c r="AH6" i="32"/>
  <c r="AH4" i="32"/>
  <c r="DB7" i="32"/>
  <c r="DB5" i="32"/>
  <c r="DB8" i="32"/>
  <c r="DB6" i="32"/>
  <c r="DB4" i="32"/>
  <c r="AH13" i="32"/>
  <c r="N40" i="6"/>
  <c r="R33" i="33"/>
  <c r="S38" i="33"/>
  <c r="P41" i="33"/>
  <c r="L55" i="33"/>
  <c r="D39" i="33"/>
  <c r="P49" i="33"/>
  <c r="U58" i="16"/>
  <c r="C22" i="23"/>
  <c r="C4" i="29"/>
  <c r="F2" i="31"/>
  <c r="AT14" i="32"/>
  <c r="AT11" i="32"/>
  <c r="E16" i="32" s="1"/>
  <c r="AT8" i="32"/>
  <c r="AT6" i="32"/>
  <c r="AT4" i="32"/>
  <c r="AT17" i="32"/>
  <c r="AT12" i="32"/>
  <c r="AT10" i="32"/>
  <c r="AT13" i="32"/>
  <c r="AT9" i="32"/>
  <c r="AT7" i="32"/>
  <c r="AT5" i="32"/>
  <c r="BR11" i="32"/>
  <c r="BR8" i="32"/>
  <c r="BR6" i="32"/>
  <c r="BR4" i="32"/>
  <c r="BR14" i="32"/>
  <c r="BR12" i="32"/>
  <c r="BR10" i="32"/>
  <c r="BR13" i="32"/>
  <c r="J12" i="32" s="1"/>
  <c r="BR9" i="32"/>
  <c r="BR7" i="32"/>
  <c r="BR5" i="32"/>
  <c r="CP8" i="32"/>
  <c r="O8" i="32" s="1"/>
  <c r="CP6" i="32"/>
  <c r="CP4" i="32"/>
  <c r="CP10" i="32"/>
  <c r="CP9" i="32"/>
  <c r="CP7" i="32"/>
  <c r="CP5" i="32"/>
  <c r="DN8" i="32"/>
  <c r="T4" i="32" s="1"/>
  <c r="DN6" i="32"/>
  <c r="DN4" i="32"/>
  <c r="DN7" i="32"/>
  <c r="DN5" i="32"/>
  <c r="DH5" i="32"/>
  <c r="CJ7" i="32"/>
  <c r="AN9" i="32"/>
  <c r="CD12" i="32"/>
  <c r="CV13" i="32"/>
  <c r="AT16" i="32"/>
  <c r="Z42" i="6"/>
  <c r="C14" i="23"/>
  <c r="D22" i="23"/>
  <c r="G33" i="35"/>
  <c r="J33" i="35" s="1"/>
  <c r="H13" i="27"/>
  <c r="F13" i="27"/>
  <c r="AB10" i="32"/>
  <c r="AB9" i="32"/>
  <c r="AB7" i="32"/>
  <c r="AB5" i="32"/>
  <c r="AZ12" i="32"/>
  <c r="AZ10" i="32"/>
  <c r="AZ13" i="32"/>
  <c r="AZ9" i="32"/>
  <c r="AZ7" i="32"/>
  <c r="AZ5" i="32"/>
  <c r="AZ15" i="32"/>
  <c r="BX14" i="32"/>
  <c r="BX12" i="32"/>
  <c r="BX10" i="32"/>
  <c r="BX13" i="32"/>
  <c r="BX9" i="32"/>
  <c r="BX7" i="32"/>
  <c r="BX5" i="32"/>
  <c r="CV11" i="32"/>
  <c r="CV10" i="32"/>
  <c r="CV14" i="32"/>
  <c r="CV9" i="32"/>
  <c r="O12" i="32" s="1"/>
  <c r="CV7" i="32"/>
  <c r="CV5" i="32"/>
  <c r="DT7" i="32"/>
  <c r="DT5" i="32"/>
  <c r="AZ4" i="32"/>
  <c r="AN5" i="32"/>
  <c r="AB6" i="32"/>
  <c r="DT6" i="32"/>
  <c r="DH7" i="32"/>
  <c r="BX8" i="32"/>
  <c r="BL9" i="32"/>
  <c r="CV12" i="32"/>
  <c r="AZ14" i="32"/>
  <c r="E20" i="32" s="1"/>
  <c r="AT15" i="32"/>
  <c r="R24" i="6"/>
  <c r="O39" i="6"/>
  <c r="G105" i="6" s="1"/>
  <c r="BF13" i="32"/>
  <c r="BF9" i="32"/>
  <c r="BF7" i="32"/>
  <c r="BF5" i="32"/>
  <c r="BF15" i="32"/>
  <c r="BF14" i="32"/>
  <c r="BF11" i="32"/>
  <c r="BF8" i="32"/>
  <c r="BF6" i="32"/>
  <c r="J4" i="32" s="1"/>
  <c r="BF4" i="32"/>
  <c r="CD15" i="32"/>
  <c r="J16" i="32" s="1"/>
  <c r="CD13" i="32"/>
  <c r="CD9" i="32"/>
  <c r="CD7" i="32"/>
  <c r="CD5" i="32"/>
  <c r="CD11" i="32"/>
  <c r="CD8" i="32"/>
  <c r="CD6" i="32"/>
  <c r="CD4" i="32"/>
  <c r="DZ7" i="32"/>
  <c r="DZ5" i="32"/>
  <c r="DZ8" i="32"/>
  <c r="T12" i="32" s="1"/>
  <c r="DZ6" i="32"/>
  <c r="DZ4" i="32"/>
  <c r="CD14" i="32"/>
  <c r="P31" i="6"/>
  <c r="K22" i="6"/>
  <c r="H57" i="10"/>
  <c r="H60" i="10"/>
  <c r="H61" i="10" s="1"/>
  <c r="H38" i="10"/>
  <c r="H55" i="10"/>
  <c r="H11" i="6"/>
  <c r="R17" i="6"/>
  <c r="I44" i="6"/>
  <c r="E46" i="6" s="1"/>
  <c r="L40" i="10"/>
  <c r="L56" i="10"/>
  <c r="L6" i="10"/>
  <c r="C34" i="44"/>
  <c r="C32" i="44"/>
  <c r="C39" i="44"/>
  <c r="C38" i="44"/>
  <c r="I39" i="10"/>
  <c r="H39" i="10" s="1"/>
  <c r="H33" i="10"/>
  <c r="H34" i="10" s="1"/>
  <c r="S39" i="10"/>
  <c r="S38" i="10"/>
  <c r="R33" i="10"/>
  <c r="R34" i="10" s="1"/>
  <c r="R36" i="10" s="1"/>
  <c r="J55" i="10"/>
  <c r="C55" i="10" s="1"/>
  <c r="J60" i="10"/>
  <c r="J57" i="10"/>
  <c r="J39" i="10"/>
  <c r="J38" i="10"/>
  <c r="T34" i="10"/>
  <c r="T4" i="10" s="1"/>
  <c r="T40" i="10" s="1"/>
  <c r="I42" i="10"/>
  <c r="O42" i="10"/>
  <c r="E42" i="10"/>
  <c r="S44" i="10"/>
  <c r="S49" i="10"/>
  <c r="S43" i="10"/>
  <c r="S34" i="10"/>
  <c r="S58" i="10" s="1"/>
  <c r="S59" i="10" s="1"/>
  <c r="S33" i="10"/>
  <c r="D42" i="10"/>
  <c r="D45" i="10" s="1"/>
  <c r="D46" i="10"/>
  <c r="D41" i="10"/>
  <c r="F6" i="10"/>
  <c r="G44" i="10"/>
  <c r="G49" i="10"/>
  <c r="F13" i="10"/>
  <c r="R13" i="10"/>
  <c r="G33" i="10"/>
  <c r="O33" i="10"/>
  <c r="G34" i="10"/>
  <c r="G58" i="10" s="1"/>
  <c r="G59" i="10" s="1"/>
  <c r="P46" i="10"/>
  <c r="P41" i="10"/>
  <c r="P42" i="10"/>
  <c r="P45" i="10" s="1"/>
  <c r="M49" i="10"/>
  <c r="L37" i="10" s="1"/>
  <c r="U49" i="10"/>
  <c r="F56" i="10"/>
  <c r="A6" i="7"/>
  <c r="E22" i="10"/>
  <c r="K22" i="10"/>
  <c r="Q22" i="10"/>
  <c r="P32" i="10"/>
  <c r="P34" i="10" s="1"/>
  <c r="P36" i="10" s="1"/>
  <c r="L33" i="10"/>
  <c r="O38" i="10"/>
  <c r="G42" i="10"/>
  <c r="M44" i="10"/>
  <c r="O44" i="10"/>
  <c r="O49" i="10"/>
  <c r="N37" i="10" s="1"/>
  <c r="F22" i="10"/>
  <c r="F44" i="10" s="1"/>
  <c r="R22" i="10"/>
  <c r="R44" i="10" s="1"/>
  <c r="U33" i="10"/>
  <c r="M34" i="10"/>
  <c r="M58" i="10" s="1"/>
  <c r="M59" i="10" s="1"/>
  <c r="U34" i="10"/>
  <c r="U58" i="10" s="1"/>
  <c r="U59" i="10" s="1"/>
  <c r="P57" i="10"/>
  <c r="P60" i="10"/>
  <c r="P61" i="10" s="1"/>
  <c r="P38" i="10"/>
  <c r="P39" i="10"/>
  <c r="S42" i="10"/>
  <c r="Q42" i="10"/>
  <c r="D54" i="10"/>
  <c r="O43" i="10"/>
  <c r="U44" i="10"/>
  <c r="C56" i="10"/>
  <c r="Q8" i="1"/>
  <c r="A7" i="1"/>
  <c r="G7" i="1"/>
  <c r="B7" i="1" s="1"/>
  <c r="A15" i="1"/>
  <c r="G31" i="1"/>
  <c r="B31" i="1" s="1"/>
  <c r="G35" i="1"/>
  <c r="B35" i="1" s="1"/>
  <c r="G76" i="1"/>
  <c r="B76" i="1" s="1"/>
  <c r="M80" i="1"/>
  <c r="N80" i="1" s="1"/>
  <c r="B80" i="1" s="1"/>
  <c r="M82" i="1"/>
  <c r="M84" i="1"/>
  <c r="O96" i="1"/>
  <c r="A95" i="1"/>
  <c r="G123" i="1"/>
  <c r="B123" i="1" s="1"/>
  <c r="A123" i="1"/>
  <c r="Q124" i="1"/>
  <c r="K153" i="1"/>
  <c r="L153" i="1" s="1"/>
  <c r="M153" i="1"/>
  <c r="G161" i="1"/>
  <c r="B161" i="1" s="1"/>
  <c r="A161" i="1"/>
  <c r="Q162" i="1"/>
  <c r="G162" i="1" s="1"/>
  <c r="B162" i="1" s="1"/>
  <c r="G33" i="1"/>
  <c r="B33" i="1" s="1"/>
  <c r="M37" i="1"/>
  <c r="M39" i="1"/>
  <c r="N39" i="1" s="1"/>
  <c r="B39" i="1" s="1"/>
  <c r="M41" i="1"/>
  <c r="M43" i="1"/>
  <c r="M45" i="1"/>
  <c r="N45" i="1" s="1"/>
  <c r="B45" i="1" s="1"/>
  <c r="M47" i="1"/>
  <c r="N47" i="1" s="1"/>
  <c r="B47" i="1" s="1"/>
  <c r="Q58" i="1"/>
  <c r="G58" i="1" s="1"/>
  <c r="B58" i="1" s="1"/>
  <c r="G74" i="1"/>
  <c r="B74" i="1" s="1"/>
  <c r="G78" i="1"/>
  <c r="B78" i="1" s="1"/>
  <c r="K116" i="1"/>
  <c r="L116" i="1" s="1"/>
  <c r="M116" i="1"/>
  <c r="M117" i="1"/>
  <c r="K120" i="1"/>
  <c r="L120" i="1" s="1"/>
  <c r="M120" i="1"/>
  <c r="M121" i="1"/>
  <c r="G113" i="1"/>
  <c r="B113" i="1" s="1"/>
  <c r="N119" i="1"/>
  <c r="B119" i="1" s="1"/>
  <c r="O132" i="1"/>
  <c r="A131" i="1"/>
  <c r="G148" i="1"/>
  <c r="B148" i="1" s="1"/>
  <c r="G152" i="1"/>
  <c r="B152" i="1" s="1"/>
  <c r="K154" i="1"/>
  <c r="L154" i="1" s="1"/>
  <c r="G111" i="1"/>
  <c r="B111" i="1" s="1"/>
  <c r="G115" i="1"/>
  <c r="B115" i="1" s="1"/>
  <c r="K117" i="1"/>
  <c r="L117" i="1" s="1"/>
  <c r="K121" i="1"/>
  <c r="L121" i="1" s="1"/>
  <c r="G150" i="1"/>
  <c r="B150" i="1" s="1"/>
  <c r="M155" i="1"/>
  <c r="N155" i="1" s="1"/>
  <c r="B155" i="1" s="1"/>
  <c r="G190" i="1"/>
  <c r="K156" i="1"/>
  <c r="L156" i="1" s="1"/>
  <c r="N156" i="1" s="1"/>
  <c r="B156" i="1" s="1"/>
  <c r="G167" i="1"/>
  <c r="B167" i="1" s="1"/>
  <c r="G168" i="1"/>
  <c r="B168" i="1" s="1"/>
  <c r="M190" i="1"/>
  <c r="N190" i="1" s="1"/>
  <c r="B190" i="1" s="1"/>
  <c r="N228" i="1"/>
  <c r="B228" i="1" s="1"/>
  <c r="G198" i="1"/>
  <c r="B198" i="1" s="1"/>
  <c r="G205" i="1"/>
  <c r="B205" i="1" s="1"/>
  <c r="N232" i="1"/>
  <c r="B232" i="1" s="1"/>
  <c r="O169" i="1"/>
  <c r="A205" i="1"/>
  <c r="O206" i="1"/>
  <c r="Q199" i="1" l="1"/>
  <c r="G199" i="1" s="1"/>
  <c r="B199" i="1" s="1"/>
  <c r="A58" i="1"/>
  <c r="N37" i="1"/>
  <c r="B37" i="1" s="1"/>
  <c r="A51" i="1"/>
  <c r="L34" i="10"/>
  <c r="L36" i="10" s="1"/>
  <c r="N56" i="33"/>
  <c r="N44" i="1"/>
  <c r="B44" i="1" s="1"/>
  <c r="N43" i="1"/>
  <c r="B43" i="1" s="1"/>
  <c r="N84" i="1"/>
  <c r="B84" i="1" s="1"/>
  <c r="G26" i="35"/>
  <c r="J26" i="35" s="1"/>
  <c r="Z16" i="16"/>
  <c r="N42" i="1"/>
  <c r="B42" i="1" s="1"/>
  <c r="C60" i="33"/>
  <c r="D45" i="16"/>
  <c r="D47" i="16" s="1"/>
  <c r="Z30" i="16" s="1"/>
  <c r="B38" i="16"/>
  <c r="V28" i="16" s="1"/>
  <c r="D16" i="9"/>
  <c r="E16" i="9" s="1"/>
  <c r="F16" i="9" s="1"/>
  <c r="G16" i="9" s="1"/>
  <c r="I16" i="9"/>
  <c r="C17" i="9" s="1"/>
  <c r="D17" i="9" s="1"/>
  <c r="E17" i="9" s="1"/>
  <c r="F17" i="9" s="1"/>
  <c r="G17" i="9" s="1"/>
  <c r="H17" i="9" s="1"/>
  <c r="I17" i="9" s="1"/>
  <c r="C18" i="9" s="1"/>
  <c r="D18" i="9" s="1"/>
  <c r="E18" i="9" s="1"/>
  <c r="F18" i="9" s="1"/>
  <c r="G18" i="9" s="1"/>
  <c r="H18" i="9" s="1"/>
  <c r="I18" i="9" s="1"/>
  <c r="C19" i="9" s="1"/>
  <c r="D19" i="9" s="1"/>
  <c r="E19" i="9" s="1"/>
  <c r="F19" i="9" s="1"/>
  <c r="G19" i="9" s="1"/>
  <c r="H19" i="9" s="1"/>
  <c r="I19" i="9" s="1"/>
  <c r="C20" i="9" s="1"/>
  <c r="D20" i="9" s="1"/>
  <c r="E20" i="9" s="1"/>
  <c r="F20" i="9" s="1"/>
  <c r="G20" i="9" s="1"/>
  <c r="H20" i="9" s="1"/>
  <c r="I20" i="9" s="1"/>
  <c r="C21" i="9" s="1"/>
  <c r="B21" i="9" s="1"/>
  <c r="K16" i="9" s="1"/>
  <c r="K17" i="9" s="1"/>
  <c r="K18" i="9" s="1"/>
  <c r="K19" i="9" s="1"/>
  <c r="K20" i="9" s="1"/>
  <c r="Q52" i="1"/>
  <c r="C40" i="10"/>
  <c r="V14" i="16"/>
  <c r="N195" i="1"/>
  <c r="B195" i="1" s="1"/>
  <c r="N41" i="1"/>
  <c r="B41" i="1" s="1"/>
  <c r="N82" i="1"/>
  <c r="B82" i="1" s="1"/>
  <c r="G31" i="35"/>
  <c r="J31" i="35" s="1"/>
  <c r="J28" i="35"/>
  <c r="D18" i="16"/>
  <c r="Z18" i="16" s="1"/>
  <c r="Z26" i="16" s="1"/>
  <c r="F32" i="33"/>
  <c r="F34" i="33" s="1"/>
  <c r="F37" i="33" s="1"/>
  <c r="B14" i="16"/>
  <c r="B22" i="16" s="1"/>
  <c r="V20" i="16" s="1"/>
  <c r="V26" i="16" s="1"/>
  <c r="B45" i="16"/>
  <c r="B47" i="16" s="1"/>
  <c r="V30" i="16" s="1"/>
  <c r="N193" i="1"/>
  <c r="B193" i="1" s="1"/>
  <c r="C46" i="44"/>
  <c r="D38" i="16"/>
  <c r="Z28" i="16" s="1"/>
  <c r="C59" i="33"/>
  <c r="J41" i="10"/>
  <c r="N158" i="1"/>
  <c r="B158" i="1" s="1"/>
  <c r="AF95" i="16"/>
  <c r="AK95" i="16" s="1"/>
  <c r="AG95" i="16" s="1"/>
  <c r="N120" i="1"/>
  <c r="B120" i="1" s="1"/>
  <c r="N153" i="1"/>
  <c r="B153" i="1" s="1"/>
  <c r="C48" i="44"/>
  <c r="C65" i="44" s="1"/>
  <c r="J46" i="10"/>
  <c r="D37" i="33"/>
  <c r="Z14" i="16"/>
  <c r="C56" i="33"/>
  <c r="N40" i="1"/>
  <c r="B40" i="1" s="1"/>
  <c r="N157" i="1"/>
  <c r="B157" i="1" s="1"/>
  <c r="N34" i="10"/>
  <c r="O54" i="33"/>
  <c r="O59" i="33"/>
  <c r="O60" i="33" s="1"/>
  <c r="O56" i="33"/>
  <c r="N39" i="33"/>
  <c r="N4" i="33" s="1"/>
  <c r="N40" i="33" s="1"/>
  <c r="J51" i="33"/>
  <c r="J48" i="33"/>
  <c r="L12" i="33" s="1"/>
  <c r="L38" i="33" s="1"/>
  <c r="L39" i="33" s="1"/>
  <c r="L46" i="33" s="1"/>
  <c r="J52" i="33"/>
  <c r="K54" i="33"/>
  <c r="K56" i="33"/>
  <c r="J39" i="33"/>
  <c r="J46" i="33" s="1"/>
  <c r="Q15" i="1"/>
  <c r="G15" i="1" s="1"/>
  <c r="B15" i="1" s="1"/>
  <c r="C57" i="10"/>
  <c r="R34" i="33"/>
  <c r="R37" i="33" s="1"/>
  <c r="G32" i="35"/>
  <c r="J32" i="35" s="1"/>
  <c r="L32" i="33"/>
  <c r="L34" i="33" s="1"/>
  <c r="L37" i="33" s="1"/>
  <c r="M37" i="33"/>
  <c r="M60" i="33" s="1"/>
  <c r="P40" i="16"/>
  <c r="H40" i="16"/>
  <c r="P37" i="33"/>
  <c r="P52" i="33" s="1"/>
  <c r="N230" i="1"/>
  <c r="B230" i="1" s="1"/>
  <c r="Q88" i="1"/>
  <c r="A87" i="1"/>
  <c r="J45" i="10"/>
  <c r="J47" i="10" s="1"/>
  <c r="D42" i="33"/>
  <c r="D45" i="33" s="1"/>
  <c r="D46" i="33" s="1"/>
  <c r="C40" i="33"/>
  <c r="D41" i="33"/>
  <c r="V41" i="33" s="1"/>
  <c r="X26" i="33" s="1"/>
  <c r="N154" i="1"/>
  <c r="B154" i="1" s="1"/>
  <c r="R45" i="10"/>
  <c r="R49" i="10" s="1"/>
  <c r="K59" i="33"/>
  <c r="K60" i="33" s="1"/>
  <c r="F22" i="23"/>
  <c r="V19" i="7"/>
  <c r="U18" i="7"/>
  <c r="AM4" i="6" s="1"/>
  <c r="AL4" i="6"/>
  <c r="L42" i="33"/>
  <c r="L45" i="33" s="1"/>
  <c r="L41" i="33"/>
  <c r="G40" i="16"/>
  <c r="P56" i="45"/>
  <c r="P53" i="45"/>
  <c r="P59" i="45"/>
  <c r="P58" i="45" s="1"/>
  <c r="R51" i="45"/>
  <c r="R41" i="45"/>
  <c r="R81" i="45"/>
  <c r="R42" i="45"/>
  <c r="Q70" i="45"/>
  <c r="Q69" i="45"/>
  <c r="Q68" i="45"/>
  <c r="Q67" i="45"/>
  <c r="Q66" i="45"/>
  <c r="Q65" i="45"/>
  <c r="Q64" i="45"/>
  <c r="Q47" i="45"/>
  <c r="O54" i="45"/>
  <c r="O55" i="45" s="1"/>
  <c r="O100" i="45"/>
  <c r="O77" i="45"/>
  <c r="O73" i="45"/>
  <c r="O79" i="45"/>
  <c r="O78" i="45"/>
  <c r="O99" i="45"/>
  <c r="O76" i="45"/>
  <c r="O96" i="45"/>
  <c r="O102" i="45"/>
  <c r="O75" i="45"/>
  <c r="O98" i="45"/>
  <c r="O101" i="45"/>
  <c r="O74" i="45"/>
  <c r="O97" i="45"/>
  <c r="U75" i="16"/>
  <c r="U76" i="16"/>
  <c r="U77" i="16" s="1"/>
  <c r="Y54" i="16" s="1"/>
  <c r="U73" i="16"/>
  <c r="U59" i="16"/>
  <c r="Y55" i="16" s="1"/>
  <c r="I16" i="19"/>
  <c r="U60" i="16"/>
  <c r="U61" i="16" s="1"/>
  <c r="Y53" i="16" s="1"/>
  <c r="Y57" i="16" s="1"/>
  <c r="U57" i="16"/>
  <c r="O16" i="32"/>
  <c r="J8" i="32"/>
  <c r="N41" i="33"/>
  <c r="N42" i="33"/>
  <c r="N45" i="33" s="1"/>
  <c r="N46" i="33" s="1"/>
  <c r="P57" i="33"/>
  <c r="P58" i="33" s="1"/>
  <c r="P61" i="33"/>
  <c r="D48" i="33"/>
  <c r="N55" i="10"/>
  <c r="N60" i="10"/>
  <c r="N61" i="10" s="1"/>
  <c r="N57" i="10"/>
  <c r="N39" i="10"/>
  <c r="N38" i="10"/>
  <c r="I59" i="33"/>
  <c r="I60" i="33" s="1"/>
  <c r="I56" i="33"/>
  <c r="I54" i="33"/>
  <c r="H39" i="33"/>
  <c r="H4" i="33" s="1"/>
  <c r="F16" i="23"/>
  <c r="P48" i="33"/>
  <c r="R12" i="33" s="1"/>
  <c r="R38" i="33" s="1"/>
  <c r="O133" i="1"/>
  <c r="A132" i="1"/>
  <c r="Q132" i="1"/>
  <c r="G132" i="1" s="1"/>
  <c r="B132" i="1" s="1"/>
  <c r="L57" i="10"/>
  <c r="L50" i="10"/>
  <c r="L60" i="10"/>
  <c r="L61" i="10" s="1"/>
  <c r="L55" i="10"/>
  <c r="L38" i="10"/>
  <c r="L39" i="10"/>
  <c r="T42" i="10"/>
  <c r="T45" i="10" s="1"/>
  <c r="T46" i="10"/>
  <c r="W1" i="7"/>
  <c r="P1" i="7" s="1"/>
  <c r="F46" i="6" s="1"/>
  <c r="F98" i="6"/>
  <c r="P32" i="6"/>
  <c r="J33" i="6" s="1"/>
  <c r="M59" i="33"/>
  <c r="Q59" i="1"/>
  <c r="G59" i="1" s="1"/>
  <c r="B59" i="1" s="1"/>
  <c r="O60" i="1"/>
  <c r="A59" i="1"/>
  <c r="A162" i="1"/>
  <c r="Q163" i="1"/>
  <c r="P47" i="10"/>
  <c r="P51" i="10" s="1"/>
  <c r="D47" i="10"/>
  <c r="D49" i="10"/>
  <c r="C60" i="10"/>
  <c r="J61" i="10"/>
  <c r="C61" i="10" s="1"/>
  <c r="F45" i="10"/>
  <c r="H4" i="10"/>
  <c r="C39" i="33"/>
  <c r="U37" i="33"/>
  <c r="G37" i="33"/>
  <c r="C19" i="40"/>
  <c r="K4" i="40"/>
  <c r="K5" i="40" s="1"/>
  <c r="K6" i="40" s="1"/>
  <c r="K7" i="40" s="1"/>
  <c r="K8" i="40" s="1"/>
  <c r="K9" i="40" s="1"/>
  <c r="N49" i="33"/>
  <c r="Q59" i="33"/>
  <c r="Q60" i="33" s="1"/>
  <c r="Q56" i="33"/>
  <c r="Q54" i="33"/>
  <c r="Q206" i="1"/>
  <c r="G206" i="1" s="1"/>
  <c r="B206" i="1" s="1"/>
  <c r="A206" i="1"/>
  <c r="O207" i="1"/>
  <c r="A124" i="1"/>
  <c r="Q125" i="1"/>
  <c r="G124" i="1"/>
  <c r="B124" i="1" s="1"/>
  <c r="Q9" i="1"/>
  <c r="A8" i="1"/>
  <c r="G8" i="1"/>
  <c r="B8" i="1" s="1"/>
  <c r="F13" i="23"/>
  <c r="G8" i="23"/>
  <c r="Q169" i="1"/>
  <c r="G169" i="1" s="1"/>
  <c r="B169" i="1" s="1"/>
  <c r="O170" i="1"/>
  <c r="A169" i="1"/>
  <c r="N117" i="1"/>
  <c r="B117" i="1" s="1"/>
  <c r="A96" i="1"/>
  <c r="O97" i="1"/>
  <c r="Q96" i="1"/>
  <c r="G96" i="1" s="1"/>
  <c r="B96" i="1" s="1"/>
  <c r="R46" i="10"/>
  <c r="F46" i="10"/>
  <c r="K82" i="20"/>
  <c r="G84" i="20"/>
  <c r="K84" i="20" s="1"/>
  <c r="G89" i="20"/>
  <c r="K89" i="20" s="1"/>
  <c r="C45" i="33"/>
  <c r="Q16" i="1"/>
  <c r="G16" i="1" s="1"/>
  <c r="B16" i="1" s="1"/>
  <c r="A16" i="1"/>
  <c r="O17" i="1"/>
  <c r="A7" i="7"/>
  <c r="L42" i="10"/>
  <c r="L45" i="10" s="1"/>
  <c r="L46" i="10"/>
  <c r="F15" i="23"/>
  <c r="E15" i="23"/>
  <c r="C15" i="23"/>
  <c r="D15" i="23"/>
  <c r="E16" i="23"/>
  <c r="R41" i="33"/>
  <c r="R42" i="33"/>
  <c r="R45" i="33" s="1"/>
  <c r="N6" i="33"/>
  <c r="N36" i="33" s="1"/>
  <c r="N37" i="33" s="1"/>
  <c r="F42" i="33"/>
  <c r="F45" i="33" s="1"/>
  <c r="F41" i="33"/>
  <c r="A199" i="1"/>
  <c r="Q200" i="1"/>
  <c r="N121" i="1"/>
  <c r="B121" i="1" s="1"/>
  <c r="N116" i="1"/>
  <c r="B116" i="1" s="1"/>
  <c r="Q53" i="1"/>
  <c r="A52" i="1"/>
  <c r="G52" i="1"/>
  <c r="B52" i="1" s="1"/>
  <c r="Q32" i="10"/>
  <c r="P49" i="10"/>
  <c r="R12" i="10" s="1"/>
  <c r="R37" i="10" s="1"/>
  <c r="C46" i="10"/>
  <c r="T50" i="10"/>
  <c r="T56" i="10"/>
  <c r="T6" i="10"/>
  <c r="C36" i="44"/>
  <c r="C37" i="44" s="1"/>
  <c r="C66" i="44" s="1"/>
  <c r="C33" i="44"/>
  <c r="C35" i="44"/>
  <c r="F14" i="27"/>
  <c r="G2" i="31"/>
  <c r="F7" i="29"/>
  <c r="F106" i="6"/>
  <c r="O40" i="6"/>
  <c r="G106" i="6" s="1"/>
  <c r="F17" i="23"/>
  <c r="K86" i="20"/>
  <c r="G90" i="20"/>
  <c r="K90" i="20" s="1"/>
  <c r="G88" i="20"/>
  <c r="K88" i="20" s="1"/>
  <c r="C41" i="40"/>
  <c r="K25" i="40"/>
  <c r="S37" i="33"/>
  <c r="L56" i="33"/>
  <c r="R3" i="9"/>
  <c r="N3" i="9"/>
  <c r="Q3" i="9"/>
  <c r="M3" i="9"/>
  <c r="M16" i="9" s="1"/>
  <c r="U2" i="9"/>
  <c r="O3" i="9"/>
  <c r="L3" i="9"/>
  <c r="L16" i="9" s="1"/>
  <c r="P3" i="9"/>
  <c r="M54" i="33" l="1"/>
  <c r="L48" i="33"/>
  <c r="M56" i="33"/>
  <c r="D51" i="33"/>
  <c r="D52" i="33"/>
  <c r="D22" i="16"/>
  <c r="Z20" i="16" s="1"/>
  <c r="D21" i="9"/>
  <c r="E21" i="9" s="1"/>
  <c r="F21" i="9" s="1"/>
  <c r="G21" i="9" s="1"/>
  <c r="H21" i="9" s="1"/>
  <c r="I21" i="9" s="1"/>
  <c r="N16" i="9"/>
  <c r="O16" i="9" s="1"/>
  <c r="P16" i="9" s="1"/>
  <c r="Q16" i="9" s="1"/>
  <c r="R16" i="9" s="1"/>
  <c r="L17" i="9" s="1"/>
  <c r="M17" i="9" s="1"/>
  <c r="N17" i="9" s="1"/>
  <c r="O17" i="9" s="1"/>
  <c r="P17" i="9" s="1"/>
  <c r="Q17" i="9" s="1"/>
  <c r="R17" i="9" s="1"/>
  <c r="L18" i="9" s="1"/>
  <c r="M18" i="9" s="1"/>
  <c r="N18" i="9" s="1"/>
  <c r="O18" i="9" s="1"/>
  <c r="P18" i="9" s="1"/>
  <c r="Q18" i="9" s="1"/>
  <c r="R18" i="9" s="1"/>
  <c r="L19" i="9" s="1"/>
  <c r="M19" i="9" s="1"/>
  <c r="N19" i="9" s="1"/>
  <c r="O19" i="9" s="1"/>
  <c r="P19" i="9" s="1"/>
  <c r="Q19" i="9" s="1"/>
  <c r="R19" i="9" s="1"/>
  <c r="L20" i="9" s="1"/>
  <c r="M20" i="9" s="1"/>
  <c r="N20" i="9" s="1"/>
  <c r="O20" i="9" s="1"/>
  <c r="P20" i="9" s="1"/>
  <c r="Q20" i="9" s="1"/>
  <c r="R20" i="9" s="1"/>
  <c r="L21" i="9" s="1"/>
  <c r="J51" i="10"/>
  <c r="J58" i="10"/>
  <c r="J59" i="10" s="1"/>
  <c r="R52" i="33"/>
  <c r="V16" i="16"/>
  <c r="P51" i="33"/>
  <c r="N55" i="33"/>
  <c r="B26" i="16"/>
  <c r="B30" i="16" s="1"/>
  <c r="V24" i="16" s="1"/>
  <c r="P50" i="33"/>
  <c r="L52" i="33"/>
  <c r="C37" i="33"/>
  <c r="C67" i="44"/>
  <c r="C68" i="44" s="1"/>
  <c r="N14" i="33"/>
  <c r="C45" i="10"/>
  <c r="L54" i="33"/>
  <c r="L51" i="33"/>
  <c r="V20" i="7"/>
  <c r="U19" i="7"/>
  <c r="AM5" i="6" s="1"/>
  <c r="AL5" i="6"/>
  <c r="L49" i="33"/>
  <c r="L59" i="33"/>
  <c r="L60" i="33" s="1"/>
  <c r="R48" i="33"/>
  <c r="J62" i="10"/>
  <c r="J49" i="10"/>
  <c r="K32" i="10"/>
  <c r="G88" i="1"/>
  <c r="B88" i="1" s="1"/>
  <c r="A88" i="1"/>
  <c r="Q89" i="1"/>
  <c r="J57" i="33"/>
  <c r="J58" i="33" s="1"/>
  <c r="J61" i="33"/>
  <c r="J50" i="33"/>
  <c r="L47" i="10"/>
  <c r="L62" i="10" s="1"/>
  <c r="V26" i="33"/>
  <c r="M88" i="45"/>
  <c r="M83" i="45"/>
  <c r="M86" i="45"/>
  <c r="M85" i="45"/>
  <c r="M84" i="45"/>
  <c r="M89" i="45"/>
  <c r="M87" i="45"/>
  <c r="N88" i="45"/>
  <c r="N84" i="45"/>
  <c r="N87" i="45"/>
  <c r="N83" i="45"/>
  <c r="N86" i="45"/>
  <c r="N89" i="45"/>
  <c r="N85" i="45"/>
  <c r="O89" i="45"/>
  <c r="O85" i="45"/>
  <c r="O88" i="45"/>
  <c r="O84" i="45"/>
  <c r="O87" i="45"/>
  <c r="O83" i="45"/>
  <c r="O86" i="45"/>
  <c r="P84" i="45"/>
  <c r="P85" i="45"/>
  <c r="P86" i="45"/>
  <c r="P87" i="45"/>
  <c r="P88" i="45"/>
  <c r="P83" i="45"/>
  <c r="P89" i="45"/>
  <c r="Q84" i="45"/>
  <c r="Q87" i="45"/>
  <c r="P54" i="45"/>
  <c r="P55" i="45" s="1"/>
  <c r="P102" i="45"/>
  <c r="P79" i="45"/>
  <c r="P75" i="45"/>
  <c r="P96" i="45"/>
  <c r="P76" i="45"/>
  <c r="P101" i="45"/>
  <c r="P78" i="45"/>
  <c r="P74" i="45"/>
  <c r="P98" i="45"/>
  <c r="P100" i="45"/>
  <c r="P77" i="45"/>
  <c r="P73" i="45"/>
  <c r="P99" i="45"/>
  <c r="P97" i="45"/>
  <c r="Q56" i="45"/>
  <c r="Q59" i="45"/>
  <c r="Q58" i="45" s="1"/>
  <c r="Q53" i="45"/>
  <c r="R70" i="45"/>
  <c r="R69" i="45"/>
  <c r="R68" i="45"/>
  <c r="R67" i="45"/>
  <c r="R66" i="45"/>
  <c r="R65" i="45"/>
  <c r="R64" i="45"/>
  <c r="R47" i="45"/>
  <c r="Q88" i="45"/>
  <c r="Q89" i="45"/>
  <c r="Q83" i="45"/>
  <c r="Q86" i="45"/>
  <c r="Q85" i="45"/>
  <c r="U85" i="16"/>
  <c r="Y58" i="16"/>
  <c r="Y65" i="16" s="1"/>
  <c r="Y69" i="16"/>
  <c r="N52" i="33"/>
  <c r="N48" i="33"/>
  <c r="N51" i="33"/>
  <c r="N50" i="33"/>
  <c r="A8" i="7"/>
  <c r="G13" i="23"/>
  <c r="H8" i="23"/>
  <c r="G17" i="23"/>
  <c r="G14" i="23"/>
  <c r="G22" i="23"/>
  <c r="Q10" i="1"/>
  <c r="A9" i="1"/>
  <c r="G9" i="1"/>
  <c r="B9" i="1" s="1"/>
  <c r="G54" i="33"/>
  <c r="G59" i="33"/>
  <c r="G60" i="33" s="1"/>
  <c r="G56" i="33"/>
  <c r="X3" i="9"/>
  <c r="AA3" i="9"/>
  <c r="W3" i="9"/>
  <c r="W16" i="9" s="1"/>
  <c r="D2" i="9"/>
  <c r="Y3" i="9"/>
  <c r="V3" i="9"/>
  <c r="U3" i="9"/>
  <c r="U16" i="9" s="1"/>
  <c r="Z3" i="9"/>
  <c r="K26" i="40"/>
  <c r="K27" i="40" s="1"/>
  <c r="K28" i="40" s="1"/>
  <c r="K29" i="40" s="1"/>
  <c r="K30" i="40" s="1"/>
  <c r="K31" i="40" s="1"/>
  <c r="K32" i="40" s="1"/>
  <c r="K33" i="40" s="1"/>
  <c r="K34" i="40" s="1"/>
  <c r="K35" i="40" s="1"/>
  <c r="K36" i="40" s="1"/>
  <c r="K37" i="40" s="1"/>
  <c r="K38" i="40" s="1"/>
  <c r="K39" i="40" s="1"/>
  <c r="C42" i="40"/>
  <c r="O208" i="1"/>
  <c r="A207" i="1"/>
  <c r="Q207" i="1"/>
  <c r="G207" i="1" s="1"/>
  <c r="B207" i="1" s="1"/>
  <c r="H56" i="10"/>
  <c r="H13" i="10"/>
  <c r="H6" i="10"/>
  <c r="H36" i="10"/>
  <c r="H40" i="10"/>
  <c r="H50" i="10"/>
  <c r="D62" i="10"/>
  <c r="D51" i="10"/>
  <c r="C51" i="10" s="1"/>
  <c r="D58" i="10"/>
  <c r="C47" i="10"/>
  <c r="R56" i="33"/>
  <c r="R54" i="33"/>
  <c r="R39" i="33"/>
  <c r="R46" i="33" s="1"/>
  <c r="R59" i="33"/>
  <c r="R60" i="33" s="1"/>
  <c r="R49" i="33"/>
  <c r="L49" i="10"/>
  <c r="N4" i="10"/>
  <c r="F12" i="33"/>
  <c r="F38" i="33" s="1"/>
  <c r="C48" i="33"/>
  <c r="N61" i="33"/>
  <c r="N57" i="33"/>
  <c r="N58" i="33" s="1"/>
  <c r="O4" i="33"/>
  <c r="R55" i="10"/>
  <c r="R50" i="10"/>
  <c r="R60" i="10"/>
  <c r="R57" i="10"/>
  <c r="R39" i="10"/>
  <c r="R38" i="10"/>
  <c r="R61" i="10"/>
  <c r="G200" i="1"/>
  <c r="B200" i="1" s="1"/>
  <c r="A200" i="1"/>
  <c r="Q201" i="1"/>
  <c r="D16" i="23"/>
  <c r="C16" i="23"/>
  <c r="S32" i="10"/>
  <c r="C46" i="33"/>
  <c r="D61" i="33"/>
  <c r="C61" i="33" s="1"/>
  <c r="D57" i="33"/>
  <c r="K94" i="20"/>
  <c r="G125" i="1"/>
  <c r="B125" i="1" s="1"/>
  <c r="A125" i="1"/>
  <c r="Q126" i="1"/>
  <c r="U59" i="33"/>
  <c r="U60" i="33" s="1"/>
  <c r="U56" i="33"/>
  <c r="U54" i="33"/>
  <c r="T39" i="33"/>
  <c r="T4" i="33" s="1"/>
  <c r="G163" i="1"/>
  <c r="B163" i="1" s="1"/>
  <c r="A163" i="1"/>
  <c r="Q164" i="1"/>
  <c r="F99" i="6"/>
  <c r="N98" i="6"/>
  <c r="N99" i="6" s="1"/>
  <c r="J98" i="6"/>
  <c r="J99" i="6" s="1"/>
  <c r="Q133" i="1"/>
  <c r="G133" i="1" s="1"/>
  <c r="B133" i="1" s="1"/>
  <c r="O134" i="1"/>
  <c r="A133" i="1"/>
  <c r="M32" i="10"/>
  <c r="D50" i="33"/>
  <c r="L57" i="33"/>
  <c r="L58" i="33" s="1"/>
  <c r="L61" i="33"/>
  <c r="H2" i="31"/>
  <c r="G7" i="29"/>
  <c r="F49" i="10"/>
  <c r="P62" i="10"/>
  <c r="P58" i="10"/>
  <c r="P59" i="10" s="1"/>
  <c r="O61" i="1"/>
  <c r="A60" i="1"/>
  <c r="Q60" i="1"/>
  <c r="G60" i="1" s="1"/>
  <c r="B60" i="1" s="1"/>
  <c r="T47" i="10"/>
  <c r="U32" i="10"/>
  <c r="T49" i="10"/>
  <c r="S54" i="33"/>
  <c r="S56" i="33"/>
  <c r="S59" i="33"/>
  <c r="S60" i="33" s="1"/>
  <c r="F48" i="33"/>
  <c r="P52" i="10"/>
  <c r="P54" i="10"/>
  <c r="Q54" i="1"/>
  <c r="A53" i="1"/>
  <c r="G53" i="1"/>
  <c r="B53" i="1" s="1"/>
  <c r="L50" i="33"/>
  <c r="Q17" i="1"/>
  <c r="G17" i="1" s="1"/>
  <c r="B17" i="1" s="1"/>
  <c r="O18" i="1"/>
  <c r="A17" i="1"/>
  <c r="O98" i="1"/>
  <c r="A97" i="1"/>
  <c r="Q97" i="1"/>
  <c r="G97" i="1" s="1"/>
  <c r="B97" i="1" s="1"/>
  <c r="O171" i="1"/>
  <c r="A170" i="1"/>
  <c r="Q170" i="1"/>
  <c r="G170" i="1" s="1"/>
  <c r="B170" i="1" s="1"/>
  <c r="K10" i="40"/>
  <c r="K11" i="40" s="1"/>
  <c r="K12" i="40" s="1"/>
  <c r="K13" i="40" s="1"/>
  <c r="K14" i="40" s="1"/>
  <c r="K15" i="40" s="1"/>
  <c r="K16" i="40" s="1"/>
  <c r="K17" i="40" s="1"/>
  <c r="K18" i="40" s="1"/>
  <c r="C20" i="40"/>
  <c r="C49" i="10"/>
  <c r="F12" i="10"/>
  <c r="F37" i="10" s="1"/>
  <c r="G32" i="10" s="1"/>
  <c r="H14" i="33"/>
  <c r="H55" i="33"/>
  <c r="H40" i="33"/>
  <c r="H6" i="33"/>
  <c r="H36" i="33" s="1"/>
  <c r="H37" i="33" s="1"/>
  <c r="H49" i="33"/>
  <c r="R51" i="33"/>
  <c r="R47" i="10" l="1"/>
  <c r="V22" i="16"/>
  <c r="W38" i="16" s="1"/>
  <c r="U41" i="16"/>
  <c r="K21" i="9"/>
  <c r="T16" i="9" s="1"/>
  <c r="T17" i="9" s="1"/>
  <c r="T18" i="9" s="1"/>
  <c r="T19" i="9" s="1"/>
  <c r="T20" i="9" s="1"/>
  <c r="M21" i="9"/>
  <c r="N21" i="9" s="1"/>
  <c r="O21" i="9" s="1"/>
  <c r="P21" i="9" s="1"/>
  <c r="Q21" i="9" s="1"/>
  <c r="R21" i="9" s="1"/>
  <c r="V16" i="9"/>
  <c r="X16" i="9"/>
  <c r="Y16" i="9" s="1"/>
  <c r="Z16" i="9" s="1"/>
  <c r="AA16" i="9" s="1"/>
  <c r="U17" i="9" s="1"/>
  <c r="V17" i="9" s="1"/>
  <c r="W17" i="9" s="1"/>
  <c r="X17" i="9" s="1"/>
  <c r="Y17" i="9" s="1"/>
  <c r="Z17" i="9" s="1"/>
  <c r="AA17" i="9" s="1"/>
  <c r="U18" i="9" s="1"/>
  <c r="V18" i="9" s="1"/>
  <c r="W18" i="9" s="1"/>
  <c r="X18" i="9" s="1"/>
  <c r="Y18" i="9" s="1"/>
  <c r="Z18" i="9" s="1"/>
  <c r="AA18" i="9" s="1"/>
  <c r="U19" i="9" s="1"/>
  <c r="V19" i="9" s="1"/>
  <c r="W19" i="9" s="1"/>
  <c r="X19" i="9" s="1"/>
  <c r="Y19" i="9" s="1"/>
  <c r="Z19" i="9" s="1"/>
  <c r="AA19" i="9" s="1"/>
  <c r="U20" i="9" s="1"/>
  <c r="V20" i="9" s="1"/>
  <c r="W20" i="9" s="1"/>
  <c r="X20" i="9" s="1"/>
  <c r="Y20" i="9" s="1"/>
  <c r="Z20" i="9" s="1"/>
  <c r="AA20" i="9" s="1"/>
  <c r="U21" i="9" s="1"/>
  <c r="C50" i="33"/>
  <c r="Q90" i="1"/>
  <c r="A89" i="1"/>
  <c r="G89" i="1"/>
  <c r="B89" i="1" s="1"/>
  <c r="L51" i="10"/>
  <c r="L58" i="10"/>
  <c r="L59" i="10" s="1"/>
  <c r="C62" i="10"/>
  <c r="J52" i="10"/>
  <c r="J54" i="10"/>
  <c r="V21" i="7"/>
  <c r="U20" i="7"/>
  <c r="AM6" i="6" s="1"/>
  <c r="AL6" i="6"/>
  <c r="R59" i="45"/>
  <c r="R58" i="45" s="1"/>
  <c r="R56" i="45"/>
  <c r="R53" i="45"/>
  <c r="Q54" i="45"/>
  <c r="Q55" i="45" s="1"/>
  <c r="Q76" i="45"/>
  <c r="Q102" i="45"/>
  <c r="Q98" i="45"/>
  <c r="Q79" i="45"/>
  <c r="Q75" i="45"/>
  <c r="Q101" i="45"/>
  <c r="Q97" i="45"/>
  <c r="Q78" i="45"/>
  <c r="Q74" i="45"/>
  <c r="Q100" i="45"/>
  <c r="Q96" i="45"/>
  <c r="Q77" i="45"/>
  <c r="Q73" i="45"/>
  <c r="Q99" i="45"/>
  <c r="Y62" i="16"/>
  <c r="F52" i="10"/>
  <c r="F54" i="10"/>
  <c r="O61" i="33"/>
  <c r="O14" i="33"/>
  <c r="O6" i="33"/>
  <c r="O55" i="33"/>
  <c r="O99" i="1"/>
  <c r="Q98" i="1"/>
  <c r="G98" i="1" s="1"/>
  <c r="B98" i="1" s="1"/>
  <c r="A98" i="1"/>
  <c r="T54" i="10"/>
  <c r="T52" i="10"/>
  <c r="O62" i="1"/>
  <c r="Q61" i="1"/>
  <c r="G61" i="1" s="1"/>
  <c r="B61" i="1" s="1"/>
  <c r="A61" i="1"/>
  <c r="R57" i="33"/>
  <c r="R58" i="33" s="1"/>
  <c r="R61" i="33"/>
  <c r="R50" i="33"/>
  <c r="F56" i="33"/>
  <c r="F49" i="33"/>
  <c r="F59" i="33"/>
  <c r="F60" i="33" s="1"/>
  <c r="F39" i="33"/>
  <c r="F46" i="33" s="1"/>
  <c r="F54" i="33"/>
  <c r="F52" i="33"/>
  <c r="F51" i="33"/>
  <c r="Q11" i="1"/>
  <c r="A10" i="1"/>
  <c r="G10" i="1"/>
  <c r="B10" i="1" s="1"/>
  <c r="H13" i="23"/>
  <c r="I8" i="23"/>
  <c r="H22" i="23"/>
  <c r="H14" i="23"/>
  <c r="H15" i="23" s="1"/>
  <c r="H17" i="23"/>
  <c r="F55" i="10"/>
  <c r="F50" i="10"/>
  <c r="F39" i="10"/>
  <c r="F38" i="10"/>
  <c r="F57" i="10"/>
  <c r="F60" i="10"/>
  <c r="F61" i="10" s="1"/>
  <c r="A9" i="7"/>
  <c r="O172" i="1"/>
  <c r="A171" i="1"/>
  <c r="Q171" i="1"/>
  <c r="G171" i="1" s="1"/>
  <c r="B171" i="1" s="1"/>
  <c r="T62" i="10"/>
  <c r="T58" i="10"/>
  <c r="T59" i="10" s="1"/>
  <c r="T51" i="10"/>
  <c r="U4" i="10"/>
  <c r="I2" i="31"/>
  <c r="H7" i="29"/>
  <c r="L54" i="10"/>
  <c r="L52" i="10"/>
  <c r="T14" i="33"/>
  <c r="T55" i="33"/>
  <c r="T6" i="33"/>
  <c r="T36" i="33" s="1"/>
  <c r="T37" i="33" s="1"/>
  <c r="T40" i="33"/>
  <c r="T49" i="33"/>
  <c r="R52" i="10"/>
  <c r="R54" i="10"/>
  <c r="A201" i="1"/>
  <c r="Q202" i="1"/>
  <c r="G201" i="1"/>
  <c r="B201" i="1" s="1"/>
  <c r="R62" i="10"/>
  <c r="R58" i="10"/>
  <c r="R59" i="10" s="1"/>
  <c r="R51" i="10"/>
  <c r="N56" i="10"/>
  <c r="N36" i="10"/>
  <c r="N13" i="10"/>
  <c r="N6" i="10"/>
  <c r="N40" i="10"/>
  <c r="N50" i="10"/>
  <c r="H42" i="33"/>
  <c r="H45" i="33" s="1"/>
  <c r="H46" i="33" s="1"/>
  <c r="H41" i="33"/>
  <c r="Q55" i="1"/>
  <c r="A54" i="1"/>
  <c r="G54" i="1"/>
  <c r="B54" i="1" s="1"/>
  <c r="Q134" i="1"/>
  <c r="G134" i="1" s="1"/>
  <c r="B134" i="1" s="1"/>
  <c r="O135" i="1"/>
  <c r="A134" i="1"/>
  <c r="O19" i="1"/>
  <c r="Q18" i="1"/>
  <c r="G18" i="1" s="1"/>
  <c r="B18" i="1" s="1"/>
  <c r="A18" i="1"/>
  <c r="A164" i="1"/>
  <c r="Q165" i="1"/>
  <c r="G164" i="1"/>
  <c r="B164" i="1" s="1"/>
  <c r="A126" i="1"/>
  <c r="Q127" i="1"/>
  <c r="G126" i="1"/>
  <c r="B126" i="1" s="1"/>
  <c r="D58" i="33"/>
  <c r="C58" i="33" s="1"/>
  <c r="C57" i="33"/>
  <c r="C58" i="10"/>
  <c r="D59" i="10"/>
  <c r="C59" i="10" s="1"/>
  <c r="H46" i="10"/>
  <c r="H42" i="10"/>
  <c r="H45" i="10" s="1"/>
  <c r="H47" i="10" s="1"/>
  <c r="H51" i="10" s="1"/>
  <c r="O209" i="1"/>
  <c r="A208" i="1"/>
  <c r="Q208" i="1"/>
  <c r="G208" i="1" s="1"/>
  <c r="B208" i="1" s="1"/>
  <c r="G4" i="9"/>
  <c r="C4" i="9"/>
  <c r="C25" i="9" s="1"/>
  <c r="N2" i="9"/>
  <c r="F4" i="9"/>
  <c r="H4" i="9"/>
  <c r="H25" i="9" s="1"/>
  <c r="E4" i="9"/>
  <c r="D4" i="9"/>
  <c r="I4" i="9"/>
  <c r="G16" i="23"/>
  <c r="G15" i="23"/>
  <c r="D25" i="9" l="1"/>
  <c r="I25" i="9"/>
  <c r="C26" i="9" s="1"/>
  <c r="D26" i="9" s="1"/>
  <c r="E26" i="9" s="1"/>
  <c r="F26" i="9" s="1"/>
  <c r="G26" i="9" s="1"/>
  <c r="H26" i="9" s="1"/>
  <c r="I26" i="9" s="1"/>
  <c r="C27" i="9" s="1"/>
  <c r="D27" i="9" s="1"/>
  <c r="E27" i="9" s="1"/>
  <c r="F27" i="9" s="1"/>
  <c r="G27" i="9" s="1"/>
  <c r="H27" i="9" s="1"/>
  <c r="I27" i="9" s="1"/>
  <c r="C28" i="9" s="1"/>
  <c r="D28" i="9" s="1"/>
  <c r="E28" i="9" s="1"/>
  <c r="F28" i="9" s="1"/>
  <c r="G28" i="9" s="1"/>
  <c r="H28" i="9" s="1"/>
  <c r="I28" i="9" s="1"/>
  <c r="C29" i="9" s="1"/>
  <c r="D29" i="9" s="1"/>
  <c r="E29" i="9" s="1"/>
  <c r="F29" i="9" s="1"/>
  <c r="G29" i="9" s="1"/>
  <c r="H29" i="9" s="1"/>
  <c r="I29" i="9" s="1"/>
  <c r="C30" i="9" s="1"/>
  <c r="D30" i="9" s="1"/>
  <c r="E30" i="9" s="1"/>
  <c r="F30" i="9" s="1"/>
  <c r="G30" i="9" s="1"/>
  <c r="H30" i="9" s="1"/>
  <c r="I30" i="9" s="1"/>
  <c r="T21" i="9"/>
  <c r="B25" i="9" s="1"/>
  <c r="B26" i="9" s="1"/>
  <c r="B27" i="9" s="1"/>
  <c r="B28" i="9" s="1"/>
  <c r="B29" i="9" s="1"/>
  <c r="V21" i="9"/>
  <c r="W21" i="9" s="1"/>
  <c r="X21" i="9" s="1"/>
  <c r="Y21" i="9" s="1"/>
  <c r="Z21" i="9" s="1"/>
  <c r="AA21" i="9" s="1"/>
  <c r="E25" i="9"/>
  <c r="F25" i="9" s="1"/>
  <c r="G25" i="9" s="1"/>
  <c r="F47" i="10"/>
  <c r="F62" i="10" s="1"/>
  <c r="V22" i="7"/>
  <c r="U21" i="7"/>
  <c r="AM7" i="6" s="1"/>
  <c r="AL7" i="6"/>
  <c r="A90" i="1"/>
  <c r="Q91" i="1"/>
  <c r="G90" i="1"/>
  <c r="B90" i="1" s="1"/>
  <c r="R54" i="45"/>
  <c r="R55" i="45" s="1"/>
  <c r="R78" i="45"/>
  <c r="R74" i="45"/>
  <c r="R99" i="45"/>
  <c r="R76" i="45"/>
  <c r="R98" i="45"/>
  <c r="R100" i="45"/>
  <c r="R77" i="45"/>
  <c r="R73" i="45"/>
  <c r="R97" i="45"/>
  <c r="R102" i="45"/>
  <c r="R101" i="45"/>
  <c r="R79" i="45"/>
  <c r="R75" i="45"/>
  <c r="R96" i="45"/>
  <c r="H61" i="33"/>
  <c r="I4" i="33"/>
  <c r="H57" i="33"/>
  <c r="H58" i="33" s="1"/>
  <c r="I7" i="29"/>
  <c r="J2" i="31"/>
  <c r="Q62" i="1"/>
  <c r="G62" i="1" s="1"/>
  <c r="B62" i="1" s="1"/>
  <c r="O63" i="1"/>
  <c r="A62" i="1"/>
  <c r="H51" i="33"/>
  <c r="Q4" i="9"/>
  <c r="M4" i="9"/>
  <c r="M25" i="9" s="1"/>
  <c r="V2" i="9"/>
  <c r="P4" i="9"/>
  <c r="L4" i="9"/>
  <c r="L25" i="9" s="1"/>
  <c r="R4" i="9"/>
  <c r="O4" i="9"/>
  <c r="N4" i="9"/>
  <c r="G165" i="1"/>
  <c r="B165" i="1" s="1"/>
  <c r="A165" i="1"/>
  <c r="Q166" i="1"/>
  <c r="N42" i="10"/>
  <c r="N45" i="10" s="1"/>
  <c r="N47" i="10" s="1"/>
  <c r="N51" i="10" s="1"/>
  <c r="N46" i="10"/>
  <c r="U6" i="10"/>
  <c r="U62" i="10"/>
  <c r="U56" i="10"/>
  <c r="Q99" i="1"/>
  <c r="G99" i="1" s="1"/>
  <c r="B99" i="1" s="1"/>
  <c r="O100" i="1"/>
  <c r="A99" i="1"/>
  <c r="H52" i="33"/>
  <c r="F58" i="10"/>
  <c r="F59" i="10" s="1"/>
  <c r="F51" i="10"/>
  <c r="I13" i="23"/>
  <c r="J8" i="23"/>
  <c r="I14" i="23"/>
  <c r="I22" i="23"/>
  <c r="I17" i="23"/>
  <c r="Q12" i="1"/>
  <c r="A11" i="1"/>
  <c r="G11" i="1"/>
  <c r="B11" i="1" s="1"/>
  <c r="Q209" i="1"/>
  <c r="G209" i="1" s="1"/>
  <c r="B209" i="1" s="1"/>
  <c r="O210" i="1"/>
  <c r="A209" i="1"/>
  <c r="G127" i="1"/>
  <c r="B127" i="1" s="1"/>
  <c r="A127" i="1"/>
  <c r="Q128" i="1"/>
  <c r="O20" i="1"/>
  <c r="A19" i="1"/>
  <c r="Q19" i="1"/>
  <c r="G19" i="1" s="1"/>
  <c r="B19" i="1" s="1"/>
  <c r="H49" i="10"/>
  <c r="O136" i="1"/>
  <c r="A135" i="1"/>
  <c r="Q135" i="1"/>
  <c r="G135" i="1" s="1"/>
  <c r="B135" i="1" s="1"/>
  <c r="A55" i="1"/>
  <c r="G55" i="1"/>
  <c r="B55" i="1" s="1"/>
  <c r="G202" i="1"/>
  <c r="B202" i="1" s="1"/>
  <c r="A202" i="1"/>
  <c r="Q203" i="1"/>
  <c r="A10" i="7"/>
  <c r="H16" i="23"/>
  <c r="F57" i="33"/>
  <c r="F58" i="33" s="1"/>
  <c r="F61" i="33"/>
  <c r="F50" i="33"/>
  <c r="H50" i="33"/>
  <c r="O32" i="10"/>
  <c r="H62" i="10"/>
  <c r="I4" i="10"/>
  <c r="H58" i="10"/>
  <c r="H59" i="10" s="1"/>
  <c r="I32" i="10"/>
  <c r="T42" i="33"/>
  <c r="T45" i="33" s="1"/>
  <c r="T46" i="33" s="1"/>
  <c r="T41" i="33"/>
  <c r="Q172" i="1"/>
  <c r="G172" i="1" s="1"/>
  <c r="B172" i="1" s="1"/>
  <c r="O173" i="1"/>
  <c r="A172" i="1"/>
  <c r="H48" i="33"/>
  <c r="B30" i="9" l="1"/>
  <c r="K25" i="9" s="1"/>
  <c r="K26" i="9" s="1"/>
  <c r="K27" i="9" s="1"/>
  <c r="K28" i="9" s="1"/>
  <c r="K29" i="9" s="1"/>
  <c r="N25" i="9"/>
  <c r="O25" i="9" s="1"/>
  <c r="P25" i="9" s="1"/>
  <c r="Q25" i="9" s="1"/>
  <c r="R25" i="9" s="1"/>
  <c r="L26" i="9" s="1"/>
  <c r="M26" i="9" s="1"/>
  <c r="N26" i="9" s="1"/>
  <c r="O26" i="9" s="1"/>
  <c r="P26" i="9" s="1"/>
  <c r="Q26" i="9" s="1"/>
  <c r="R26" i="9" s="1"/>
  <c r="L27" i="9" s="1"/>
  <c r="M27" i="9" s="1"/>
  <c r="N27" i="9" s="1"/>
  <c r="O27" i="9" s="1"/>
  <c r="P27" i="9" s="1"/>
  <c r="Q27" i="9" s="1"/>
  <c r="R27" i="9" s="1"/>
  <c r="L28" i="9" s="1"/>
  <c r="M28" i="9" s="1"/>
  <c r="N28" i="9" s="1"/>
  <c r="O28" i="9" s="1"/>
  <c r="P28" i="9" s="1"/>
  <c r="Q28" i="9" s="1"/>
  <c r="R28" i="9" s="1"/>
  <c r="L29" i="9" s="1"/>
  <c r="M29" i="9" s="1"/>
  <c r="N29" i="9" s="1"/>
  <c r="O29" i="9" s="1"/>
  <c r="P29" i="9" s="1"/>
  <c r="Q29" i="9" s="1"/>
  <c r="R29" i="9" s="1"/>
  <c r="L30" i="9" s="1"/>
  <c r="T51" i="33"/>
  <c r="Q92" i="1"/>
  <c r="A91" i="1"/>
  <c r="G91" i="1"/>
  <c r="B91" i="1" s="1"/>
  <c r="V23" i="7"/>
  <c r="U22" i="7"/>
  <c r="AM8" i="6" s="1"/>
  <c r="AL8" i="6"/>
  <c r="H52" i="10"/>
  <c r="H54" i="10"/>
  <c r="N52" i="10"/>
  <c r="N54" i="10"/>
  <c r="AA4" i="9"/>
  <c r="W4" i="9"/>
  <c r="E2" i="9"/>
  <c r="Z4" i="9"/>
  <c r="V4" i="9"/>
  <c r="Y4" i="9"/>
  <c r="X4" i="9"/>
  <c r="X25" i="9" s="1"/>
  <c r="U4" i="9"/>
  <c r="U25" i="9" s="1"/>
  <c r="U4" i="33"/>
  <c r="T61" i="33"/>
  <c r="T57" i="33"/>
  <c r="T58" i="33" s="1"/>
  <c r="O64" i="1"/>
  <c r="A63" i="1"/>
  <c r="Q63" i="1"/>
  <c r="G63" i="1" s="1"/>
  <c r="B63" i="1" s="1"/>
  <c r="Q173" i="1"/>
  <c r="G173" i="1" s="1"/>
  <c r="B173" i="1" s="1"/>
  <c r="O174" i="1"/>
  <c r="A173" i="1"/>
  <c r="I56" i="10"/>
  <c r="I62" i="10"/>
  <c r="I6" i="10"/>
  <c r="I13" i="10"/>
  <c r="N49" i="10"/>
  <c r="A11" i="7"/>
  <c r="O137" i="1"/>
  <c r="A136" i="1"/>
  <c r="Q136" i="1"/>
  <c r="G136" i="1" s="1"/>
  <c r="B136" i="1" s="1"/>
  <c r="I16" i="23"/>
  <c r="I15" i="23"/>
  <c r="T48" i="33"/>
  <c r="Q100" i="1"/>
  <c r="G100" i="1" s="1"/>
  <c r="B100" i="1" s="1"/>
  <c r="O101" i="1"/>
  <c r="A100" i="1"/>
  <c r="A203" i="1"/>
  <c r="G203" i="1"/>
  <c r="B203" i="1" s="1"/>
  <c r="A128" i="1"/>
  <c r="Q129" i="1"/>
  <c r="G128" i="1"/>
  <c r="B128" i="1" s="1"/>
  <c r="Q210" i="1"/>
  <c r="G210" i="1" s="1"/>
  <c r="B210" i="1" s="1"/>
  <c r="A210" i="1"/>
  <c r="O211" i="1"/>
  <c r="A12" i="1"/>
  <c r="G12" i="1"/>
  <c r="B12" i="1" s="1"/>
  <c r="J13" i="23"/>
  <c r="K8" i="23"/>
  <c r="J17" i="23"/>
  <c r="J14" i="23"/>
  <c r="J15" i="23" s="1"/>
  <c r="J22" i="23"/>
  <c r="T50" i="33"/>
  <c r="K2" i="31"/>
  <c r="J7" i="29"/>
  <c r="I61" i="33"/>
  <c r="I55" i="33"/>
  <c r="I6" i="33"/>
  <c r="I14" i="33"/>
  <c r="N62" i="10"/>
  <c r="N58" i="10"/>
  <c r="N59" i="10" s="1"/>
  <c r="O4" i="10"/>
  <c r="A166" i="1"/>
  <c r="G166" i="1"/>
  <c r="B166" i="1" s="1"/>
  <c r="T52" i="33"/>
  <c r="A20" i="1"/>
  <c r="O21" i="1"/>
  <c r="Q20" i="1"/>
  <c r="G20" i="1" s="1"/>
  <c r="B20" i="1" s="1"/>
  <c r="M30" i="9" l="1"/>
  <c r="N30" i="9" s="1"/>
  <c r="O30" i="9" s="1"/>
  <c r="P30" i="9" s="1"/>
  <c r="Q30" i="9" s="1"/>
  <c r="R30" i="9" s="1"/>
  <c r="K30" i="9"/>
  <c r="T25" i="9" s="1"/>
  <c r="T26" i="9" s="1"/>
  <c r="T27" i="9" s="1"/>
  <c r="T28" i="9" s="1"/>
  <c r="T29" i="9" s="1"/>
  <c r="Y25" i="9"/>
  <c r="Z25" i="9" s="1"/>
  <c r="AA25" i="9" s="1"/>
  <c r="U26" i="9" s="1"/>
  <c r="V26" i="9" s="1"/>
  <c r="W26" i="9" s="1"/>
  <c r="X26" i="9" s="1"/>
  <c r="Y26" i="9" s="1"/>
  <c r="Z26" i="9" s="1"/>
  <c r="AA26" i="9" s="1"/>
  <c r="U27" i="9" s="1"/>
  <c r="V27" i="9" s="1"/>
  <c r="W27" i="9" s="1"/>
  <c r="X27" i="9" s="1"/>
  <c r="Y27" i="9" s="1"/>
  <c r="Z27" i="9" s="1"/>
  <c r="AA27" i="9" s="1"/>
  <c r="U28" i="9" s="1"/>
  <c r="V28" i="9" s="1"/>
  <c r="W28" i="9" s="1"/>
  <c r="X28" i="9" s="1"/>
  <c r="Y28" i="9" s="1"/>
  <c r="Z28" i="9" s="1"/>
  <c r="AA28" i="9" s="1"/>
  <c r="U29" i="9" s="1"/>
  <c r="V29" i="9" s="1"/>
  <c r="W29" i="9" s="1"/>
  <c r="X29" i="9" s="1"/>
  <c r="Y29" i="9" s="1"/>
  <c r="Z29" i="9" s="1"/>
  <c r="AA29" i="9" s="1"/>
  <c r="U30" i="9" s="1"/>
  <c r="V25" i="9"/>
  <c r="W25" i="9" s="1"/>
  <c r="V24" i="7"/>
  <c r="U23" i="7"/>
  <c r="AM9" i="6" s="1"/>
  <c r="AL9" i="6"/>
  <c r="A92" i="1"/>
  <c r="G92" i="1"/>
  <c r="B92" i="1" s="1"/>
  <c r="U61" i="33"/>
  <c r="U55" i="33"/>
  <c r="U6" i="33"/>
  <c r="U14" i="33"/>
  <c r="O56" i="10"/>
  <c r="O62" i="10"/>
  <c r="O13" i="10"/>
  <c r="O6" i="10"/>
  <c r="L2" i="31"/>
  <c r="K7" i="29"/>
  <c r="K13" i="23"/>
  <c r="L8" i="23"/>
  <c r="K14" i="23"/>
  <c r="K15" i="23" s="1"/>
  <c r="K22" i="23"/>
  <c r="K17" i="23"/>
  <c r="O212" i="1"/>
  <c r="A211" i="1"/>
  <c r="Q211" i="1"/>
  <c r="G211" i="1" s="1"/>
  <c r="B211" i="1" s="1"/>
  <c r="G129" i="1"/>
  <c r="B129" i="1" s="1"/>
  <c r="A129" i="1"/>
  <c r="A12" i="7"/>
  <c r="F5" i="9"/>
  <c r="I5" i="9"/>
  <c r="E5" i="9"/>
  <c r="C5" i="9"/>
  <c r="C34" i="9" s="1"/>
  <c r="O2" i="9"/>
  <c r="H5" i="9"/>
  <c r="H34" i="9" s="1"/>
  <c r="G5" i="9"/>
  <c r="D5" i="9"/>
  <c r="J16" i="23"/>
  <c r="A101" i="1"/>
  <c r="Q101" i="1"/>
  <c r="G101" i="1" s="1"/>
  <c r="B101" i="1" s="1"/>
  <c r="O102" i="1"/>
  <c r="O175" i="1"/>
  <c r="A174" i="1"/>
  <c r="Q174" i="1"/>
  <c r="G174" i="1" s="1"/>
  <c r="B174" i="1" s="1"/>
  <c r="O65" i="1"/>
  <c r="A64" i="1"/>
  <c r="Q64" i="1"/>
  <c r="G64" i="1" s="1"/>
  <c r="B64" i="1" s="1"/>
  <c r="Q137" i="1"/>
  <c r="G137" i="1" s="1"/>
  <c r="B137" i="1" s="1"/>
  <c r="O138" i="1"/>
  <c r="A137" i="1"/>
  <c r="Q21" i="1"/>
  <c r="G21" i="1" s="1"/>
  <c r="B21" i="1" s="1"/>
  <c r="O22" i="1"/>
  <c r="A21" i="1"/>
  <c r="I34" i="9" l="1"/>
  <c r="C35" i="9" s="1"/>
  <c r="D35" i="9" s="1"/>
  <c r="E35" i="9" s="1"/>
  <c r="F35" i="9" s="1"/>
  <c r="G35" i="9" s="1"/>
  <c r="H35" i="9" s="1"/>
  <c r="I35" i="9" s="1"/>
  <c r="C36" i="9" s="1"/>
  <c r="D36" i="9" s="1"/>
  <c r="E36" i="9" s="1"/>
  <c r="F36" i="9" s="1"/>
  <c r="G36" i="9" s="1"/>
  <c r="H36" i="9" s="1"/>
  <c r="I36" i="9" s="1"/>
  <c r="C37" i="9" s="1"/>
  <c r="D37" i="9" s="1"/>
  <c r="E37" i="9" s="1"/>
  <c r="F37" i="9" s="1"/>
  <c r="G37" i="9" s="1"/>
  <c r="H37" i="9" s="1"/>
  <c r="I37" i="9" s="1"/>
  <c r="C38" i="9" s="1"/>
  <c r="D38" i="9" s="1"/>
  <c r="E38" i="9" s="1"/>
  <c r="F38" i="9" s="1"/>
  <c r="G38" i="9" s="1"/>
  <c r="H38" i="9" s="1"/>
  <c r="I38" i="9" s="1"/>
  <c r="C39" i="9" s="1"/>
  <c r="D34" i="9"/>
  <c r="E34" i="9" s="1"/>
  <c r="F34" i="9" s="1"/>
  <c r="G34" i="9" s="1"/>
  <c r="T30" i="9"/>
  <c r="B34" i="9" s="1"/>
  <c r="B35" i="9" s="1"/>
  <c r="B36" i="9" s="1"/>
  <c r="B37" i="9" s="1"/>
  <c r="B38" i="9" s="1"/>
  <c r="V30" i="9"/>
  <c r="W30" i="9" s="1"/>
  <c r="X30" i="9" s="1"/>
  <c r="Y30" i="9" s="1"/>
  <c r="Z30" i="9" s="1"/>
  <c r="AA30" i="9" s="1"/>
  <c r="V25" i="7"/>
  <c r="U24" i="7"/>
  <c r="AM10" i="6" s="1"/>
  <c r="AL10" i="6"/>
  <c r="O103" i="1"/>
  <c r="Q102" i="1"/>
  <c r="G102" i="1" s="1"/>
  <c r="B102" i="1" s="1"/>
  <c r="A102" i="1"/>
  <c r="P5" i="9"/>
  <c r="L5" i="9"/>
  <c r="L34" i="9" s="1"/>
  <c r="O5" i="9"/>
  <c r="M5" i="9"/>
  <c r="M34" i="9" s="1"/>
  <c r="R5" i="9"/>
  <c r="Q5" i="9"/>
  <c r="W2" i="9"/>
  <c r="N5" i="9"/>
  <c r="N34" i="9" s="1"/>
  <c r="O34" i="9" s="1"/>
  <c r="P34" i="9" s="1"/>
  <c r="Q34" i="9" s="1"/>
  <c r="R34" i="9" s="1"/>
  <c r="L35" i="9" s="1"/>
  <c r="M35" i="9" s="1"/>
  <c r="N35" i="9" s="1"/>
  <c r="O35" i="9" s="1"/>
  <c r="P35" i="9" s="1"/>
  <c r="Q35" i="9" s="1"/>
  <c r="R35" i="9" s="1"/>
  <c r="L36" i="9" s="1"/>
  <c r="M36" i="9" s="1"/>
  <c r="N36" i="9" s="1"/>
  <c r="O36" i="9" s="1"/>
  <c r="P36" i="9" s="1"/>
  <c r="Q36" i="9" s="1"/>
  <c r="R36" i="9" s="1"/>
  <c r="L37" i="9" s="1"/>
  <c r="M37" i="9" s="1"/>
  <c r="N37" i="9" s="1"/>
  <c r="O37" i="9" s="1"/>
  <c r="P37" i="9" s="1"/>
  <c r="Q37" i="9" s="1"/>
  <c r="R37" i="9" s="1"/>
  <c r="L38" i="9" s="1"/>
  <c r="M38" i="9" s="1"/>
  <c r="N38" i="9" s="1"/>
  <c r="O38" i="9" s="1"/>
  <c r="P38" i="9" s="1"/>
  <c r="Q38" i="9" s="1"/>
  <c r="R38" i="9" s="1"/>
  <c r="L39" i="9" s="1"/>
  <c r="O176" i="1"/>
  <c r="A175" i="1"/>
  <c r="Q175" i="1"/>
  <c r="G175" i="1" s="1"/>
  <c r="B175" i="1" s="1"/>
  <c r="K16" i="23"/>
  <c r="M2" i="31"/>
  <c r="L7" i="29"/>
  <c r="O23" i="1"/>
  <c r="Q22" i="1"/>
  <c r="G22" i="1" s="1"/>
  <c r="B22" i="1" s="1"/>
  <c r="A22" i="1"/>
  <c r="Q138" i="1"/>
  <c r="G138" i="1" s="1"/>
  <c r="B138" i="1" s="1"/>
  <c r="O139" i="1"/>
  <c r="A138" i="1"/>
  <c r="O66" i="1"/>
  <c r="Q65" i="1"/>
  <c r="G65" i="1" s="1"/>
  <c r="B65" i="1" s="1"/>
  <c r="A65" i="1"/>
  <c r="A13" i="7"/>
  <c r="O213" i="1"/>
  <c r="A212" i="1"/>
  <c r="Q212" i="1"/>
  <c r="G212" i="1" s="1"/>
  <c r="B212" i="1" s="1"/>
  <c r="L13" i="23"/>
  <c r="M8" i="23"/>
  <c r="L17" i="23"/>
  <c r="L14" i="23"/>
  <c r="L22" i="23"/>
  <c r="B39" i="9" l="1"/>
  <c r="K34" i="9" s="1"/>
  <c r="K35" i="9" s="1"/>
  <c r="K36" i="9" s="1"/>
  <c r="K37" i="9" s="1"/>
  <c r="K38" i="9" s="1"/>
  <c r="D39" i="9"/>
  <c r="E39" i="9" s="1"/>
  <c r="F39" i="9" s="1"/>
  <c r="G39" i="9" s="1"/>
  <c r="H39" i="9" s="1"/>
  <c r="I39" i="9" s="1"/>
  <c r="K39" i="9"/>
  <c r="M39" i="9"/>
  <c r="N39" i="9" s="1"/>
  <c r="O39" i="9" s="1"/>
  <c r="P39" i="9" s="1"/>
  <c r="Q39" i="9" s="1"/>
  <c r="R39" i="9" s="1"/>
  <c r="V26" i="7"/>
  <c r="U25" i="7"/>
  <c r="AM11" i="6" s="1"/>
  <c r="AL11" i="6"/>
  <c r="L16" i="23"/>
  <c r="L15" i="23"/>
  <c r="M13" i="23"/>
  <c r="N8" i="23"/>
  <c r="M22" i="23"/>
  <c r="M14" i="23"/>
  <c r="M15" i="23" s="1"/>
  <c r="M17" i="23"/>
  <c r="Q213" i="1"/>
  <c r="G213" i="1" s="1"/>
  <c r="B213" i="1" s="1"/>
  <c r="O214" i="1"/>
  <c r="A213" i="1"/>
  <c r="Q176" i="1"/>
  <c r="G176" i="1" s="1"/>
  <c r="B176" i="1" s="1"/>
  <c r="O177" i="1"/>
  <c r="A176" i="1"/>
  <c r="Z5" i="9"/>
  <c r="V5" i="9"/>
  <c r="Y5" i="9"/>
  <c r="Y34" i="9" s="1"/>
  <c r="U5" i="9"/>
  <c r="U34" i="9" s="1"/>
  <c r="W5" i="9"/>
  <c r="AA5" i="9"/>
  <c r="F2" i="9"/>
  <c r="X5" i="9"/>
  <c r="A14" i="7"/>
  <c r="Q66" i="1"/>
  <c r="G66" i="1" s="1"/>
  <c r="B66" i="1" s="1"/>
  <c r="O67" i="1"/>
  <c r="A66" i="1"/>
  <c r="M7" i="29"/>
  <c r="N2" i="31"/>
  <c r="O104" i="1"/>
  <c r="Q103" i="1"/>
  <c r="G103" i="1" s="1"/>
  <c r="B103" i="1" s="1"/>
  <c r="A103" i="1"/>
  <c r="O140" i="1"/>
  <c r="A139" i="1"/>
  <c r="Q139" i="1"/>
  <c r="G139" i="1" s="1"/>
  <c r="B139" i="1" s="1"/>
  <c r="O24" i="1"/>
  <c r="A23" i="1"/>
  <c r="Q23" i="1"/>
  <c r="G23" i="1" s="1"/>
  <c r="B23" i="1" s="1"/>
  <c r="V34" i="9" l="1"/>
  <c r="W34" i="9" s="1"/>
  <c r="X34" i="9" s="1"/>
  <c r="Z34" i="9"/>
  <c r="AA34" i="9" s="1"/>
  <c r="U35" i="9" s="1"/>
  <c r="V35" i="9" s="1"/>
  <c r="W35" i="9" s="1"/>
  <c r="X35" i="9" s="1"/>
  <c r="Y35" i="9" s="1"/>
  <c r="Z35" i="9" s="1"/>
  <c r="AA35" i="9" s="1"/>
  <c r="U36" i="9" s="1"/>
  <c r="V36" i="9" s="1"/>
  <c r="W36" i="9" s="1"/>
  <c r="X36" i="9" s="1"/>
  <c r="Y36" i="9" s="1"/>
  <c r="Z36" i="9" s="1"/>
  <c r="AA36" i="9" s="1"/>
  <c r="U37" i="9" s="1"/>
  <c r="V37" i="9" s="1"/>
  <c r="W37" i="9" s="1"/>
  <c r="X37" i="9" s="1"/>
  <c r="Y37" i="9" s="1"/>
  <c r="Z37" i="9" s="1"/>
  <c r="AA37" i="9" s="1"/>
  <c r="U38" i="9" s="1"/>
  <c r="V38" i="9" s="1"/>
  <c r="W38" i="9" s="1"/>
  <c r="X38" i="9" s="1"/>
  <c r="Y38" i="9" s="1"/>
  <c r="Z38" i="9" s="1"/>
  <c r="AA38" i="9" s="1"/>
  <c r="U39" i="9" s="1"/>
  <c r="T34" i="9"/>
  <c r="T35" i="9" s="1"/>
  <c r="T36" i="9" s="1"/>
  <c r="T37" i="9" s="1"/>
  <c r="T38" i="9" s="1"/>
  <c r="V27" i="7"/>
  <c r="AL12" i="6"/>
  <c r="U26" i="7"/>
  <c r="AM12" i="6" s="1"/>
  <c r="O2" i="31"/>
  <c r="N7" i="29"/>
  <c r="I6" i="9"/>
  <c r="I43" i="9" s="1"/>
  <c r="C44" i="9" s="1"/>
  <c r="D44" i="9" s="1"/>
  <c r="E44" i="9" s="1"/>
  <c r="F44" i="9" s="1"/>
  <c r="G44" i="9" s="1"/>
  <c r="H44" i="9" s="1"/>
  <c r="I44" i="9" s="1"/>
  <c r="C45" i="9" s="1"/>
  <c r="D45" i="9" s="1"/>
  <c r="E45" i="9" s="1"/>
  <c r="F45" i="9" s="1"/>
  <c r="G45" i="9" s="1"/>
  <c r="H45" i="9" s="1"/>
  <c r="I45" i="9" s="1"/>
  <c r="C46" i="9" s="1"/>
  <c r="D46" i="9" s="1"/>
  <c r="E46" i="9" s="1"/>
  <c r="F46" i="9" s="1"/>
  <c r="G46" i="9" s="1"/>
  <c r="H46" i="9" s="1"/>
  <c r="I46" i="9" s="1"/>
  <c r="C47" i="9" s="1"/>
  <c r="D47" i="9" s="1"/>
  <c r="E47" i="9" s="1"/>
  <c r="F47" i="9" s="1"/>
  <c r="G47" i="9" s="1"/>
  <c r="H47" i="9" s="1"/>
  <c r="I47" i="9" s="1"/>
  <c r="C48" i="9" s="1"/>
  <c r="D48" i="9" s="1"/>
  <c r="E48" i="9" s="1"/>
  <c r="F48" i="9" s="1"/>
  <c r="G48" i="9" s="1"/>
  <c r="H48" i="9" s="1"/>
  <c r="I48" i="9" s="1"/>
  <c r="E6" i="9"/>
  <c r="H6" i="9"/>
  <c r="D6" i="9"/>
  <c r="F6" i="9"/>
  <c r="C6" i="9"/>
  <c r="C43" i="9" s="1"/>
  <c r="D43" i="9" s="1"/>
  <c r="E43" i="9" s="1"/>
  <c r="F43" i="9" s="1"/>
  <c r="G6" i="9"/>
  <c r="P2" i="9"/>
  <c r="Q177" i="1"/>
  <c r="G177" i="1" s="1"/>
  <c r="B177" i="1" s="1"/>
  <c r="A177" i="1"/>
  <c r="O178" i="1"/>
  <c r="N13" i="23"/>
  <c r="O8" i="23"/>
  <c r="N14" i="23"/>
  <c r="N15" i="23" s="1"/>
  <c r="N17" i="23"/>
  <c r="N22" i="23"/>
  <c r="O141" i="1"/>
  <c r="A140" i="1"/>
  <c r="Q140" i="1"/>
  <c r="G140" i="1" s="1"/>
  <c r="B140" i="1" s="1"/>
  <c r="A15" i="7"/>
  <c r="Q24" i="1"/>
  <c r="G24" i="1" s="1"/>
  <c r="B24" i="1" s="1"/>
  <c r="O25" i="1"/>
  <c r="A24" i="1"/>
  <c r="Q67" i="1"/>
  <c r="G67" i="1" s="1"/>
  <c r="B67" i="1" s="1"/>
  <c r="A67" i="1"/>
  <c r="O68" i="1"/>
  <c r="Q214" i="1"/>
  <c r="G214" i="1" s="1"/>
  <c r="B214" i="1" s="1"/>
  <c r="A214" i="1"/>
  <c r="O215" i="1"/>
  <c r="Q104" i="1"/>
  <c r="G104" i="1" s="1"/>
  <c r="B104" i="1" s="1"/>
  <c r="O105" i="1"/>
  <c r="A104" i="1"/>
  <c r="M16" i="23"/>
  <c r="G43" i="9" l="1"/>
  <c r="H43" i="9" s="1"/>
  <c r="T39" i="9"/>
  <c r="B43" i="9" s="1"/>
  <c r="B44" i="9" s="1"/>
  <c r="B45" i="9" s="1"/>
  <c r="B46" i="9" s="1"/>
  <c r="B47" i="9" s="1"/>
  <c r="B48" i="9" s="1"/>
  <c r="K43" i="9" s="1"/>
  <c r="K44" i="9" s="1"/>
  <c r="K45" i="9" s="1"/>
  <c r="K46" i="9" s="1"/>
  <c r="K47" i="9" s="1"/>
  <c r="V39" i="9"/>
  <c r="W39" i="9" s="1"/>
  <c r="X39" i="9" s="1"/>
  <c r="Y39" i="9" s="1"/>
  <c r="Z39" i="9" s="1"/>
  <c r="AA39" i="9" s="1"/>
  <c r="V28" i="7"/>
  <c r="U27" i="7"/>
  <c r="AM13" i="6" s="1"/>
  <c r="AL13" i="6"/>
  <c r="Q141" i="1"/>
  <c r="G141" i="1" s="1"/>
  <c r="B141" i="1" s="1"/>
  <c r="O142" i="1"/>
  <c r="A141" i="1"/>
  <c r="O13" i="23"/>
  <c r="P8" i="23"/>
  <c r="O22" i="23"/>
  <c r="O17" i="23"/>
  <c r="O14" i="23"/>
  <c r="O216" i="1"/>
  <c r="A215" i="1"/>
  <c r="Q215" i="1"/>
  <c r="G215" i="1" s="1"/>
  <c r="B215" i="1" s="1"/>
  <c r="O69" i="1"/>
  <c r="A68" i="1"/>
  <c r="Q68" i="1"/>
  <c r="G68" i="1" s="1"/>
  <c r="B68" i="1" s="1"/>
  <c r="A16" i="7"/>
  <c r="O6" i="9"/>
  <c r="R6" i="9"/>
  <c r="N6" i="9"/>
  <c r="N43" i="9" s="1"/>
  <c r="P6" i="9"/>
  <c r="M6" i="9"/>
  <c r="X2" i="9"/>
  <c r="L6" i="9"/>
  <c r="L43" i="9" s="1"/>
  <c r="Q6" i="9"/>
  <c r="Q25" i="1"/>
  <c r="G25" i="1" s="1"/>
  <c r="B25" i="1" s="1"/>
  <c r="O26" i="1"/>
  <c r="A25" i="1"/>
  <c r="O179" i="1"/>
  <c r="A178" i="1"/>
  <c r="Q178" i="1"/>
  <c r="G178" i="1" s="1"/>
  <c r="B178" i="1" s="1"/>
  <c r="P2" i="31"/>
  <c r="O7" i="29"/>
  <c r="Q105" i="1"/>
  <c r="G105" i="1" s="1"/>
  <c r="B105" i="1" s="1"/>
  <c r="O106" i="1"/>
  <c r="A105" i="1"/>
  <c r="N16" i="23"/>
  <c r="M43" i="9" l="1"/>
  <c r="O43" i="9"/>
  <c r="P43" i="9" s="1"/>
  <c r="Q43" i="9" s="1"/>
  <c r="R43" i="9" s="1"/>
  <c r="L44" i="9" s="1"/>
  <c r="M44" i="9" s="1"/>
  <c r="N44" i="9" s="1"/>
  <c r="O44" i="9" s="1"/>
  <c r="P44" i="9" s="1"/>
  <c r="Q44" i="9" s="1"/>
  <c r="R44" i="9" s="1"/>
  <c r="L45" i="9" s="1"/>
  <c r="M45" i="9" s="1"/>
  <c r="N45" i="9" s="1"/>
  <c r="O45" i="9" s="1"/>
  <c r="P45" i="9" s="1"/>
  <c r="Q45" i="9" s="1"/>
  <c r="R45" i="9" s="1"/>
  <c r="L46" i="9" s="1"/>
  <c r="M46" i="9" s="1"/>
  <c r="N46" i="9" s="1"/>
  <c r="O46" i="9" s="1"/>
  <c r="P46" i="9" s="1"/>
  <c r="Q46" i="9" s="1"/>
  <c r="R46" i="9" s="1"/>
  <c r="L47" i="9" s="1"/>
  <c r="M47" i="9" s="1"/>
  <c r="N47" i="9" s="1"/>
  <c r="O47" i="9" s="1"/>
  <c r="P47" i="9" s="1"/>
  <c r="Q47" i="9" s="1"/>
  <c r="R47" i="9" s="1"/>
  <c r="L48" i="9" s="1"/>
  <c r="V29" i="7"/>
  <c r="U28" i="7"/>
  <c r="AM14" i="6" s="1"/>
  <c r="AL14" i="6"/>
  <c r="O27" i="1"/>
  <c r="Q26" i="1"/>
  <c r="G26" i="1" s="1"/>
  <c r="B26" i="1" s="1"/>
  <c r="A26" i="1"/>
  <c r="Y6" i="9"/>
  <c r="Y43" i="9" s="1"/>
  <c r="Z43" i="9" s="1"/>
  <c r="AA43" i="9" s="1"/>
  <c r="U44" i="9" s="1"/>
  <c r="V44" i="9" s="1"/>
  <c r="W44" i="9" s="1"/>
  <c r="X44" i="9" s="1"/>
  <c r="Y44" i="9" s="1"/>
  <c r="Z44" i="9" s="1"/>
  <c r="AA44" i="9" s="1"/>
  <c r="U45" i="9" s="1"/>
  <c r="V45" i="9" s="1"/>
  <c r="W45" i="9" s="1"/>
  <c r="X45" i="9" s="1"/>
  <c r="Y45" i="9" s="1"/>
  <c r="Z45" i="9" s="1"/>
  <c r="AA45" i="9" s="1"/>
  <c r="U46" i="9" s="1"/>
  <c r="V46" i="9" s="1"/>
  <c r="W46" i="9" s="1"/>
  <c r="X46" i="9" s="1"/>
  <c r="Y46" i="9" s="1"/>
  <c r="Z46" i="9" s="1"/>
  <c r="AA46" i="9" s="1"/>
  <c r="U47" i="9" s="1"/>
  <c r="V47" i="9" s="1"/>
  <c r="W47" i="9" s="1"/>
  <c r="X47" i="9" s="1"/>
  <c r="Y47" i="9" s="1"/>
  <c r="Z47" i="9" s="1"/>
  <c r="AA47" i="9" s="1"/>
  <c r="U48" i="9" s="1"/>
  <c r="U6" i="9"/>
  <c r="U43" i="9" s="1"/>
  <c r="X6" i="9"/>
  <c r="Z6" i="9"/>
  <c r="W6" i="9"/>
  <c r="V6" i="9"/>
  <c r="AA6" i="9"/>
  <c r="O217" i="1"/>
  <c r="A216" i="1"/>
  <c r="Q216" i="1"/>
  <c r="G216" i="1" s="1"/>
  <c r="B216" i="1" s="1"/>
  <c r="O107" i="1"/>
  <c r="A106" i="1"/>
  <c r="Q106" i="1"/>
  <c r="G106" i="1" s="1"/>
  <c r="B106" i="1" s="1"/>
  <c r="O180" i="1"/>
  <c r="A179" i="1"/>
  <c r="Q179" i="1"/>
  <c r="G179" i="1" s="1"/>
  <c r="B179" i="1" s="1"/>
  <c r="O70" i="1"/>
  <c r="Q69" i="1"/>
  <c r="G69" i="1" s="1"/>
  <c r="B69" i="1" s="1"/>
  <c r="A69" i="1"/>
  <c r="Q142" i="1"/>
  <c r="G142" i="1" s="1"/>
  <c r="B142" i="1" s="1"/>
  <c r="O143" i="1"/>
  <c r="A142" i="1"/>
  <c r="Q2" i="31"/>
  <c r="P7" i="29"/>
  <c r="P13" i="23"/>
  <c r="Q8" i="23"/>
  <c r="P22" i="23"/>
  <c r="P17" i="23"/>
  <c r="P14" i="23"/>
  <c r="A17" i="7"/>
  <c r="O16" i="23"/>
  <c r="O15" i="23"/>
  <c r="T48" i="9" l="1"/>
  <c r="V48" i="9"/>
  <c r="W48" i="9" s="1"/>
  <c r="X48" i="9" s="1"/>
  <c r="Y48" i="9" s="1"/>
  <c r="Z48" i="9" s="1"/>
  <c r="AA48" i="9" s="1"/>
  <c r="V43" i="9"/>
  <c r="W43" i="9" s="1"/>
  <c r="X43" i="9" s="1"/>
  <c r="K48" i="9"/>
  <c r="T43" i="9" s="1"/>
  <c r="T44" i="9" s="1"/>
  <c r="T45" i="9" s="1"/>
  <c r="T46" i="9" s="1"/>
  <c r="T47" i="9" s="1"/>
  <c r="M48" i="9"/>
  <c r="N48" i="9" s="1"/>
  <c r="O48" i="9" s="1"/>
  <c r="P48" i="9" s="1"/>
  <c r="Q48" i="9" s="1"/>
  <c r="R48" i="9" s="1"/>
  <c r="V30" i="7"/>
  <c r="AL15" i="6"/>
  <c r="U29" i="7"/>
  <c r="AM15" i="6" s="1"/>
  <c r="Q180" i="1"/>
  <c r="G180" i="1" s="1"/>
  <c r="B180" i="1" s="1"/>
  <c r="O181" i="1"/>
  <c r="A180" i="1"/>
  <c r="A18" i="7"/>
  <c r="P15" i="23"/>
  <c r="Q7" i="29"/>
  <c r="R2" i="31"/>
  <c r="O108" i="1"/>
  <c r="A107" i="1"/>
  <c r="Q107" i="1"/>
  <c r="G107" i="1" s="1"/>
  <c r="B107" i="1" s="1"/>
  <c r="Q13" i="23"/>
  <c r="R8" i="23"/>
  <c r="Q22" i="23"/>
  <c r="Q14" i="23"/>
  <c r="Q15" i="23" s="1"/>
  <c r="Q17" i="23"/>
  <c r="P16" i="23"/>
  <c r="O144" i="1"/>
  <c r="A143" i="1"/>
  <c r="Q143" i="1"/>
  <c r="G143" i="1" s="1"/>
  <c r="B143" i="1" s="1"/>
  <c r="Q70" i="1"/>
  <c r="G70" i="1" s="1"/>
  <c r="B70" i="1" s="1"/>
  <c r="O71" i="1"/>
  <c r="A70" i="1"/>
  <c r="Q217" i="1"/>
  <c r="G217" i="1" s="1"/>
  <c r="B217" i="1" s="1"/>
  <c r="O218" i="1"/>
  <c r="A217" i="1"/>
  <c r="O28" i="1"/>
  <c r="A27" i="1"/>
  <c r="Q27" i="1"/>
  <c r="G27" i="1" s="1"/>
  <c r="B27" i="1" s="1"/>
  <c r="V31" i="7" l="1"/>
  <c r="U30" i="7"/>
  <c r="AM16" i="6" s="1"/>
  <c r="AL16" i="6"/>
  <c r="Q218" i="1"/>
  <c r="G218" i="1" s="1"/>
  <c r="B218" i="1" s="1"/>
  <c r="O219" i="1"/>
  <c r="A218" i="1"/>
  <c r="Q16" i="23"/>
  <c r="Q108" i="1"/>
  <c r="G108" i="1" s="1"/>
  <c r="B108" i="1" s="1"/>
  <c r="O109" i="1"/>
  <c r="A108" i="1"/>
  <c r="A71" i="1"/>
  <c r="O72" i="1"/>
  <c r="Q71" i="1"/>
  <c r="G71" i="1" s="1"/>
  <c r="B71" i="1" s="1"/>
  <c r="O145" i="1"/>
  <c r="A144" i="1"/>
  <c r="Q144" i="1"/>
  <c r="G144" i="1" s="1"/>
  <c r="B144" i="1" s="1"/>
  <c r="S2" i="31"/>
  <c r="R7" i="29"/>
  <c r="Q181" i="1"/>
  <c r="G181" i="1" s="1"/>
  <c r="B181" i="1" s="1"/>
  <c r="A181" i="1"/>
  <c r="O182" i="1"/>
  <c r="O29" i="1"/>
  <c r="A28" i="1"/>
  <c r="Q28" i="1"/>
  <c r="G28" i="1" s="1"/>
  <c r="B28" i="1" s="1"/>
  <c r="R13" i="23"/>
  <c r="S8" i="23"/>
  <c r="R17" i="23"/>
  <c r="R14" i="23"/>
  <c r="R22" i="23"/>
  <c r="A19" i="7"/>
  <c r="V32" i="7" l="1"/>
  <c r="AL17" i="6"/>
  <c r="U31" i="7"/>
  <c r="O73" i="1"/>
  <c r="A72" i="1"/>
  <c r="Q72" i="1"/>
  <c r="G72" i="1" s="1"/>
  <c r="B72" i="1" s="1"/>
  <c r="Q29" i="1"/>
  <c r="G29" i="1" s="1"/>
  <c r="B29" i="1" s="1"/>
  <c r="O30" i="1"/>
  <c r="A29" i="1"/>
  <c r="Q145" i="1"/>
  <c r="G145" i="1" s="1"/>
  <c r="B145" i="1" s="1"/>
  <c r="O146" i="1"/>
  <c r="A145" i="1"/>
  <c r="O220" i="1"/>
  <c r="A219" i="1"/>
  <c r="Q219" i="1"/>
  <c r="G219" i="1" s="1"/>
  <c r="B219" i="1" s="1"/>
  <c r="A20" i="7"/>
  <c r="S13" i="23"/>
  <c r="T8" i="23"/>
  <c r="S17" i="23"/>
  <c r="S22" i="23"/>
  <c r="S14" i="23"/>
  <c r="R16" i="23"/>
  <c r="R15" i="23"/>
  <c r="O183" i="1"/>
  <c r="A182" i="1"/>
  <c r="Q182" i="1"/>
  <c r="G182" i="1" s="1"/>
  <c r="B182" i="1" s="1"/>
  <c r="T2" i="31"/>
  <c r="S7" i="29"/>
  <c r="Q109" i="1"/>
  <c r="G109" i="1" s="1"/>
  <c r="B109" i="1" s="1"/>
  <c r="O110" i="1"/>
  <c r="A109" i="1"/>
  <c r="V33" i="7" l="1"/>
  <c r="AL18" i="6"/>
  <c r="U32" i="7"/>
  <c r="AM18" i="6" s="1"/>
  <c r="AM17" i="6"/>
  <c r="S16" i="23"/>
  <c r="Q146" i="1"/>
  <c r="G146" i="1" s="1"/>
  <c r="B146" i="1" s="1"/>
  <c r="O147" i="1"/>
  <c r="A146" i="1"/>
  <c r="O184" i="1"/>
  <c r="A183" i="1"/>
  <c r="Q183" i="1"/>
  <c r="G183" i="1" s="1"/>
  <c r="B183" i="1" s="1"/>
  <c r="O221" i="1"/>
  <c r="A220" i="1"/>
  <c r="Q220" i="1"/>
  <c r="G220" i="1" s="1"/>
  <c r="B220" i="1" s="1"/>
  <c r="U2" i="31"/>
  <c r="T7" i="29"/>
  <c r="S15" i="23"/>
  <c r="Q73" i="1"/>
  <c r="G73" i="1" s="1"/>
  <c r="B73" i="1" s="1"/>
  <c r="A73" i="1"/>
  <c r="A110" i="1"/>
  <c r="Q110" i="1"/>
  <c r="G110" i="1" s="1"/>
  <c r="B110" i="1" s="1"/>
  <c r="T13" i="23"/>
  <c r="U8" i="23"/>
  <c r="T14" i="23"/>
  <c r="T22" i="23"/>
  <c r="T17" i="23"/>
  <c r="A21" i="7"/>
  <c r="Q30" i="1"/>
  <c r="G30" i="1" s="1"/>
  <c r="B30" i="1" s="1"/>
  <c r="A30" i="1"/>
  <c r="AL19" i="6" l="1"/>
  <c r="V34" i="7"/>
  <c r="U33" i="7"/>
  <c r="T16" i="23"/>
  <c r="T15" i="23"/>
  <c r="U13" i="23"/>
  <c r="V8" i="23"/>
  <c r="U17" i="23"/>
  <c r="U14" i="23"/>
  <c r="U22" i="23"/>
  <c r="Q221" i="1"/>
  <c r="G221" i="1" s="1"/>
  <c r="B221" i="1" s="1"/>
  <c r="A221" i="1"/>
  <c r="Q184" i="1"/>
  <c r="G184" i="1" s="1"/>
  <c r="B184" i="1" s="1"/>
  <c r="A184" i="1"/>
  <c r="A147" i="1"/>
  <c r="Q147" i="1"/>
  <c r="G147" i="1" s="1"/>
  <c r="B147" i="1" s="1"/>
  <c r="A22" i="7"/>
  <c r="U7" i="29"/>
  <c r="V2" i="31"/>
  <c r="AM19" i="6" l="1"/>
  <c r="U34" i="7"/>
  <c r="AM20" i="6" s="1"/>
  <c r="AL20" i="6"/>
  <c r="V35" i="7"/>
  <c r="A23" i="7"/>
  <c r="U16" i="23"/>
  <c r="W2" i="31"/>
  <c r="V7" i="29"/>
  <c r="U15" i="23"/>
  <c r="V13" i="23"/>
  <c r="W8" i="23"/>
  <c r="V17" i="23"/>
  <c r="V22" i="23"/>
  <c r="V14" i="23"/>
  <c r="U35" i="7" l="1"/>
  <c r="AM21" i="6" s="1"/>
  <c r="AL21" i="6"/>
  <c r="V36" i="7"/>
  <c r="W13" i="23"/>
  <c r="X8" i="23"/>
  <c r="W22" i="23"/>
  <c r="W14" i="23"/>
  <c r="W17" i="23"/>
  <c r="X2" i="31"/>
  <c r="W7" i="29"/>
  <c r="V16" i="23"/>
  <c r="V15" i="23"/>
  <c r="A24" i="7"/>
  <c r="V37" i="7" l="1"/>
  <c r="U36" i="7"/>
  <c r="AM22" i="6" s="1"/>
  <c r="AL22" i="6"/>
  <c r="X13" i="23"/>
  <c r="Y8" i="23"/>
  <c r="X22" i="23"/>
  <c r="X14" i="23"/>
  <c r="X15" i="23" s="1"/>
  <c r="X17" i="23"/>
  <c r="A25" i="7"/>
  <c r="Y2" i="31"/>
  <c r="X7" i="29"/>
  <c r="W16" i="23"/>
  <c r="W15" i="23"/>
  <c r="U37" i="7" l="1"/>
  <c r="V38" i="7"/>
  <c r="AL23" i="6"/>
  <c r="A26" i="7"/>
  <c r="X16" i="23"/>
  <c r="Y7" i="29"/>
  <c r="Z2" i="31"/>
  <c r="Y13" i="23"/>
  <c r="Z8" i="23"/>
  <c r="Y14" i="23"/>
  <c r="Y15" i="23" s="1"/>
  <c r="Y22" i="23"/>
  <c r="Y17" i="23"/>
  <c r="AM23" i="6" l="1"/>
  <c r="V39" i="7"/>
  <c r="U38" i="7"/>
  <c r="AM24" i="6" s="1"/>
  <c r="AL24" i="6"/>
  <c r="A27" i="7"/>
  <c r="Y16" i="23"/>
  <c r="AA2" i="31"/>
  <c r="Z7" i="29"/>
  <c r="Z13" i="23"/>
  <c r="AA8" i="23"/>
  <c r="Z14" i="23"/>
  <c r="Z17" i="23"/>
  <c r="Z22" i="23"/>
  <c r="U39" i="7" l="1"/>
  <c r="V40" i="7"/>
  <c r="Z16" i="23"/>
  <c r="AA13" i="23"/>
  <c r="AB8" i="23"/>
  <c r="AA17" i="23"/>
  <c r="AA14" i="23"/>
  <c r="AA22" i="23"/>
  <c r="AB2" i="31"/>
  <c r="AA7" i="29"/>
  <c r="AA15" i="23"/>
  <c r="Z15" i="23"/>
  <c r="A28" i="7"/>
  <c r="U40" i="7" l="1"/>
  <c r="V41" i="7"/>
  <c r="A29" i="7"/>
  <c r="AC2" i="31"/>
  <c r="AC7" i="29" s="1"/>
  <c r="AB7" i="29"/>
  <c r="AA16" i="23"/>
  <c r="AB13" i="23"/>
  <c r="AC8" i="23"/>
  <c r="AB17" i="23"/>
  <c r="AB22" i="23"/>
  <c r="AB14" i="23"/>
  <c r="V42" i="7" l="1"/>
  <c r="U41" i="7"/>
  <c r="AC13" i="23"/>
  <c r="AD8" i="23"/>
  <c r="AC22" i="23"/>
  <c r="AC14" i="23"/>
  <c r="AC15" i="23" s="1"/>
  <c r="AC17" i="23"/>
  <c r="AB16" i="23"/>
  <c r="AB15" i="23"/>
  <c r="A30" i="7"/>
  <c r="V43" i="7" l="1"/>
  <c r="U42" i="7"/>
  <c r="AC16" i="23"/>
  <c r="AD13" i="23"/>
  <c r="AE8" i="23"/>
  <c r="AD14" i="23"/>
  <c r="AD22" i="23"/>
  <c r="AD17" i="23"/>
  <c r="A31" i="7"/>
  <c r="U43" i="7" l="1"/>
  <c r="V44" i="7"/>
  <c r="A32" i="7"/>
  <c r="AD16" i="23"/>
  <c r="AD15" i="23"/>
  <c r="AE13" i="23"/>
  <c r="AF8" i="23"/>
  <c r="AE17" i="23"/>
  <c r="AE22" i="23"/>
  <c r="AE14" i="23"/>
  <c r="AE15" i="23" s="1"/>
  <c r="V45" i="7" l="1"/>
  <c r="U44" i="7"/>
  <c r="AF13" i="23"/>
  <c r="AG8" i="23"/>
  <c r="AF22" i="23"/>
  <c r="AF17" i="23"/>
  <c r="AF14" i="23"/>
  <c r="A33" i="7"/>
  <c r="AE16" i="23"/>
  <c r="V46" i="7" l="1"/>
  <c r="U45" i="7"/>
  <c r="AF16" i="23"/>
  <c r="AG13" i="23"/>
  <c r="AH8" i="23"/>
  <c r="AG17" i="23"/>
  <c r="AG14" i="23"/>
  <c r="AG22" i="23"/>
  <c r="A34" i="7"/>
  <c r="AF15" i="23"/>
  <c r="U46" i="7" l="1"/>
  <c r="V14" i="7"/>
  <c r="AG15" i="23"/>
  <c r="AH13" i="23"/>
  <c r="AI8" i="23"/>
  <c r="AH17" i="23"/>
  <c r="AH14" i="23"/>
  <c r="AH22" i="23"/>
  <c r="A35" i="7"/>
  <c r="AG16" i="23"/>
  <c r="B4" i="2" l="1"/>
  <c r="B5" i="2"/>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B239" i="2" s="1"/>
  <c r="B240" i="2" s="1"/>
  <c r="B241" i="2" s="1"/>
  <c r="B242" i="2" s="1"/>
  <c r="B243" i="2" s="1"/>
  <c r="B244" i="2" s="1"/>
  <c r="B245" i="2" s="1"/>
  <c r="B246" i="2" s="1"/>
  <c r="B247" i="2" s="1"/>
  <c r="B248" i="2" s="1"/>
  <c r="B249" i="2" s="1"/>
  <c r="B250" i="2" s="1"/>
  <c r="B251" i="2" s="1"/>
  <c r="B252" i="2" s="1"/>
  <c r="B253" i="2" s="1"/>
  <c r="B254" i="2" s="1"/>
  <c r="B255" i="2" s="1"/>
  <c r="B256" i="2" s="1"/>
  <c r="B257" i="2" s="1"/>
  <c r="B258" i="2" s="1"/>
  <c r="B259" i="2" s="1"/>
  <c r="B260" i="2" s="1"/>
  <c r="B261" i="2" s="1"/>
  <c r="B262" i="2" s="1"/>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B421" i="2" s="1"/>
  <c r="B422" i="2" s="1"/>
  <c r="B423" i="2" s="1"/>
  <c r="B424" i="2" s="1"/>
  <c r="B425" i="2" s="1"/>
  <c r="B426" i="2" s="1"/>
  <c r="B427" i="2" s="1"/>
  <c r="B428" i="2" s="1"/>
  <c r="B429" i="2" s="1"/>
  <c r="B430" i="2" s="1"/>
  <c r="B431" i="2" s="1"/>
  <c r="B432" i="2" s="1"/>
  <c r="B433" i="2" s="1"/>
  <c r="B434" i="2" s="1"/>
  <c r="B435" i="2" s="1"/>
  <c r="B436" i="2" s="1"/>
  <c r="B437" i="2" s="1"/>
  <c r="B438" i="2" s="1"/>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B478" i="2" s="1"/>
  <c r="B479" i="2" s="1"/>
  <c r="B480" i="2" s="1"/>
  <c r="B481" i="2" s="1"/>
  <c r="B482" i="2" s="1"/>
  <c r="B483" i="2" s="1"/>
  <c r="B484" i="2" s="1"/>
  <c r="B485" i="2" s="1"/>
  <c r="B486" i="2" s="1"/>
  <c r="B487" i="2" s="1"/>
  <c r="AI13" i="23"/>
  <c r="AJ8" i="23"/>
  <c r="AI14" i="23"/>
  <c r="AI22" i="23"/>
  <c r="AI17" i="23"/>
  <c r="A36" i="7"/>
  <c r="AH16" i="23"/>
  <c r="AH15" i="23"/>
  <c r="A3" i="7" l="1"/>
  <c r="A37" i="7"/>
  <c r="AI16" i="23"/>
  <c r="AI15" i="23"/>
  <c r="AJ13" i="23"/>
  <c r="AK8" i="23"/>
  <c r="AJ22" i="23"/>
  <c r="AJ17" i="23"/>
  <c r="AJ14" i="23"/>
  <c r="F20" i="7" l="1"/>
  <c r="C20" i="7"/>
  <c r="I4" i="7"/>
  <c r="W6" i="7" s="1"/>
  <c r="X47" i="6" s="1"/>
  <c r="K4" i="7"/>
  <c r="W11" i="7" s="1"/>
  <c r="F5" i="7"/>
  <c r="C6" i="7"/>
  <c r="G6" i="7"/>
  <c r="D7" i="7"/>
  <c r="F8" i="7"/>
  <c r="F9" i="7"/>
  <c r="E10" i="7"/>
  <c r="F10" i="7"/>
  <c r="C11" i="7"/>
  <c r="G12" i="7"/>
  <c r="E13" i="7"/>
  <c r="C14" i="7"/>
  <c r="D14" i="7"/>
  <c r="G15" i="7"/>
  <c r="F16" i="7"/>
  <c r="D17" i="7"/>
  <c r="C18" i="7"/>
  <c r="G18" i="7"/>
  <c r="D19" i="7"/>
  <c r="G20" i="7"/>
  <c r="E21" i="7"/>
  <c r="F21" i="7"/>
  <c r="E4" i="7"/>
  <c r="C4" i="7"/>
  <c r="C5" i="7"/>
  <c r="F6" i="7"/>
  <c r="F7" i="7"/>
  <c r="C7" i="7"/>
  <c r="E8" i="7"/>
  <c r="G9" i="7"/>
  <c r="C10" i="7"/>
  <c r="F11" i="7"/>
  <c r="D11" i="7"/>
  <c r="F12" i="7"/>
  <c r="C13" i="7"/>
  <c r="E14" i="7"/>
  <c r="D15" i="7"/>
  <c r="F15" i="7"/>
  <c r="E16" i="7"/>
  <c r="F17" i="7"/>
  <c r="D18" i="7"/>
  <c r="E19" i="7"/>
  <c r="C19" i="7"/>
  <c r="D20" i="7"/>
  <c r="G21" i="7"/>
  <c r="H4" i="7"/>
  <c r="W5" i="7" s="1"/>
  <c r="G4" i="7"/>
  <c r="J4" i="7"/>
  <c r="W10" i="7" s="1"/>
  <c r="E5" i="7"/>
  <c r="E6" i="7"/>
  <c r="G7" i="7"/>
  <c r="G8" i="7"/>
  <c r="C8" i="7"/>
  <c r="D9" i="7"/>
  <c r="G10" i="7"/>
  <c r="G11" i="7"/>
  <c r="C12" i="7"/>
  <c r="E12" i="7"/>
  <c r="F13" i="7"/>
  <c r="F14" i="7"/>
  <c r="C15" i="7"/>
  <c r="D16" i="7"/>
  <c r="C16" i="7"/>
  <c r="G17" i="7"/>
  <c r="F18" i="7"/>
  <c r="F19" i="7"/>
  <c r="C21" i="7"/>
  <c r="E20" i="7"/>
  <c r="D4" i="7"/>
  <c r="F4" i="7"/>
  <c r="G5" i="7"/>
  <c r="D5" i="7"/>
  <c r="D6" i="7"/>
  <c r="E7" i="7"/>
  <c r="D8" i="7"/>
  <c r="E9" i="7"/>
  <c r="C9" i="7"/>
  <c r="D10" i="7"/>
  <c r="E11" i="7"/>
  <c r="D13" i="7"/>
  <c r="G16" i="7"/>
  <c r="G19" i="7"/>
  <c r="G13" i="7"/>
  <c r="C17" i="7"/>
  <c r="D21" i="7"/>
  <c r="G14" i="7"/>
  <c r="E17" i="7"/>
  <c r="D12" i="7"/>
  <c r="E15" i="7"/>
  <c r="E18" i="7"/>
  <c r="F22" i="7"/>
  <c r="G22" i="7"/>
  <c r="C22" i="7"/>
  <c r="D22" i="7"/>
  <c r="E22" i="7"/>
  <c r="E23" i="7"/>
  <c r="F23" i="7"/>
  <c r="G23" i="7"/>
  <c r="D23" i="7"/>
  <c r="C23" i="7"/>
  <c r="E24" i="7"/>
  <c r="D24" i="7"/>
  <c r="G24" i="7"/>
  <c r="F24" i="7"/>
  <c r="C24" i="7"/>
  <c r="C25" i="7"/>
  <c r="D25" i="7"/>
  <c r="E25" i="7"/>
  <c r="F25" i="7"/>
  <c r="G25" i="7"/>
  <c r="F26" i="7"/>
  <c r="G26" i="7"/>
  <c r="C26" i="7"/>
  <c r="D26" i="7"/>
  <c r="E26" i="7"/>
  <c r="D27" i="7"/>
  <c r="C27" i="7"/>
  <c r="E27" i="7"/>
  <c r="F27" i="7"/>
  <c r="G27" i="7"/>
  <c r="G28" i="7"/>
  <c r="F28" i="7"/>
  <c r="C28" i="7"/>
  <c r="D28" i="7"/>
  <c r="E28" i="7"/>
  <c r="E29" i="7"/>
  <c r="F29" i="7"/>
  <c r="C29" i="7"/>
  <c r="D29" i="7"/>
  <c r="G29" i="7"/>
  <c r="C30" i="7"/>
  <c r="D30" i="7"/>
  <c r="E30" i="7"/>
  <c r="F30" i="7"/>
  <c r="G30" i="7"/>
  <c r="C31" i="7"/>
  <c r="E31" i="7"/>
  <c r="F31" i="7"/>
  <c r="G31" i="7"/>
  <c r="D31" i="7"/>
  <c r="E32" i="7"/>
  <c r="D32" i="7"/>
  <c r="G32" i="7"/>
  <c r="C32" i="7"/>
  <c r="F32" i="7"/>
  <c r="F33" i="7"/>
  <c r="E33" i="7"/>
  <c r="D33" i="7"/>
  <c r="C33" i="7"/>
  <c r="G33" i="7"/>
  <c r="D34" i="7"/>
  <c r="F34" i="7"/>
  <c r="E34" i="7"/>
  <c r="G34" i="7"/>
  <c r="C34" i="7"/>
  <c r="C35" i="7"/>
  <c r="G35" i="7"/>
  <c r="F35" i="7"/>
  <c r="D35" i="7"/>
  <c r="E35" i="7"/>
  <c r="E36" i="7"/>
  <c r="D82" i="6" s="1"/>
  <c r="F36" i="7"/>
  <c r="C36" i="7"/>
  <c r="G36" i="7"/>
  <c r="D36" i="7"/>
  <c r="P36" i="7" s="1"/>
  <c r="F82" i="6" s="1"/>
  <c r="Q36" i="7"/>
  <c r="M36" i="7"/>
  <c r="E82" i="6" s="1"/>
  <c r="AK13" i="23"/>
  <c r="AL8" i="23"/>
  <c r="AK22" i="23"/>
  <c r="AK14" i="23"/>
  <c r="AK17" i="23"/>
  <c r="O36" i="7"/>
  <c r="H82" i="6" s="1"/>
  <c r="J82" i="6" s="1"/>
  <c r="G82" i="6"/>
  <c r="AJ16" i="23"/>
  <c r="AJ15" i="23"/>
  <c r="E37" i="7"/>
  <c r="G37" i="7"/>
  <c r="C37" i="7"/>
  <c r="F37" i="7"/>
  <c r="A38" i="7"/>
  <c r="D37" i="7"/>
  <c r="R36" i="7" l="1"/>
  <c r="N36" i="7"/>
  <c r="C82" i="6"/>
  <c r="I82" i="6" s="1"/>
  <c r="D81" i="6"/>
  <c r="M35" i="7"/>
  <c r="E81" i="6" s="1"/>
  <c r="G80" i="6"/>
  <c r="O34" i="7"/>
  <c r="H80" i="6" s="1"/>
  <c r="J80" i="6" s="1"/>
  <c r="O24" i="7"/>
  <c r="H70" i="6" s="1"/>
  <c r="J70" i="6" s="1"/>
  <c r="G70" i="6"/>
  <c r="M23" i="7"/>
  <c r="E69" i="6" s="1"/>
  <c r="D69" i="6"/>
  <c r="R12" i="7"/>
  <c r="Q12" i="7"/>
  <c r="N12" i="7"/>
  <c r="P12" i="7"/>
  <c r="F58" i="6" s="1"/>
  <c r="C58" i="6"/>
  <c r="Q13" i="7"/>
  <c r="P13" i="7"/>
  <c r="F59" i="6" s="1"/>
  <c r="R13" i="7"/>
  <c r="C59" i="6"/>
  <c r="N13" i="7"/>
  <c r="N5" i="7"/>
  <c r="P5" i="7"/>
  <c r="F51" i="6" s="1"/>
  <c r="C51" i="6"/>
  <c r="Q5" i="7"/>
  <c r="R5" i="7"/>
  <c r="R20" i="7"/>
  <c r="N20" i="7"/>
  <c r="Q20" i="7"/>
  <c r="P20" i="7"/>
  <c r="F66" i="6" s="1"/>
  <c r="C66" i="6"/>
  <c r="O11" i="7"/>
  <c r="H57" i="6" s="1"/>
  <c r="J57" i="6" s="1"/>
  <c r="G57" i="6"/>
  <c r="R17" i="7"/>
  <c r="N17" i="7"/>
  <c r="P17" i="7"/>
  <c r="F63" i="6" s="1"/>
  <c r="Q17" i="7"/>
  <c r="C63" i="6"/>
  <c r="G56" i="6"/>
  <c r="O10" i="7"/>
  <c r="H56" i="6" s="1"/>
  <c r="J56" i="6" s="1"/>
  <c r="N7" i="7"/>
  <c r="Q7" i="7"/>
  <c r="P7" i="7"/>
  <c r="F53" i="6" s="1"/>
  <c r="R7" i="7"/>
  <c r="C53" i="6"/>
  <c r="R35" i="7"/>
  <c r="C81" i="6"/>
  <c r="N35" i="7"/>
  <c r="P35" i="7"/>
  <c r="F81" i="6" s="1"/>
  <c r="Q35" i="7"/>
  <c r="Q34" i="7"/>
  <c r="R34" i="7"/>
  <c r="N34" i="7"/>
  <c r="P34" i="7"/>
  <c r="F80" i="6" s="1"/>
  <c r="C80" i="6"/>
  <c r="G75" i="6"/>
  <c r="O29" i="7"/>
  <c r="H75" i="6" s="1"/>
  <c r="J75" i="6" s="1"/>
  <c r="O27" i="7"/>
  <c r="H73" i="6" s="1"/>
  <c r="J73" i="6" s="1"/>
  <c r="G73" i="6"/>
  <c r="P25" i="7"/>
  <c r="F71" i="6" s="1"/>
  <c r="Q25" i="7"/>
  <c r="R25" i="7"/>
  <c r="C71" i="6"/>
  <c r="N25" i="7"/>
  <c r="P23" i="7"/>
  <c r="F69" i="6" s="1"/>
  <c r="Q23" i="7"/>
  <c r="R23" i="7"/>
  <c r="C69" i="6"/>
  <c r="N23" i="7"/>
  <c r="O22" i="7"/>
  <c r="H68" i="6" s="1"/>
  <c r="J68" i="6" s="1"/>
  <c r="G68" i="6"/>
  <c r="P8" i="7"/>
  <c r="F54" i="6" s="1"/>
  <c r="Q8" i="7"/>
  <c r="C54" i="6"/>
  <c r="R8" i="7"/>
  <c r="N8" i="7"/>
  <c r="O13" i="7"/>
  <c r="H59" i="6" s="1"/>
  <c r="J59" i="6" s="1"/>
  <c r="G59" i="6"/>
  <c r="O7" i="7"/>
  <c r="H53" i="6" s="1"/>
  <c r="J53" i="6" s="1"/>
  <c r="G53" i="6"/>
  <c r="P19" i="7"/>
  <c r="F65" i="6" s="1"/>
  <c r="Q19" i="7"/>
  <c r="R19" i="7"/>
  <c r="C65" i="6"/>
  <c r="N19" i="7"/>
  <c r="G62" i="6"/>
  <c r="O16" i="7"/>
  <c r="H62" i="6" s="1"/>
  <c r="J62" i="6" s="1"/>
  <c r="M13" i="7"/>
  <c r="E59" i="6" s="1"/>
  <c r="D59" i="6"/>
  <c r="M10" i="7"/>
  <c r="E56" i="6" s="1"/>
  <c r="D56" i="6"/>
  <c r="O35" i="7"/>
  <c r="H81" i="6" s="1"/>
  <c r="J81" i="6" s="1"/>
  <c r="G81" i="6"/>
  <c r="G79" i="6"/>
  <c r="O33" i="7"/>
  <c r="H79" i="6" s="1"/>
  <c r="J79" i="6" s="1"/>
  <c r="P32" i="7"/>
  <c r="F78" i="6" s="1"/>
  <c r="C78" i="6"/>
  <c r="R32" i="7"/>
  <c r="N32" i="7"/>
  <c r="Q32" i="7"/>
  <c r="O31" i="7"/>
  <c r="H77" i="6" s="1"/>
  <c r="J77" i="6" s="1"/>
  <c r="G77" i="6"/>
  <c r="O30" i="7"/>
  <c r="H76" i="6" s="1"/>
  <c r="J76" i="6" s="1"/>
  <c r="G76" i="6"/>
  <c r="M29" i="7"/>
  <c r="E75" i="6" s="1"/>
  <c r="D75" i="6"/>
  <c r="O28" i="7"/>
  <c r="H74" i="6" s="1"/>
  <c r="J74" i="6" s="1"/>
  <c r="G74" i="6"/>
  <c r="M27" i="7"/>
  <c r="E73" i="6" s="1"/>
  <c r="D73" i="6"/>
  <c r="C72" i="6"/>
  <c r="Q26" i="7"/>
  <c r="P26" i="7"/>
  <c r="F72" i="6" s="1"/>
  <c r="R26" i="7"/>
  <c r="N26" i="7"/>
  <c r="P24" i="7"/>
  <c r="F70" i="6" s="1"/>
  <c r="C70" i="6"/>
  <c r="R24" i="7"/>
  <c r="N24" i="7"/>
  <c r="Q24" i="7"/>
  <c r="N22" i="7"/>
  <c r="Q22" i="7"/>
  <c r="P22" i="7"/>
  <c r="F68" i="6" s="1"/>
  <c r="C68" i="6"/>
  <c r="R22" i="7"/>
  <c r="M18" i="7"/>
  <c r="E64" i="6" s="1"/>
  <c r="D64" i="6"/>
  <c r="N10" i="7"/>
  <c r="P10" i="7"/>
  <c r="F56" i="6" s="1"/>
  <c r="Q10" i="7"/>
  <c r="C56" i="6"/>
  <c r="R10" i="7"/>
  <c r="M7" i="7"/>
  <c r="E53" i="6" s="1"/>
  <c r="D53" i="6"/>
  <c r="O4" i="7"/>
  <c r="H50" i="6" s="1"/>
  <c r="J50" i="6" s="1"/>
  <c r="G50" i="6"/>
  <c r="O19" i="7"/>
  <c r="H65" i="6" s="1"/>
  <c r="J65" i="6" s="1"/>
  <c r="G65" i="6"/>
  <c r="N16" i="7"/>
  <c r="R16" i="7"/>
  <c r="P16" i="7"/>
  <c r="F62" i="6" s="1"/>
  <c r="Q16" i="7"/>
  <c r="C62" i="6"/>
  <c r="M12" i="7"/>
  <c r="E58" i="6" s="1"/>
  <c r="D58" i="6"/>
  <c r="R9" i="7"/>
  <c r="N9" i="7"/>
  <c r="P9" i="7"/>
  <c r="F55" i="6" s="1"/>
  <c r="Q9" i="7"/>
  <c r="C55" i="6"/>
  <c r="M6" i="7"/>
  <c r="E52" i="6" s="1"/>
  <c r="D52" i="6"/>
  <c r="W7" i="7"/>
  <c r="Q1" i="7" s="1"/>
  <c r="M19" i="7"/>
  <c r="E65" i="6" s="1"/>
  <c r="D65" i="6"/>
  <c r="O15" i="7"/>
  <c r="H61" i="6" s="1"/>
  <c r="J61" i="6" s="1"/>
  <c r="G61" i="6"/>
  <c r="O12" i="7"/>
  <c r="H58" i="6" s="1"/>
  <c r="J58" i="6" s="1"/>
  <c r="G58" i="6"/>
  <c r="G52" i="6"/>
  <c r="O6" i="7"/>
  <c r="H52" i="6" s="1"/>
  <c r="J52" i="6" s="1"/>
  <c r="O21" i="7"/>
  <c r="H67" i="6" s="1"/>
  <c r="J67" i="6" s="1"/>
  <c r="G67" i="6"/>
  <c r="G55" i="6"/>
  <c r="O9" i="7"/>
  <c r="H55" i="6" s="1"/>
  <c r="J55" i="6" s="1"/>
  <c r="N33" i="7"/>
  <c r="R33" i="7"/>
  <c r="C79" i="6"/>
  <c r="P33" i="7"/>
  <c r="F79" i="6" s="1"/>
  <c r="Q33" i="7"/>
  <c r="R31" i="7"/>
  <c r="C77" i="6"/>
  <c r="P31" i="7"/>
  <c r="F77" i="6" s="1"/>
  <c r="Q31" i="7"/>
  <c r="N31" i="7"/>
  <c r="R30" i="7"/>
  <c r="N30" i="7"/>
  <c r="Q30" i="7"/>
  <c r="P30" i="7"/>
  <c r="F76" i="6" s="1"/>
  <c r="C76" i="6"/>
  <c r="P28" i="7"/>
  <c r="F74" i="6" s="1"/>
  <c r="C74" i="6"/>
  <c r="N28" i="7"/>
  <c r="Q28" i="7"/>
  <c r="R28" i="7"/>
  <c r="P27" i="7"/>
  <c r="F73" i="6" s="1"/>
  <c r="R27" i="7"/>
  <c r="N27" i="7"/>
  <c r="Q27" i="7"/>
  <c r="C73" i="6"/>
  <c r="M25" i="7"/>
  <c r="E71" i="6" s="1"/>
  <c r="D71" i="6"/>
  <c r="D55" i="6"/>
  <c r="M9" i="7"/>
  <c r="E55" i="6" s="1"/>
  <c r="M20" i="7"/>
  <c r="E66" i="6" s="1"/>
  <c r="D66" i="6"/>
  <c r="G60" i="6"/>
  <c r="O14" i="7"/>
  <c r="H60" i="6" s="1"/>
  <c r="J60" i="6" s="1"/>
  <c r="W12" i="7"/>
  <c r="R1" i="7" s="1"/>
  <c r="P27" i="6"/>
  <c r="O17" i="7"/>
  <c r="H63" i="6" s="1"/>
  <c r="J63" i="6" s="1"/>
  <c r="G63" i="6"/>
  <c r="M14" i="7"/>
  <c r="E60" i="6" s="1"/>
  <c r="D60" i="6"/>
  <c r="E1" i="7"/>
  <c r="E44" i="6"/>
  <c r="D46" i="6" s="1"/>
  <c r="P28" i="6"/>
  <c r="AA82" i="6" s="1"/>
  <c r="X48" i="6"/>
  <c r="D79" i="6"/>
  <c r="M33" i="7"/>
  <c r="E79" i="6" s="1"/>
  <c r="D72" i="6"/>
  <c r="AA72" i="6" s="1"/>
  <c r="M26" i="7"/>
  <c r="E72" i="6" s="1"/>
  <c r="O26" i="7"/>
  <c r="H72" i="6" s="1"/>
  <c r="J72" i="6" s="1"/>
  <c r="G72" i="6"/>
  <c r="M22" i="7"/>
  <c r="E68" i="6" s="1"/>
  <c r="D68" i="6"/>
  <c r="M17" i="7"/>
  <c r="E63" i="6" s="1"/>
  <c r="D63" i="6"/>
  <c r="M11" i="7"/>
  <c r="E57" i="6" s="1"/>
  <c r="D57" i="6"/>
  <c r="D62" i="6"/>
  <c r="M16" i="7"/>
  <c r="E62" i="6" s="1"/>
  <c r="D50" i="6"/>
  <c r="AA50" i="6" s="1"/>
  <c r="M4" i="7"/>
  <c r="E50" i="6" s="1"/>
  <c r="D80" i="6"/>
  <c r="M34" i="7"/>
  <c r="E80" i="6" s="1"/>
  <c r="G78" i="6"/>
  <c r="O32" i="7"/>
  <c r="H78" i="6" s="1"/>
  <c r="J78" i="6" s="1"/>
  <c r="D78" i="6"/>
  <c r="M32" i="7"/>
  <c r="E78" i="6" s="1"/>
  <c r="M31" i="7"/>
  <c r="E77" i="6" s="1"/>
  <c r="D77" i="6"/>
  <c r="M30" i="7"/>
  <c r="E76" i="6" s="1"/>
  <c r="D76" i="6"/>
  <c r="P29" i="7"/>
  <c r="F75" i="6" s="1"/>
  <c r="Q29" i="7"/>
  <c r="C75" i="6"/>
  <c r="N29" i="7"/>
  <c r="R29" i="7"/>
  <c r="M28" i="7"/>
  <c r="E74" i="6" s="1"/>
  <c r="D74" i="6"/>
  <c r="G71" i="6"/>
  <c r="O25" i="7"/>
  <c r="H71" i="6" s="1"/>
  <c r="J71" i="6" s="1"/>
  <c r="D70" i="6"/>
  <c r="M24" i="7"/>
  <c r="E70" i="6" s="1"/>
  <c r="G69" i="6"/>
  <c r="O23" i="7"/>
  <c r="H69" i="6" s="1"/>
  <c r="J69" i="6" s="1"/>
  <c r="M15" i="7"/>
  <c r="E61" i="6" s="1"/>
  <c r="D61" i="6"/>
  <c r="Q21" i="7"/>
  <c r="R21" i="7"/>
  <c r="C67" i="6"/>
  <c r="N21" i="7"/>
  <c r="P21" i="7"/>
  <c r="F67" i="6" s="1"/>
  <c r="P6" i="7"/>
  <c r="F52" i="6" s="1"/>
  <c r="C52" i="6"/>
  <c r="N6" i="7"/>
  <c r="R6" i="7"/>
  <c r="Q6" i="7"/>
  <c r="P4" i="7"/>
  <c r="F50" i="6" s="1"/>
  <c r="C50" i="6"/>
  <c r="Q4" i="7"/>
  <c r="N4" i="7"/>
  <c r="R4" i="7"/>
  <c r="O18" i="7"/>
  <c r="H64" i="6" s="1"/>
  <c r="J64" i="6" s="1"/>
  <c r="G64" i="6"/>
  <c r="M5" i="7"/>
  <c r="E51" i="6" s="1"/>
  <c r="D51" i="6"/>
  <c r="P18" i="7"/>
  <c r="F64" i="6" s="1"/>
  <c r="C64" i="6"/>
  <c r="R18" i="7"/>
  <c r="N18" i="7"/>
  <c r="Q18" i="7"/>
  <c r="P15" i="7"/>
  <c r="F61" i="6" s="1"/>
  <c r="R15" i="7"/>
  <c r="N15" i="7"/>
  <c r="Q15" i="7"/>
  <c r="C61" i="6"/>
  <c r="P11" i="7"/>
  <c r="F57" i="6" s="1"/>
  <c r="C57" i="6"/>
  <c r="Q11" i="7"/>
  <c r="N11" i="7"/>
  <c r="R11" i="7"/>
  <c r="D54" i="6"/>
  <c r="M8" i="7"/>
  <c r="E54" i="6" s="1"/>
  <c r="D67" i="6"/>
  <c r="M21" i="7"/>
  <c r="E67" i="6" s="1"/>
  <c r="R14" i="7"/>
  <c r="C60" i="6"/>
  <c r="N14" i="7"/>
  <c r="Q14" i="7"/>
  <c r="P14" i="7"/>
  <c r="F60" i="6" s="1"/>
  <c r="O8" i="7"/>
  <c r="H54" i="6" s="1"/>
  <c r="J54" i="6" s="1"/>
  <c r="G54" i="6"/>
  <c r="O5" i="7"/>
  <c r="H51" i="6" s="1"/>
  <c r="J51" i="6" s="1"/>
  <c r="G51" i="6"/>
  <c r="O20" i="7"/>
  <c r="H66" i="6" s="1"/>
  <c r="J66" i="6" s="1"/>
  <c r="G66" i="6"/>
  <c r="M37" i="7"/>
  <c r="E83" i="6" s="1"/>
  <c r="D83" i="6"/>
  <c r="AK16" i="23"/>
  <c r="AK15" i="23"/>
  <c r="R37" i="7"/>
  <c r="N37" i="7"/>
  <c r="P37" i="7"/>
  <c r="F83" i="6" s="1"/>
  <c r="Q37" i="7"/>
  <c r="C83" i="6"/>
  <c r="G38" i="7"/>
  <c r="C38" i="7"/>
  <c r="E38" i="7"/>
  <c r="A39" i="7"/>
  <c r="D38" i="7"/>
  <c r="F38" i="7"/>
  <c r="W82" i="6"/>
  <c r="AB82" i="6"/>
  <c r="BD82" i="6"/>
  <c r="BE82" i="6" s="1"/>
  <c r="BS82" i="6"/>
  <c r="BT82" i="6" s="1"/>
  <c r="AP82" i="6"/>
  <c r="O37" i="7"/>
  <c r="H83" i="6" s="1"/>
  <c r="J83" i="6" s="1"/>
  <c r="G83" i="6"/>
  <c r="AL13" i="23"/>
  <c r="AM8" i="23"/>
  <c r="AL17" i="23"/>
  <c r="AL22" i="23"/>
  <c r="AL14" i="23"/>
  <c r="AL15" i="23" s="1"/>
  <c r="AA67" i="6" l="1"/>
  <c r="AA65" i="6"/>
  <c r="AA69" i="6"/>
  <c r="AA83" i="6"/>
  <c r="AA54" i="6"/>
  <c r="AA51" i="6"/>
  <c r="AA70" i="6"/>
  <c r="AA77" i="6"/>
  <c r="AA57" i="6"/>
  <c r="AA68" i="6"/>
  <c r="AA60" i="6"/>
  <c r="AA66" i="6"/>
  <c r="AA71" i="6"/>
  <c r="AA76" i="6"/>
  <c r="AA63" i="6"/>
  <c r="AA64" i="6"/>
  <c r="AA56" i="6"/>
  <c r="AA61" i="6"/>
  <c r="AA74" i="6"/>
  <c r="AA78" i="6"/>
  <c r="AA80" i="6"/>
  <c r="AA62" i="6"/>
  <c r="AA79" i="6"/>
  <c r="AA55" i="6"/>
  <c r="AA53" i="6"/>
  <c r="AA73" i="6"/>
  <c r="AA75" i="6"/>
  <c r="BS61" i="6"/>
  <c r="BT61" i="6" s="1"/>
  <c r="AP61" i="6"/>
  <c r="BD61" i="6"/>
  <c r="BE61" i="6" s="1"/>
  <c r="BS67" i="6"/>
  <c r="BT67" i="6" s="1"/>
  <c r="AP67" i="6"/>
  <c r="BD67" i="6"/>
  <c r="BE67" i="6" s="1"/>
  <c r="AP73" i="6"/>
  <c r="BS73" i="6"/>
  <c r="BT73" i="6" s="1"/>
  <c r="BD73" i="6"/>
  <c r="BE73" i="6" s="1"/>
  <c r="I62" i="6"/>
  <c r="X62" i="6"/>
  <c r="W62" i="6"/>
  <c r="AB62" i="6"/>
  <c r="W81" i="6"/>
  <c r="AB81" i="6"/>
  <c r="I81" i="6"/>
  <c r="AB66" i="6"/>
  <c r="I66" i="6"/>
  <c r="X66" i="6"/>
  <c r="W66" i="6"/>
  <c r="I60" i="6"/>
  <c r="X60" i="6"/>
  <c r="W60" i="6"/>
  <c r="AB60" i="6"/>
  <c r="BD74" i="6"/>
  <c r="BE74" i="6" s="1"/>
  <c r="BS74" i="6"/>
  <c r="BT74" i="6" s="1"/>
  <c r="AP74" i="6"/>
  <c r="AP77" i="6"/>
  <c r="BD77" i="6"/>
  <c r="BE77" i="6" s="1"/>
  <c r="BS77" i="6"/>
  <c r="BT77" i="6" s="1"/>
  <c r="W54" i="6"/>
  <c r="AB54" i="6"/>
  <c r="I54" i="6"/>
  <c r="BD60" i="6"/>
  <c r="BE60" i="6" s="1"/>
  <c r="BS60" i="6"/>
  <c r="BT60" i="6" s="1"/>
  <c r="AP60" i="6"/>
  <c r="I57" i="6"/>
  <c r="X57" i="6"/>
  <c r="W57" i="6"/>
  <c r="AB57" i="6"/>
  <c r="AP50" i="6"/>
  <c r="BD50" i="6"/>
  <c r="BE50" i="6" s="1"/>
  <c r="BS50" i="6"/>
  <c r="BT50" i="6" s="1"/>
  <c r="I52" i="6"/>
  <c r="AB52" i="6"/>
  <c r="W52" i="6"/>
  <c r="W67" i="6"/>
  <c r="AB67" i="6"/>
  <c r="I67" i="6"/>
  <c r="X67" i="6"/>
  <c r="P37" i="6"/>
  <c r="H103" i="6" s="1"/>
  <c r="P29" i="6"/>
  <c r="N37" i="6"/>
  <c r="AB76" i="6"/>
  <c r="I76" i="6"/>
  <c r="W76" i="6"/>
  <c r="AB77" i="6"/>
  <c r="I77" i="6"/>
  <c r="W77" i="6"/>
  <c r="W79" i="6"/>
  <c r="AB79" i="6"/>
  <c r="I79" i="6"/>
  <c r="AA58" i="6"/>
  <c r="AP62" i="6"/>
  <c r="BD62" i="6"/>
  <c r="BE62" i="6" s="1"/>
  <c r="BS62" i="6"/>
  <c r="BT62" i="6" s="1"/>
  <c r="BD56" i="6"/>
  <c r="BE56" i="6" s="1"/>
  <c r="BS56" i="6"/>
  <c r="BT56" i="6" s="1"/>
  <c r="AP56" i="6"/>
  <c r="AB70" i="6"/>
  <c r="I70" i="6"/>
  <c r="W70" i="6"/>
  <c r="BD72" i="6"/>
  <c r="BE72" i="6" s="1"/>
  <c r="BS72" i="6"/>
  <c r="BT72" i="6" s="1"/>
  <c r="AP72" i="6"/>
  <c r="W78" i="6"/>
  <c r="I78" i="6"/>
  <c r="AB78" i="6"/>
  <c r="AA59" i="6"/>
  <c r="BD65" i="6"/>
  <c r="BE65" i="6" s="1"/>
  <c r="BS65" i="6"/>
  <c r="BT65" i="6" s="1"/>
  <c r="AP65" i="6"/>
  <c r="BD69" i="6"/>
  <c r="BE69" i="6" s="1"/>
  <c r="BS69" i="6"/>
  <c r="BT69" i="6" s="1"/>
  <c r="AP69" i="6"/>
  <c r="BD81" i="6"/>
  <c r="BE81" i="6" s="1"/>
  <c r="BS81" i="6"/>
  <c r="BT81" i="6" s="1"/>
  <c r="AP81" i="6"/>
  <c r="AB53" i="6"/>
  <c r="I53" i="6"/>
  <c r="W53" i="6"/>
  <c r="X61" i="6"/>
  <c r="W61" i="6"/>
  <c r="AB61" i="6"/>
  <c r="I61" i="6"/>
  <c r="X64" i="6"/>
  <c r="W64" i="6"/>
  <c r="AB64" i="6"/>
  <c r="I64" i="6"/>
  <c r="I73" i="6"/>
  <c r="W73" i="6"/>
  <c r="AB73" i="6"/>
  <c r="W74" i="6"/>
  <c r="AB74" i="6"/>
  <c r="I74" i="6"/>
  <c r="AB56" i="6"/>
  <c r="I56" i="6"/>
  <c r="W56" i="6"/>
  <c r="BD68" i="6"/>
  <c r="BE68" i="6" s="1"/>
  <c r="BS68" i="6"/>
  <c r="BT68" i="6" s="1"/>
  <c r="AP68" i="6"/>
  <c r="I72" i="6"/>
  <c r="W72" i="6"/>
  <c r="AB72" i="6"/>
  <c r="AB71" i="6"/>
  <c r="W71" i="6"/>
  <c r="I71" i="6"/>
  <c r="I80" i="6"/>
  <c r="W80" i="6"/>
  <c r="AB80" i="6"/>
  <c r="AP53" i="6"/>
  <c r="BD53" i="6"/>
  <c r="BE53" i="6" s="1"/>
  <c r="BS53" i="6"/>
  <c r="BT53" i="6" s="1"/>
  <c r="BD51" i="6"/>
  <c r="BE51" i="6" s="1"/>
  <c r="BS51" i="6"/>
  <c r="BT51" i="6" s="1"/>
  <c r="AP51" i="6"/>
  <c r="AP58" i="6"/>
  <c r="BD58" i="6"/>
  <c r="BE58" i="6" s="1"/>
  <c r="BS58" i="6"/>
  <c r="BT58" i="6" s="1"/>
  <c r="BD64" i="6"/>
  <c r="BE64" i="6" s="1"/>
  <c r="BS64" i="6"/>
  <c r="BT64" i="6" s="1"/>
  <c r="AP64" i="6"/>
  <c r="I50" i="6"/>
  <c r="W50" i="6"/>
  <c r="AB50" i="6"/>
  <c r="AB75" i="6"/>
  <c r="W75" i="6"/>
  <c r="I75" i="6"/>
  <c r="BD79" i="6"/>
  <c r="BE79" i="6" s="1"/>
  <c r="BS79" i="6"/>
  <c r="BT79" i="6" s="1"/>
  <c r="AP79" i="6"/>
  <c r="I55" i="6"/>
  <c r="W55" i="6"/>
  <c r="AB55" i="6"/>
  <c r="BD80" i="6"/>
  <c r="BE80" i="6" s="1"/>
  <c r="BS80" i="6"/>
  <c r="BT80" i="6" s="1"/>
  <c r="AP80" i="6"/>
  <c r="AB63" i="6"/>
  <c r="I63" i="6"/>
  <c r="X63" i="6"/>
  <c r="W63" i="6"/>
  <c r="BD66" i="6"/>
  <c r="BE66" i="6" s="1"/>
  <c r="BS66" i="6"/>
  <c r="BT66" i="6" s="1"/>
  <c r="AP66" i="6"/>
  <c r="BS59" i="6"/>
  <c r="BT59" i="6" s="1"/>
  <c r="AP59" i="6"/>
  <c r="BD59" i="6"/>
  <c r="BE59" i="6" s="1"/>
  <c r="BS57" i="6"/>
  <c r="BT57" i="6" s="1"/>
  <c r="AP57" i="6"/>
  <c r="BD57" i="6"/>
  <c r="BE57" i="6" s="1"/>
  <c r="BS52" i="6"/>
  <c r="BT52" i="6" s="1"/>
  <c r="AP52" i="6"/>
  <c r="BD52" i="6"/>
  <c r="BE52" i="6" s="1"/>
  <c r="BS75" i="6"/>
  <c r="BT75" i="6" s="1"/>
  <c r="BD75" i="6"/>
  <c r="BE75" i="6" s="1"/>
  <c r="AP75" i="6"/>
  <c r="AP76" i="6"/>
  <c r="BS76" i="6"/>
  <c r="BT76" i="6" s="1"/>
  <c r="BD76" i="6"/>
  <c r="BE76" i="6" s="1"/>
  <c r="AA52" i="6"/>
  <c r="AP55" i="6"/>
  <c r="BD55" i="6"/>
  <c r="BE55" i="6" s="1"/>
  <c r="BS55" i="6"/>
  <c r="BT55" i="6" s="1"/>
  <c r="X68" i="6"/>
  <c r="W68" i="6"/>
  <c r="AB68" i="6"/>
  <c r="I68" i="6"/>
  <c r="BS70" i="6"/>
  <c r="BT70" i="6" s="1"/>
  <c r="AP70" i="6"/>
  <c r="BD70" i="6"/>
  <c r="BE70" i="6" s="1"/>
  <c r="AP78" i="6"/>
  <c r="BD78" i="6"/>
  <c r="BE78" i="6" s="1"/>
  <c r="BS78" i="6"/>
  <c r="BT78" i="6" s="1"/>
  <c r="W65" i="6"/>
  <c r="AB65" i="6"/>
  <c r="I65" i="6"/>
  <c r="X65" i="6"/>
  <c r="AP54" i="6"/>
  <c r="BD54" i="6"/>
  <c r="BE54" i="6" s="1"/>
  <c r="BS54" i="6"/>
  <c r="BT54" i="6" s="1"/>
  <c r="X69" i="6"/>
  <c r="W69" i="6"/>
  <c r="AB69" i="6"/>
  <c r="I69" i="6"/>
  <c r="AP71" i="6"/>
  <c r="BD71" i="6"/>
  <c r="BE71" i="6" s="1"/>
  <c r="BS71" i="6"/>
  <c r="BT71" i="6" s="1"/>
  <c r="AP63" i="6"/>
  <c r="BD63" i="6"/>
  <c r="BE63" i="6" s="1"/>
  <c r="BS63" i="6"/>
  <c r="BT63" i="6" s="1"/>
  <c r="W51" i="6"/>
  <c r="AB51" i="6"/>
  <c r="I51" i="6"/>
  <c r="AB59" i="6"/>
  <c r="I59" i="6"/>
  <c r="X59" i="6"/>
  <c r="W59" i="6"/>
  <c r="AB58" i="6"/>
  <c r="I58" i="6"/>
  <c r="X58" i="6"/>
  <c r="W58" i="6"/>
  <c r="AA81" i="6"/>
  <c r="P38" i="7"/>
  <c r="F84" i="6" s="1"/>
  <c r="R38" i="7"/>
  <c r="N38" i="7"/>
  <c r="Q38" i="7"/>
  <c r="C84" i="6"/>
  <c r="AL16" i="23"/>
  <c r="BM82" i="6"/>
  <c r="BN82" i="6" s="1"/>
  <c r="BO82" i="6" s="1"/>
  <c r="BG82" i="6"/>
  <c r="BH82" i="6" s="1"/>
  <c r="BI82" i="6" s="1"/>
  <c r="BJ82" i="6"/>
  <c r="BK82" i="6" s="1"/>
  <c r="BL82" i="6" s="1"/>
  <c r="BP82" i="6" s="1"/>
  <c r="BF82" i="6"/>
  <c r="O38" i="7"/>
  <c r="H84" i="6" s="1"/>
  <c r="J84" i="6" s="1"/>
  <c r="G84" i="6"/>
  <c r="AB83" i="6"/>
  <c r="I83" i="6"/>
  <c r="W83" i="6"/>
  <c r="AM13" i="23"/>
  <c r="AN8" i="23"/>
  <c r="AM14" i="23"/>
  <c r="AM17" i="23"/>
  <c r="AM22" i="23"/>
  <c r="BY82" i="6"/>
  <c r="BZ82" i="6" s="1"/>
  <c r="CA82" i="6" s="1"/>
  <c r="CE82" i="6" s="1"/>
  <c r="BU82" i="6"/>
  <c r="CB82" i="6"/>
  <c r="CC82" i="6" s="1"/>
  <c r="CD82" i="6" s="1"/>
  <c r="BV82" i="6"/>
  <c r="BW82" i="6" s="1"/>
  <c r="BX82" i="6" s="1"/>
  <c r="E39" i="7"/>
  <c r="G39" i="7"/>
  <c r="C39" i="7"/>
  <c r="D39" i="7"/>
  <c r="A40" i="7"/>
  <c r="F39" i="7"/>
  <c r="BS83" i="6"/>
  <c r="BT83" i="6" s="1"/>
  <c r="AP83" i="6"/>
  <c r="BD83" i="6"/>
  <c r="BE83" i="6" s="1"/>
  <c r="AR82" i="6"/>
  <c r="AS82" i="6" s="1"/>
  <c r="AT82" i="6" s="1"/>
  <c r="AU82" i="6"/>
  <c r="AV82" i="6" s="1"/>
  <c r="AW82" i="6" s="1"/>
  <c r="BA82" i="6" s="1"/>
  <c r="AQ82" i="6"/>
  <c r="AX82" i="6"/>
  <c r="AY82" i="6" s="1"/>
  <c r="AZ82" i="6" s="1"/>
  <c r="M38" i="7"/>
  <c r="E84" i="6" s="1"/>
  <c r="D84" i="6"/>
  <c r="AA84" i="6" s="1"/>
  <c r="BG63" i="6" l="1"/>
  <c r="BH63" i="6" s="1"/>
  <c r="BI63" i="6" s="1"/>
  <c r="BF63" i="6"/>
  <c r="BJ63" i="6"/>
  <c r="BK63" i="6" s="1"/>
  <c r="BL63" i="6" s="1"/>
  <c r="BP63" i="6" s="1"/>
  <c r="BM63" i="6"/>
  <c r="BN63" i="6" s="1"/>
  <c r="BO63" i="6" s="1"/>
  <c r="AU71" i="6"/>
  <c r="AV71" i="6" s="1"/>
  <c r="AW71" i="6" s="1"/>
  <c r="BA71" i="6" s="1"/>
  <c r="AQ71" i="6"/>
  <c r="AR71" i="6"/>
  <c r="AS71" i="6" s="1"/>
  <c r="AT71" i="6" s="1"/>
  <c r="AX71" i="6"/>
  <c r="AY71" i="6" s="1"/>
  <c r="AZ71" i="6" s="1"/>
  <c r="AR55" i="6"/>
  <c r="AS55" i="6" s="1"/>
  <c r="AT55" i="6" s="1"/>
  <c r="AU55" i="6"/>
  <c r="AV55" i="6" s="1"/>
  <c r="AW55" i="6" s="1"/>
  <c r="BA55" i="6" s="1"/>
  <c r="AQ55" i="6"/>
  <c r="AX55" i="6"/>
  <c r="AY55" i="6" s="1"/>
  <c r="AZ55" i="6" s="1"/>
  <c r="AX76" i="6"/>
  <c r="AY76" i="6" s="1"/>
  <c r="AZ76" i="6" s="1"/>
  <c r="AQ76" i="6"/>
  <c r="AR76" i="6"/>
  <c r="AS76" i="6" s="1"/>
  <c r="AT76" i="6" s="1"/>
  <c r="AU76" i="6"/>
  <c r="AV76" i="6" s="1"/>
  <c r="AW76" i="6" s="1"/>
  <c r="BA76" i="6" s="1"/>
  <c r="BV59" i="6"/>
  <c r="BW59" i="6" s="1"/>
  <c r="BX59" i="6" s="1"/>
  <c r="BY59" i="6"/>
  <c r="BZ59" i="6" s="1"/>
  <c r="CA59" i="6" s="1"/>
  <c r="CE59" i="6" s="1"/>
  <c r="BU59" i="6"/>
  <c r="CB59" i="6"/>
  <c r="CC59" i="6" s="1"/>
  <c r="CD59" i="6" s="1"/>
  <c r="BU64" i="6"/>
  <c r="CB64" i="6"/>
  <c r="CC64" i="6" s="1"/>
  <c r="CD64" i="6" s="1"/>
  <c r="BV64" i="6"/>
  <c r="BW64" i="6" s="1"/>
  <c r="BX64" i="6" s="1"/>
  <c r="BY64" i="6"/>
  <c r="BZ64" i="6" s="1"/>
  <c r="CA64" i="6" s="1"/>
  <c r="CE64" i="6" s="1"/>
  <c r="BU81" i="6"/>
  <c r="CB81" i="6"/>
  <c r="CC81" i="6" s="1"/>
  <c r="CD81" i="6" s="1"/>
  <c r="BY81" i="6"/>
  <c r="BZ81" i="6" s="1"/>
  <c r="CA81" i="6" s="1"/>
  <c r="CE81" i="6" s="1"/>
  <c r="BV81" i="6"/>
  <c r="BW81" i="6" s="1"/>
  <c r="BX81" i="6" s="1"/>
  <c r="AQ72" i="6"/>
  <c r="AR72" i="6"/>
  <c r="AS72" i="6" s="1"/>
  <c r="AT72" i="6" s="1"/>
  <c r="AU72" i="6"/>
  <c r="AV72" i="6" s="1"/>
  <c r="AW72" i="6" s="1"/>
  <c r="BA72" i="6" s="1"/>
  <c r="AX72" i="6"/>
  <c r="AY72" i="6" s="1"/>
  <c r="AZ72" i="6" s="1"/>
  <c r="BM56" i="6"/>
  <c r="BN56" i="6" s="1"/>
  <c r="BO56" i="6" s="1"/>
  <c r="BG56" i="6"/>
  <c r="BH56" i="6" s="1"/>
  <c r="BI56" i="6" s="1"/>
  <c r="BJ56" i="6"/>
  <c r="BK56" i="6" s="1"/>
  <c r="BL56" i="6" s="1"/>
  <c r="BP56" i="6" s="1"/>
  <c r="BF56" i="6"/>
  <c r="AQ74" i="6"/>
  <c r="AR74" i="6"/>
  <c r="AS74" i="6" s="1"/>
  <c r="AT74" i="6" s="1"/>
  <c r="AU74" i="6"/>
  <c r="AV74" i="6" s="1"/>
  <c r="AW74" i="6" s="1"/>
  <c r="BA74" i="6" s="1"/>
  <c r="AX74" i="6"/>
  <c r="AY74" i="6" s="1"/>
  <c r="AZ74" i="6" s="1"/>
  <c r="BJ61" i="6"/>
  <c r="BK61" i="6" s="1"/>
  <c r="BL61" i="6" s="1"/>
  <c r="BP61" i="6" s="1"/>
  <c r="BF61" i="6"/>
  <c r="BM61" i="6"/>
  <c r="BN61" i="6" s="1"/>
  <c r="BO61" i="6" s="1"/>
  <c r="BG61" i="6"/>
  <c r="BH61" i="6" s="1"/>
  <c r="BI61" i="6" s="1"/>
  <c r="BU54" i="6"/>
  <c r="CB54" i="6"/>
  <c r="CC54" i="6" s="1"/>
  <c r="CD54" i="6" s="1"/>
  <c r="BV54" i="6"/>
  <c r="BW54" i="6" s="1"/>
  <c r="BX54" i="6" s="1"/>
  <c r="BY54" i="6"/>
  <c r="BZ54" i="6" s="1"/>
  <c r="CA54" i="6" s="1"/>
  <c r="CE54" i="6" s="1"/>
  <c r="BJ78" i="6"/>
  <c r="BK78" i="6" s="1"/>
  <c r="BL78" i="6" s="1"/>
  <c r="BP78" i="6" s="1"/>
  <c r="BG78" i="6"/>
  <c r="BH78" i="6" s="1"/>
  <c r="BI78" i="6" s="1"/>
  <c r="BF78" i="6"/>
  <c r="BM78" i="6"/>
  <c r="BN78" i="6" s="1"/>
  <c r="BO78" i="6" s="1"/>
  <c r="BU57" i="6"/>
  <c r="CB57" i="6"/>
  <c r="CC57" i="6" s="1"/>
  <c r="CD57" i="6" s="1"/>
  <c r="BV57" i="6"/>
  <c r="BW57" i="6" s="1"/>
  <c r="BX57" i="6" s="1"/>
  <c r="BY57" i="6"/>
  <c r="BZ57" i="6" s="1"/>
  <c r="CA57" i="6" s="1"/>
  <c r="CE57" i="6" s="1"/>
  <c r="BF53" i="6"/>
  <c r="BM53" i="6"/>
  <c r="BN53" i="6" s="1"/>
  <c r="BO53" i="6" s="1"/>
  <c r="BG53" i="6"/>
  <c r="BH53" i="6" s="1"/>
  <c r="BI53" i="6" s="1"/>
  <c r="BJ53" i="6"/>
  <c r="BK53" i="6" s="1"/>
  <c r="BL53" i="6" s="1"/>
  <c r="BP53" i="6" s="1"/>
  <c r="BV68" i="6"/>
  <c r="BW68" i="6" s="1"/>
  <c r="BX68" i="6" s="1"/>
  <c r="BY68" i="6"/>
  <c r="BZ68" i="6" s="1"/>
  <c r="CA68" i="6" s="1"/>
  <c r="CE68" i="6" s="1"/>
  <c r="BU68" i="6"/>
  <c r="CB68" i="6"/>
  <c r="CC68" i="6" s="1"/>
  <c r="CD68" i="6" s="1"/>
  <c r="AQ65" i="6"/>
  <c r="AX65" i="6"/>
  <c r="AY65" i="6" s="1"/>
  <c r="AZ65" i="6" s="1"/>
  <c r="AR65" i="6"/>
  <c r="AS65" i="6" s="1"/>
  <c r="AT65" i="6" s="1"/>
  <c r="AU65" i="6"/>
  <c r="AV65" i="6" s="1"/>
  <c r="AW65" i="6" s="1"/>
  <c r="BA65" i="6" s="1"/>
  <c r="BY62" i="6"/>
  <c r="BZ62" i="6" s="1"/>
  <c r="CA62" i="6" s="1"/>
  <c r="CE62" i="6" s="1"/>
  <c r="CB62" i="6"/>
  <c r="CC62" i="6" s="1"/>
  <c r="CD62" i="6" s="1"/>
  <c r="BV62" i="6"/>
  <c r="BW62" i="6" s="1"/>
  <c r="BX62" i="6" s="1"/>
  <c r="BU62" i="6"/>
  <c r="BJ60" i="6"/>
  <c r="BK60" i="6" s="1"/>
  <c r="BL60" i="6" s="1"/>
  <c r="BP60" i="6" s="1"/>
  <c r="BF60" i="6"/>
  <c r="BM60" i="6"/>
  <c r="BN60" i="6" s="1"/>
  <c r="BO60" i="6" s="1"/>
  <c r="BG60" i="6"/>
  <c r="BH60" i="6" s="1"/>
  <c r="BI60" i="6" s="1"/>
  <c r="BY74" i="6"/>
  <c r="BZ74" i="6" s="1"/>
  <c r="CA74" i="6" s="1"/>
  <c r="CE74" i="6" s="1"/>
  <c r="BU74" i="6"/>
  <c r="CB74" i="6"/>
  <c r="CC74" i="6" s="1"/>
  <c r="CD74" i="6" s="1"/>
  <c r="BV74" i="6"/>
  <c r="BW74" i="6" s="1"/>
  <c r="BX74" i="6" s="1"/>
  <c r="BJ67" i="6"/>
  <c r="BK67" i="6" s="1"/>
  <c r="BL67" i="6" s="1"/>
  <c r="BP67" i="6" s="1"/>
  <c r="BF67" i="6"/>
  <c r="BM67" i="6"/>
  <c r="BN67" i="6" s="1"/>
  <c r="BO67" i="6" s="1"/>
  <c r="BG67" i="6"/>
  <c r="BH67" i="6" s="1"/>
  <c r="BI67" i="6" s="1"/>
  <c r="CB63" i="6"/>
  <c r="CC63" i="6" s="1"/>
  <c r="CD63" i="6" s="1"/>
  <c r="BV63" i="6"/>
  <c r="BW63" i="6" s="1"/>
  <c r="BX63" i="6" s="1"/>
  <c r="BY63" i="6"/>
  <c r="BZ63" i="6" s="1"/>
  <c r="CA63" i="6" s="1"/>
  <c r="CE63" i="6" s="1"/>
  <c r="BU63" i="6"/>
  <c r="BG71" i="6"/>
  <c r="BH71" i="6" s="1"/>
  <c r="BI71" i="6" s="1"/>
  <c r="BJ71" i="6"/>
  <c r="BK71" i="6" s="1"/>
  <c r="BL71" i="6" s="1"/>
  <c r="BP71" i="6" s="1"/>
  <c r="BM71" i="6"/>
  <c r="BN71" i="6" s="1"/>
  <c r="BO71" i="6" s="1"/>
  <c r="BF71" i="6"/>
  <c r="AQ54" i="6"/>
  <c r="AU54" i="6"/>
  <c r="AV54" i="6" s="1"/>
  <c r="AW54" i="6" s="1"/>
  <c r="BA54" i="6" s="1"/>
  <c r="AX54" i="6"/>
  <c r="AY54" i="6" s="1"/>
  <c r="AZ54" i="6" s="1"/>
  <c r="AR54" i="6"/>
  <c r="AS54" i="6" s="1"/>
  <c r="AT54" i="6" s="1"/>
  <c r="BF70" i="6"/>
  <c r="BJ70" i="6"/>
  <c r="BK70" i="6" s="1"/>
  <c r="BL70" i="6" s="1"/>
  <c r="BP70" i="6" s="1"/>
  <c r="BM70" i="6"/>
  <c r="BN70" i="6" s="1"/>
  <c r="BO70" i="6" s="1"/>
  <c r="BG70" i="6"/>
  <c r="BH70" i="6" s="1"/>
  <c r="BI70" i="6" s="1"/>
  <c r="BJ55" i="6"/>
  <c r="BK55" i="6" s="1"/>
  <c r="BL55" i="6" s="1"/>
  <c r="BP55" i="6" s="1"/>
  <c r="BF55" i="6"/>
  <c r="BM55" i="6"/>
  <c r="BN55" i="6" s="1"/>
  <c r="BO55" i="6" s="1"/>
  <c r="BG55" i="6"/>
  <c r="BH55" i="6" s="1"/>
  <c r="BI55" i="6" s="1"/>
  <c r="BY76" i="6"/>
  <c r="BZ76" i="6" s="1"/>
  <c r="CA76" i="6" s="1"/>
  <c r="CE76" i="6" s="1"/>
  <c r="BV76" i="6"/>
  <c r="BW76" i="6" s="1"/>
  <c r="BX76" i="6" s="1"/>
  <c r="BU76" i="6"/>
  <c r="CB76" i="6"/>
  <c r="CC76" i="6" s="1"/>
  <c r="CD76" i="6" s="1"/>
  <c r="BY75" i="6"/>
  <c r="BZ75" i="6" s="1"/>
  <c r="CA75" i="6" s="1"/>
  <c r="CE75" i="6" s="1"/>
  <c r="BU75" i="6"/>
  <c r="BV75" i="6"/>
  <c r="BW75" i="6" s="1"/>
  <c r="BX75" i="6" s="1"/>
  <c r="CB75" i="6"/>
  <c r="CC75" i="6" s="1"/>
  <c r="CD75" i="6" s="1"/>
  <c r="BG57" i="6"/>
  <c r="BH57" i="6" s="1"/>
  <c r="BI57" i="6" s="1"/>
  <c r="BJ57" i="6"/>
  <c r="BK57" i="6" s="1"/>
  <c r="BL57" i="6" s="1"/>
  <c r="BP57" i="6" s="1"/>
  <c r="BF57" i="6"/>
  <c r="BM57" i="6"/>
  <c r="BN57" i="6" s="1"/>
  <c r="BO57" i="6" s="1"/>
  <c r="AU59" i="6"/>
  <c r="AV59" i="6" s="1"/>
  <c r="AW59" i="6" s="1"/>
  <c r="BA59" i="6" s="1"/>
  <c r="AQ59" i="6"/>
  <c r="AX59" i="6"/>
  <c r="AY59" i="6" s="1"/>
  <c r="AZ59" i="6" s="1"/>
  <c r="AR59" i="6"/>
  <c r="AS59" i="6" s="1"/>
  <c r="AT59" i="6" s="1"/>
  <c r="BF66" i="6"/>
  <c r="BM66" i="6"/>
  <c r="BN66" i="6" s="1"/>
  <c r="BO66" i="6" s="1"/>
  <c r="BG66" i="6"/>
  <c r="BH66" i="6" s="1"/>
  <c r="BI66" i="6" s="1"/>
  <c r="BJ66" i="6"/>
  <c r="BK66" i="6" s="1"/>
  <c r="BL66" i="6" s="1"/>
  <c r="BP66" i="6" s="1"/>
  <c r="CB79" i="6"/>
  <c r="CC79" i="6" s="1"/>
  <c r="CD79" i="6" s="1"/>
  <c r="BV79" i="6"/>
  <c r="BW79" i="6" s="1"/>
  <c r="BX79" i="6" s="1"/>
  <c r="BY79" i="6"/>
  <c r="BZ79" i="6" s="1"/>
  <c r="CA79" i="6" s="1"/>
  <c r="CE79" i="6" s="1"/>
  <c r="BU79" i="6"/>
  <c r="AU64" i="6"/>
  <c r="AV64" i="6" s="1"/>
  <c r="AW64" i="6" s="1"/>
  <c r="BA64" i="6" s="1"/>
  <c r="AQ64" i="6"/>
  <c r="AX64" i="6"/>
  <c r="AY64" i="6" s="1"/>
  <c r="AZ64" i="6" s="1"/>
  <c r="AR64" i="6"/>
  <c r="AS64" i="6" s="1"/>
  <c r="AT64" i="6" s="1"/>
  <c r="BF58" i="6"/>
  <c r="BM58" i="6"/>
  <c r="BN58" i="6" s="1"/>
  <c r="BO58" i="6" s="1"/>
  <c r="BG58" i="6"/>
  <c r="BH58" i="6" s="1"/>
  <c r="BI58" i="6" s="1"/>
  <c r="BJ58" i="6"/>
  <c r="BK58" i="6" s="1"/>
  <c r="BL58" i="6" s="1"/>
  <c r="BP58" i="6" s="1"/>
  <c r="BJ51" i="6"/>
  <c r="BK51" i="6" s="1"/>
  <c r="BL51" i="6" s="1"/>
  <c r="BP51" i="6" s="1"/>
  <c r="BF51" i="6"/>
  <c r="BM51" i="6"/>
  <c r="BN51" i="6" s="1"/>
  <c r="BO51" i="6" s="1"/>
  <c r="BG51" i="6"/>
  <c r="BH51" i="6" s="1"/>
  <c r="BI51" i="6" s="1"/>
  <c r="AR81" i="6"/>
  <c r="AS81" i="6" s="1"/>
  <c r="AT81" i="6" s="1"/>
  <c r="AU81" i="6"/>
  <c r="AV81" i="6" s="1"/>
  <c r="AW81" i="6" s="1"/>
  <c r="BA81" i="6" s="1"/>
  <c r="AQ81" i="6"/>
  <c r="AX81" i="6"/>
  <c r="AY81" i="6" s="1"/>
  <c r="AZ81" i="6" s="1"/>
  <c r="CB69" i="6"/>
  <c r="CC69" i="6" s="1"/>
  <c r="CD69" i="6" s="1"/>
  <c r="BV69" i="6"/>
  <c r="BW69" i="6" s="1"/>
  <c r="BX69" i="6" s="1"/>
  <c r="BY69" i="6"/>
  <c r="BZ69" i="6" s="1"/>
  <c r="CA69" i="6" s="1"/>
  <c r="CE69" i="6" s="1"/>
  <c r="BU69" i="6"/>
  <c r="BG65" i="6"/>
  <c r="BH65" i="6" s="1"/>
  <c r="BI65" i="6" s="1"/>
  <c r="BJ65" i="6"/>
  <c r="BK65" i="6" s="1"/>
  <c r="BL65" i="6" s="1"/>
  <c r="BP65" i="6" s="1"/>
  <c r="BF65" i="6"/>
  <c r="BM65" i="6"/>
  <c r="BN65" i="6" s="1"/>
  <c r="BO65" i="6" s="1"/>
  <c r="BY56" i="6"/>
  <c r="BZ56" i="6" s="1"/>
  <c r="CA56" i="6" s="1"/>
  <c r="CE56" i="6" s="1"/>
  <c r="BU56" i="6"/>
  <c r="CB56" i="6"/>
  <c r="CC56" i="6" s="1"/>
  <c r="CD56" i="6" s="1"/>
  <c r="BV56" i="6"/>
  <c r="BW56" i="6" s="1"/>
  <c r="BX56" i="6" s="1"/>
  <c r="AQ62" i="6"/>
  <c r="AX62" i="6"/>
  <c r="AY62" i="6" s="1"/>
  <c r="AZ62" i="6" s="1"/>
  <c r="AR62" i="6"/>
  <c r="AS62" i="6" s="1"/>
  <c r="AT62" i="6" s="1"/>
  <c r="AU62" i="6"/>
  <c r="AV62" i="6" s="1"/>
  <c r="AW62" i="6" s="1"/>
  <c r="BA62" i="6" s="1"/>
  <c r="AX60" i="6"/>
  <c r="AY60" i="6" s="1"/>
  <c r="AZ60" i="6" s="1"/>
  <c r="AR60" i="6"/>
  <c r="AS60" i="6" s="1"/>
  <c r="AT60" i="6" s="1"/>
  <c r="AQ60" i="6"/>
  <c r="AU60" i="6"/>
  <c r="AV60" i="6" s="1"/>
  <c r="AW60" i="6" s="1"/>
  <c r="BA60" i="6" s="1"/>
  <c r="AR77" i="6"/>
  <c r="AS77" i="6" s="1"/>
  <c r="AT77" i="6" s="1"/>
  <c r="AU77" i="6"/>
  <c r="AV77" i="6" s="1"/>
  <c r="AW77" i="6" s="1"/>
  <c r="BA77" i="6" s="1"/>
  <c r="AX77" i="6"/>
  <c r="AY77" i="6" s="1"/>
  <c r="AZ77" i="6" s="1"/>
  <c r="AQ77" i="6"/>
  <c r="BY73" i="6"/>
  <c r="BZ73" i="6" s="1"/>
  <c r="CA73" i="6" s="1"/>
  <c r="CE73" i="6" s="1"/>
  <c r="BU73" i="6"/>
  <c r="CB73" i="6"/>
  <c r="CC73" i="6" s="1"/>
  <c r="CD73" i="6" s="1"/>
  <c r="BV73" i="6"/>
  <c r="BW73" i="6" s="1"/>
  <c r="BX73" i="6" s="1"/>
  <c r="BV67" i="6"/>
  <c r="BW67" i="6" s="1"/>
  <c r="BX67" i="6" s="1"/>
  <c r="BY67" i="6"/>
  <c r="BZ67" i="6" s="1"/>
  <c r="CA67" i="6" s="1"/>
  <c r="CE67" i="6" s="1"/>
  <c r="BU67" i="6"/>
  <c r="CB67" i="6"/>
  <c r="CC67" i="6" s="1"/>
  <c r="CD67" i="6" s="1"/>
  <c r="BY78" i="6"/>
  <c r="BZ78" i="6" s="1"/>
  <c r="CA78" i="6" s="1"/>
  <c r="CE78" i="6" s="1"/>
  <c r="BV78" i="6"/>
  <c r="BW78" i="6" s="1"/>
  <c r="BX78" i="6" s="1"/>
  <c r="BU78" i="6"/>
  <c r="CB78" i="6"/>
  <c r="CC78" i="6" s="1"/>
  <c r="CD78" i="6" s="1"/>
  <c r="AX70" i="6"/>
  <c r="AY70" i="6" s="1"/>
  <c r="AZ70" i="6" s="1"/>
  <c r="AR70" i="6"/>
  <c r="AS70" i="6" s="1"/>
  <c r="AT70" i="6" s="1"/>
  <c r="AQ70" i="6"/>
  <c r="AU70" i="6"/>
  <c r="AV70" i="6" s="1"/>
  <c r="AW70" i="6" s="1"/>
  <c r="BA70" i="6" s="1"/>
  <c r="BM52" i="6"/>
  <c r="BN52" i="6" s="1"/>
  <c r="BO52" i="6" s="1"/>
  <c r="BG52" i="6"/>
  <c r="BH52" i="6" s="1"/>
  <c r="BI52" i="6" s="1"/>
  <c r="BJ52" i="6"/>
  <c r="BK52" i="6" s="1"/>
  <c r="BL52" i="6" s="1"/>
  <c r="BP52" i="6" s="1"/>
  <c r="BF52" i="6"/>
  <c r="AQ57" i="6"/>
  <c r="AX57" i="6"/>
  <c r="AY57" i="6" s="1"/>
  <c r="AZ57" i="6" s="1"/>
  <c r="AR57" i="6"/>
  <c r="AS57" i="6" s="1"/>
  <c r="AT57" i="6" s="1"/>
  <c r="AU57" i="6"/>
  <c r="AV57" i="6" s="1"/>
  <c r="AW57" i="6" s="1"/>
  <c r="BA57" i="6" s="1"/>
  <c r="AQ80" i="6"/>
  <c r="AR80" i="6"/>
  <c r="AS80" i="6" s="1"/>
  <c r="AT80" i="6" s="1"/>
  <c r="AX80" i="6"/>
  <c r="AY80" i="6" s="1"/>
  <c r="AZ80" i="6" s="1"/>
  <c r="AU80" i="6"/>
  <c r="AV80" i="6" s="1"/>
  <c r="AW80" i="6" s="1"/>
  <c r="BA80" i="6" s="1"/>
  <c r="BJ79" i="6"/>
  <c r="BK79" i="6" s="1"/>
  <c r="BL79" i="6" s="1"/>
  <c r="BP79" i="6" s="1"/>
  <c r="BF79" i="6"/>
  <c r="BM79" i="6"/>
  <c r="BN79" i="6" s="1"/>
  <c r="BO79" i="6" s="1"/>
  <c r="BG79" i="6"/>
  <c r="BH79" i="6" s="1"/>
  <c r="BI79" i="6" s="1"/>
  <c r="AR58" i="6"/>
  <c r="AS58" i="6" s="1"/>
  <c r="AT58" i="6" s="1"/>
  <c r="AU58" i="6"/>
  <c r="AV58" i="6" s="1"/>
  <c r="AW58" i="6" s="1"/>
  <c r="BA58" i="6" s="1"/>
  <c r="AQ58" i="6"/>
  <c r="AX58" i="6"/>
  <c r="AY58" i="6" s="1"/>
  <c r="AZ58" i="6" s="1"/>
  <c r="BV53" i="6"/>
  <c r="BW53" i="6" s="1"/>
  <c r="BX53" i="6" s="1"/>
  <c r="BU53" i="6"/>
  <c r="BY53" i="6"/>
  <c r="BZ53" i="6" s="1"/>
  <c r="CA53" i="6" s="1"/>
  <c r="CE53" i="6" s="1"/>
  <c r="CB53" i="6"/>
  <c r="CC53" i="6" s="1"/>
  <c r="CD53" i="6" s="1"/>
  <c r="AU68" i="6"/>
  <c r="AV68" i="6" s="1"/>
  <c r="AW68" i="6" s="1"/>
  <c r="BA68" i="6" s="1"/>
  <c r="AQ68" i="6"/>
  <c r="AX68" i="6"/>
  <c r="AY68" i="6" s="1"/>
  <c r="AZ68" i="6" s="1"/>
  <c r="AR68" i="6"/>
  <c r="AS68" i="6" s="1"/>
  <c r="AT68" i="6" s="1"/>
  <c r="BM69" i="6"/>
  <c r="BN69" i="6" s="1"/>
  <c r="BO69" i="6" s="1"/>
  <c r="BG69" i="6"/>
  <c r="BH69" i="6" s="1"/>
  <c r="BI69" i="6" s="1"/>
  <c r="BJ69" i="6"/>
  <c r="BK69" i="6" s="1"/>
  <c r="BL69" i="6" s="1"/>
  <c r="BP69" i="6" s="1"/>
  <c r="BF69" i="6"/>
  <c r="BV50" i="6"/>
  <c r="BW50" i="6" s="1"/>
  <c r="BX50" i="6" s="1"/>
  <c r="BY50" i="6"/>
  <c r="BZ50" i="6" s="1"/>
  <c r="CA50" i="6" s="1"/>
  <c r="CE50" i="6" s="1"/>
  <c r="BU50" i="6"/>
  <c r="CB50" i="6"/>
  <c r="CC50" i="6" s="1"/>
  <c r="CD50" i="6" s="1"/>
  <c r="CB60" i="6"/>
  <c r="CC60" i="6" s="1"/>
  <c r="CD60" i="6" s="1"/>
  <c r="BV60" i="6"/>
  <c r="BW60" i="6" s="1"/>
  <c r="BX60" i="6" s="1"/>
  <c r="BY60" i="6"/>
  <c r="BZ60" i="6" s="1"/>
  <c r="CA60" i="6" s="1"/>
  <c r="CE60" i="6" s="1"/>
  <c r="BU60" i="6"/>
  <c r="AQ73" i="6"/>
  <c r="AX73" i="6"/>
  <c r="AY73" i="6" s="1"/>
  <c r="AZ73" i="6" s="1"/>
  <c r="AR73" i="6"/>
  <c r="AS73" i="6" s="1"/>
  <c r="AT73" i="6" s="1"/>
  <c r="AU73" i="6"/>
  <c r="AV73" i="6" s="1"/>
  <c r="AW73" i="6" s="1"/>
  <c r="BA73" i="6" s="1"/>
  <c r="AQ63" i="6"/>
  <c r="AX63" i="6"/>
  <c r="AY63" i="6" s="1"/>
  <c r="AZ63" i="6" s="1"/>
  <c r="AR63" i="6"/>
  <c r="AS63" i="6" s="1"/>
  <c r="AT63" i="6" s="1"/>
  <c r="AU63" i="6"/>
  <c r="AV63" i="6" s="1"/>
  <c r="AW63" i="6" s="1"/>
  <c r="BA63" i="6" s="1"/>
  <c r="BV70" i="6"/>
  <c r="BW70" i="6" s="1"/>
  <c r="BX70" i="6" s="1"/>
  <c r="BY70" i="6"/>
  <c r="BZ70" i="6" s="1"/>
  <c r="CA70" i="6" s="1"/>
  <c r="CE70" i="6" s="1"/>
  <c r="CB70" i="6"/>
  <c r="CC70" i="6" s="1"/>
  <c r="CD70" i="6" s="1"/>
  <c r="BU70" i="6"/>
  <c r="AR75" i="6"/>
  <c r="AS75" i="6" s="1"/>
  <c r="AT75" i="6" s="1"/>
  <c r="AX75" i="6"/>
  <c r="AY75" i="6" s="1"/>
  <c r="AZ75" i="6" s="1"/>
  <c r="AU75" i="6"/>
  <c r="AV75" i="6" s="1"/>
  <c r="AW75" i="6" s="1"/>
  <c r="BA75" i="6" s="1"/>
  <c r="AQ75" i="6"/>
  <c r="AX52" i="6"/>
  <c r="AY52" i="6" s="1"/>
  <c r="AZ52" i="6" s="1"/>
  <c r="AR52" i="6"/>
  <c r="AS52" i="6" s="1"/>
  <c r="AT52" i="6" s="1"/>
  <c r="AU52" i="6"/>
  <c r="AV52" i="6" s="1"/>
  <c r="AW52" i="6" s="1"/>
  <c r="BA52" i="6" s="1"/>
  <c r="AQ52" i="6"/>
  <c r="AQ66" i="6"/>
  <c r="AX66" i="6"/>
  <c r="AY66" i="6" s="1"/>
  <c r="AZ66" i="6" s="1"/>
  <c r="AR66" i="6"/>
  <c r="AS66" i="6" s="1"/>
  <c r="AT66" i="6" s="1"/>
  <c r="AU66" i="6"/>
  <c r="AV66" i="6" s="1"/>
  <c r="AW66" i="6" s="1"/>
  <c r="BA66" i="6" s="1"/>
  <c r="BV80" i="6"/>
  <c r="BW80" i="6" s="1"/>
  <c r="BX80" i="6" s="1"/>
  <c r="BY80" i="6"/>
  <c r="BZ80" i="6" s="1"/>
  <c r="CA80" i="6" s="1"/>
  <c r="CE80" i="6" s="1"/>
  <c r="BU80" i="6"/>
  <c r="CB80" i="6"/>
  <c r="CC80" i="6" s="1"/>
  <c r="CD80" i="6" s="1"/>
  <c r="BJ64" i="6"/>
  <c r="BK64" i="6" s="1"/>
  <c r="BL64" i="6" s="1"/>
  <c r="BP64" i="6" s="1"/>
  <c r="BF64" i="6"/>
  <c r="BM64" i="6"/>
  <c r="BN64" i="6" s="1"/>
  <c r="BO64" i="6" s="1"/>
  <c r="BG64" i="6"/>
  <c r="BH64" i="6" s="1"/>
  <c r="BI64" i="6" s="1"/>
  <c r="AR51" i="6"/>
  <c r="AS51" i="6" s="1"/>
  <c r="AT51" i="6" s="1"/>
  <c r="AU51" i="6"/>
  <c r="AV51" i="6" s="1"/>
  <c r="AW51" i="6" s="1"/>
  <c r="BA51" i="6" s="1"/>
  <c r="AQ51" i="6"/>
  <c r="AX51" i="6"/>
  <c r="AY51" i="6" s="1"/>
  <c r="AZ51" i="6" s="1"/>
  <c r="BJ81" i="6"/>
  <c r="BK81" i="6" s="1"/>
  <c r="BL81" i="6" s="1"/>
  <c r="BP81" i="6" s="1"/>
  <c r="BF81" i="6"/>
  <c r="BM81" i="6"/>
  <c r="BN81" i="6" s="1"/>
  <c r="BO81" i="6" s="1"/>
  <c r="BG81" i="6"/>
  <c r="BH81" i="6" s="1"/>
  <c r="BI81" i="6" s="1"/>
  <c r="CB72" i="6"/>
  <c r="CC72" i="6" s="1"/>
  <c r="CD72" i="6" s="1"/>
  <c r="BV72" i="6"/>
  <c r="BW72" i="6" s="1"/>
  <c r="BX72" i="6" s="1"/>
  <c r="BU72" i="6"/>
  <c r="BY72" i="6"/>
  <c r="BZ72" i="6" s="1"/>
  <c r="CA72" i="6" s="1"/>
  <c r="CE72" i="6" s="1"/>
  <c r="BJ50" i="6"/>
  <c r="BK50" i="6" s="1"/>
  <c r="BL50" i="6" s="1"/>
  <c r="BP50" i="6" s="1"/>
  <c r="BF50" i="6"/>
  <c r="BM50" i="6"/>
  <c r="BN50" i="6" s="1"/>
  <c r="BO50" i="6" s="1"/>
  <c r="BG50" i="6"/>
  <c r="BH50" i="6" s="1"/>
  <c r="BI50" i="6" s="1"/>
  <c r="BY77" i="6"/>
  <c r="BZ77" i="6" s="1"/>
  <c r="CA77" i="6" s="1"/>
  <c r="CE77" i="6" s="1"/>
  <c r="BU77" i="6"/>
  <c r="BV77" i="6"/>
  <c r="BW77" i="6" s="1"/>
  <c r="BX77" i="6" s="1"/>
  <c r="CB77" i="6"/>
  <c r="CC77" i="6" s="1"/>
  <c r="CD77" i="6" s="1"/>
  <c r="AR61" i="6"/>
  <c r="AS61" i="6" s="1"/>
  <c r="AT61" i="6" s="1"/>
  <c r="AU61" i="6"/>
  <c r="AV61" i="6" s="1"/>
  <c r="AW61" i="6" s="1"/>
  <c r="BA61" i="6" s="1"/>
  <c r="AQ61" i="6"/>
  <c r="AX61" i="6"/>
  <c r="AY61" i="6" s="1"/>
  <c r="AZ61" i="6" s="1"/>
  <c r="BV71" i="6"/>
  <c r="BW71" i="6" s="1"/>
  <c r="BX71" i="6" s="1"/>
  <c r="BY71" i="6"/>
  <c r="BZ71" i="6" s="1"/>
  <c r="CA71" i="6" s="1"/>
  <c r="CE71" i="6" s="1"/>
  <c r="CB71" i="6"/>
  <c r="CC71" i="6" s="1"/>
  <c r="CD71" i="6" s="1"/>
  <c r="BU71" i="6"/>
  <c r="BJ54" i="6"/>
  <c r="BK54" i="6" s="1"/>
  <c r="BL54" i="6" s="1"/>
  <c r="BP54" i="6" s="1"/>
  <c r="BF54" i="6"/>
  <c r="BM54" i="6"/>
  <c r="BN54" i="6" s="1"/>
  <c r="BO54" i="6" s="1"/>
  <c r="BG54" i="6"/>
  <c r="BH54" i="6" s="1"/>
  <c r="BI54" i="6" s="1"/>
  <c r="AX78" i="6"/>
  <c r="AY78" i="6" s="1"/>
  <c r="AZ78" i="6" s="1"/>
  <c r="AU78" i="6"/>
  <c r="AV78" i="6" s="1"/>
  <c r="AW78" i="6" s="1"/>
  <c r="BA78" i="6" s="1"/>
  <c r="AQ78" i="6"/>
  <c r="AR78" i="6"/>
  <c r="AS78" i="6" s="1"/>
  <c r="AT78" i="6" s="1"/>
  <c r="CB55" i="6"/>
  <c r="CC55" i="6" s="1"/>
  <c r="CD55" i="6" s="1"/>
  <c r="BV55" i="6"/>
  <c r="BW55" i="6" s="1"/>
  <c r="BX55" i="6" s="1"/>
  <c r="BY55" i="6"/>
  <c r="BZ55" i="6" s="1"/>
  <c r="CA55" i="6" s="1"/>
  <c r="CE55" i="6" s="1"/>
  <c r="BU55" i="6"/>
  <c r="BG76" i="6"/>
  <c r="BH76" i="6" s="1"/>
  <c r="BI76" i="6" s="1"/>
  <c r="BJ76" i="6"/>
  <c r="BK76" i="6" s="1"/>
  <c r="BL76" i="6" s="1"/>
  <c r="BP76" i="6" s="1"/>
  <c r="BM76" i="6"/>
  <c r="BN76" i="6" s="1"/>
  <c r="BO76" i="6" s="1"/>
  <c r="BF76" i="6"/>
  <c r="BF75" i="6"/>
  <c r="BG75" i="6"/>
  <c r="BH75" i="6" s="1"/>
  <c r="BI75" i="6" s="1"/>
  <c r="BJ75" i="6"/>
  <c r="BK75" i="6" s="1"/>
  <c r="BL75" i="6" s="1"/>
  <c r="BP75" i="6" s="1"/>
  <c r="BM75" i="6"/>
  <c r="BN75" i="6" s="1"/>
  <c r="BO75" i="6" s="1"/>
  <c r="BU52" i="6"/>
  <c r="CB52" i="6"/>
  <c r="CC52" i="6" s="1"/>
  <c r="CD52" i="6" s="1"/>
  <c r="BV52" i="6"/>
  <c r="BW52" i="6" s="1"/>
  <c r="BX52" i="6" s="1"/>
  <c r="BY52" i="6"/>
  <c r="BZ52" i="6" s="1"/>
  <c r="CA52" i="6" s="1"/>
  <c r="CE52" i="6" s="1"/>
  <c r="BM59" i="6"/>
  <c r="BN59" i="6" s="1"/>
  <c r="BO59" i="6" s="1"/>
  <c r="BG59" i="6"/>
  <c r="BH59" i="6" s="1"/>
  <c r="BI59" i="6" s="1"/>
  <c r="BF59" i="6"/>
  <c r="BJ59" i="6"/>
  <c r="BK59" i="6" s="1"/>
  <c r="BL59" i="6" s="1"/>
  <c r="BP59" i="6" s="1"/>
  <c r="BU66" i="6"/>
  <c r="BY66" i="6"/>
  <c r="BZ66" i="6" s="1"/>
  <c r="CA66" i="6" s="1"/>
  <c r="CE66" i="6" s="1"/>
  <c r="CB66" i="6"/>
  <c r="CC66" i="6" s="1"/>
  <c r="CD66" i="6" s="1"/>
  <c r="BV66" i="6"/>
  <c r="BW66" i="6" s="1"/>
  <c r="BX66" i="6" s="1"/>
  <c r="BJ80" i="6"/>
  <c r="BK80" i="6" s="1"/>
  <c r="BL80" i="6" s="1"/>
  <c r="BP80" i="6" s="1"/>
  <c r="BG80" i="6"/>
  <c r="BH80" i="6" s="1"/>
  <c r="BI80" i="6" s="1"/>
  <c r="BM80" i="6"/>
  <c r="BN80" i="6" s="1"/>
  <c r="BO80" i="6" s="1"/>
  <c r="BF80" i="6"/>
  <c r="AR79" i="6"/>
  <c r="AS79" i="6" s="1"/>
  <c r="AT79" i="6" s="1"/>
  <c r="AU79" i="6"/>
  <c r="AV79" i="6" s="1"/>
  <c r="AW79" i="6" s="1"/>
  <c r="BA79" i="6" s="1"/>
  <c r="AQ79" i="6"/>
  <c r="AX79" i="6"/>
  <c r="AY79" i="6" s="1"/>
  <c r="AZ79" i="6" s="1"/>
  <c r="BY58" i="6"/>
  <c r="BZ58" i="6" s="1"/>
  <c r="CA58" i="6" s="1"/>
  <c r="CE58" i="6" s="1"/>
  <c r="BU58" i="6"/>
  <c r="CB58" i="6"/>
  <c r="CC58" i="6" s="1"/>
  <c r="CD58" i="6" s="1"/>
  <c r="BV58" i="6"/>
  <c r="BW58" i="6" s="1"/>
  <c r="BX58" i="6" s="1"/>
  <c r="BV51" i="6"/>
  <c r="BW51" i="6" s="1"/>
  <c r="BX51" i="6" s="1"/>
  <c r="BY51" i="6"/>
  <c r="BZ51" i="6" s="1"/>
  <c r="CA51" i="6" s="1"/>
  <c r="CE51" i="6" s="1"/>
  <c r="BU51" i="6"/>
  <c r="CB51" i="6"/>
  <c r="CC51" i="6" s="1"/>
  <c r="CD51" i="6" s="1"/>
  <c r="AU53" i="6"/>
  <c r="AV53" i="6" s="1"/>
  <c r="AW53" i="6" s="1"/>
  <c r="BA53" i="6" s="1"/>
  <c r="AQ53" i="6"/>
  <c r="AX53" i="6"/>
  <c r="AY53" i="6" s="1"/>
  <c r="AZ53" i="6" s="1"/>
  <c r="AR53" i="6"/>
  <c r="AS53" i="6" s="1"/>
  <c r="AT53" i="6" s="1"/>
  <c r="BM68" i="6"/>
  <c r="BN68" i="6" s="1"/>
  <c r="BO68" i="6" s="1"/>
  <c r="BG68" i="6"/>
  <c r="BH68" i="6" s="1"/>
  <c r="BI68" i="6" s="1"/>
  <c r="BJ68" i="6"/>
  <c r="BK68" i="6" s="1"/>
  <c r="BL68" i="6" s="1"/>
  <c r="BP68" i="6" s="1"/>
  <c r="BF68" i="6"/>
  <c r="AX69" i="6"/>
  <c r="AY69" i="6" s="1"/>
  <c r="AZ69" i="6" s="1"/>
  <c r="AR69" i="6"/>
  <c r="AS69" i="6" s="1"/>
  <c r="AT69" i="6" s="1"/>
  <c r="AU69" i="6"/>
  <c r="AV69" i="6" s="1"/>
  <c r="AW69" i="6" s="1"/>
  <c r="BA69" i="6" s="1"/>
  <c r="AQ69" i="6"/>
  <c r="BY65" i="6"/>
  <c r="BZ65" i="6" s="1"/>
  <c r="CA65" i="6" s="1"/>
  <c r="CE65" i="6" s="1"/>
  <c r="BU65" i="6"/>
  <c r="CB65" i="6"/>
  <c r="CC65" i="6" s="1"/>
  <c r="CD65" i="6" s="1"/>
  <c r="BV65" i="6"/>
  <c r="BW65" i="6" s="1"/>
  <c r="BX65" i="6" s="1"/>
  <c r="BM72" i="6"/>
  <c r="BN72" i="6" s="1"/>
  <c r="BO72" i="6" s="1"/>
  <c r="BJ72" i="6"/>
  <c r="BK72" i="6" s="1"/>
  <c r="BL72" i="6" s="1"/>
  <c r="BP72" i="6" s="1"/>
  <c r="BF72" i="6"/>
  <c r="BG72" i="6"/>
  <c r="BH72" i="6" s="1"/>
  <c r="BI72" i="6" s="1"/>
  <c r="AX56" i="6"/>
  <c r="AY56" i="6" s="1"/>
  <c r="AZ56" i="6" s="1"/>
  <c r="AR56" i="6"/>
  <c r="AS56" i="6" s="1"/>
  <c r="AT56" i="6" s="1"/>
  <c r="AQ56" i="6"/>
  <c r="AU56" i="6"/>
  <c r="AV56" i="6" s="1"/>
  <c r="AW56" i="6" s="1"/>
  <c r="BA56" i="6" s="1"/>
  <c r="BF62" i="6"/>
  <c r="BM62" i="6"/>
  <c r="BN62" i="6" s="1"/>
  <c r="BO62" i="6" s="1"/>
  <c r="BG62" i="6"/>
  <c r="BH62" i="6" s="1"/>
  <c r="BI62" i="6" s="1"/>
  <c r="BJ62" i="6"/>
  <c r="BK62" i="6" s="1"/>
  <c r="BL62" i="6" s="1"/>
  <c r="BP62" i="6" s="1"/>
  <c r="O37" i="6"/>
  <c r="G103" i="6" s="1"/>
  <c r="N38" i="6"/>
  <c r="F103" i="6"/>
  <c r="AQ50" i="6"/>
  <c r="AU50" i="6"/>
  <c r="AV50" i="6" s="1"/>
  <c r="AW50" i="6" s="1"/>
  <c r="BA50" i="6" s="1"/>
  <c r="AX50" i="6"/>
  <c r="AY50" i="6" s="1"/>
  <c r="AZ50" i="6" s="1"/>
  <c r="AR50" i="6"/>
  <c r="AS50" i="6" s="1"/>
  <c r="AT50" i="6" s="1"/>
  <c r="BM77" i="6"/>
  <c r="BN77" i="6" s="1"/>
  <c r="BO77" i="6" s="1"/>
  <c r="BF77" i="6"/>
  <c r="BG77" i="6"/>
  <c r="BH77" i="6" s="1"/>
  <c r="BI77" i="6" s="1"/>
  <c r="BJ77" i="6"/>
  <c r="BK77" i="6" s="1"/>
  <c r="BL77" i="6" s="1"/>
  <c r="BP77" i="6" s="1"/>
  <c r="BF74" i="6"/>
  <c r="BJ74" i="6"/>
  <c r="BK74" i="6" s="1"/>
  <c r="BL74" i="6" s="1"/>
  <c r="BP74" i="6" s="1"/>
  <c r="BM74" i="6"/>
  <c r="BN74" i="6" s="1"/>
  <c r="BO74" i="6" s="1"/>
  <c r="BG74" i="6"/>
  <c r="BH74" i="6" s="1"/>
  <c r="BI74" i="6" s="1"/>
  <c r="BJ73" i="6"/>
  <c r="BK73" i="6" s="1"/>
  <c r="BL73" i="6" s="1"/>
  <c r="BP73" i="6" s="1"/>
  <c r="BM73" i="6"/>
  <c r="BN73" i="6" s="1"/>
  <c r="BO73" i="6" s="1"/>
  <c r="BG73" i="6"/>
  <c r="BH73" i="6" s="1"/>
  <c r="BI73" i="6" s="1"/>
  <c r="BF73" i="6"/>
  <c r="AQ67" i="6"/>
  <c r="AX67" i="6"/>
  <c r="AY67" i="6" s="1"/>
  <c r="AZ67" i="6" s="1"/>
  <c r="AR67" i="6"/>
  <c r="AS67" i="6" s="1"/>
  <c r="AT67" i="6" s="1"/>
  <c r="AU67" i="6"/>
  <c r="AV67" i="6" s="1"/>
  <c r="AW67" i="6" s="1"/>
  <c r="BA67" i="6" s="1"/>
  <c r="BV61" i="6"/>
  <c r="BW61" i="6" s="1"/>
  <c r="BX61" i="6" s="1"/>
  <c r="BY61" i="6"/>
  <c r="BZ61" i="6" s="1"/>
  <c r="CA61" i="6" s="1"/>
  <c r="CE61" i="6" s="1"/>
  <c r="BU61" i="6"/>
  <c r="CB61" i="6"/>
  <c r="CC61" i="6" s="1"/>
  <c r="CD61" i="6" s="1"/>
  <c r="AM15" i="23"/>
  <c r="R39" i="7"/>
  <c r="N39" i="7"/>
  <c r="P39" i="7"/>
  <c r="F85" i="6" s="1"/>
  <c r="Q39" i="7"/>
  <c r="C85" i="6"/>
  <c r="BD84" i="6"/>
  <c r="BE84" i="6" s="1"/>
  <c r="BS84" i="6"/>
  <c r="BT84" i="6" s="1"/>
  <c r="AP84" i="6"/>
  <c r="BG83" i="6"/>
  <c r="BH83" i="6" s="1"/>
  <c r="BI83" i="6" s="1"/>
  <c r="BJ83" i="6"/>
  <c r="BK83" i="6" s="1"/>
  <c r="BL83" i="6" s="1"/>
  <c r="BP83" i="6" s="1"/>
  <c r="BF83" i="6"/>
  <c r="BM83" i="6"/>
  <c r="BN83" i="6" s="1"/>
  <c r="BO83" i="6" s="1"/>
  <c r="O39" i="7"/>
  <c r="H85" i="6" s="1"/>
  <c r="J85" i="6" s="1"/>
  <c r="G85" i="6"/>
  <c r="AN13" i="23"/>
  <c r="AO8" i="23"/>
  <c r="AN17" i="23"/>
  <c r="AN22" i="23"/>
  <c r="AN14" i="23"/>
  <c r="BQ82" i="6"/>
  <c r="BR82" i="6"/>
  <c r="BV83" i="6"/>
  <c r="BW83" i="6" s="1"/>
  <c r="BX83" i="6" s="1"/>
  <c r="BY83" i="6"/>
  <c r="BZ83" i="6" s="1"/>
  <c r="CA83" i="6" s="1"/>
  <c r="CE83" i="6" s="1"/>
  <c r="BU83" i="6"/>
  <c r="CB83" i="6"/>
  <c r="CC83" i="6" s="1"/>
  <c r="CD83" i="6" s="1"/>
  <c r="AM16" i="23"/>
  <c r="W84" i="6"/>
  <c r="AB84" i="6"/>
  <c r="I84" i="6"/>
  <c r="BC82" i="6"/>
  <c r="BB82" i="6"/>
  <c r="AU83" i="6"/>
  <c r="AV83" i="6" s="1"/>
  <c r="AW83" i="6" s="1"/>
  <c r="BA83" i="6" s="1"/>
  <c r="AQ83" i="6"/>
  <c r="AX83" i="6"/>
  <c r="AY83" i="6" s="1"/>
  <c r="AZ83" i="6" s="1"/>
  <c r="AR83" i="6"/>
  <c r="AS83" i="6" s="1"/>
  <c r="AT83" i="6" s="1"/>
  <c r="G40" i="7"/>
  <c r="C40" i="7"/>
  <c r="E40" i="7"/>
  <c r="D40" i="7"/>
  <c r="A41" i="7"/>
  <c r="F40" i="7"/>
  <c r="M39" i="7"/>
  <c r="E85" i="6" s="1"/>
  <c r="D85" i="6"/>
  <c r="AA85" i="6" s="1"/>
  <c r="CG82" i="6"/>
  <c r="CF82" i="6"/>
  <c r="BR77" i="6" l="1"/>
  <c r="BQ77" i="6"/>
  <c r="BR68" i="6"/>
  <c r="BQ68" i="6"/>
  <c r="BR75" i="6"/>
  <c r="BQ75" i="6"/>
  <c r="BC75" i="6"/>
  <c r="BB75" i="6"/>
  <c r="CG60" i="6"/>
  <c r="CF60" i="6"/>
  <c r="BR52" i="6"/>
  <c r="BQ52" i="6"/>
  <c r="CF69" i="6"/>
  <c r="CG69" i="6"/>
  <c r="BB74" i="6"/>
  <c r="BC74" i="6"/>
  <c r="BC72" i="6"/>
  <c r="BB72" i="6"/>
  <c r="F104" i="6"/>
  <c r="P38" i="6"/>
  <c r="O38" i="6"/>
  <c r="G104" i="6" s="1"/>
  <c r="BQ72" i="6"/>
  <c r="BR72" i="6"/>
  <c r="CG51" i="6"/>
  <c r="CF51" i="6"/>
  <c r="CF66" i="6"/>
  <c r="CG66" i="6"/>
  <c r="BQ76" i="6"/>
  <c r="BR76" i="6"/>
  <c r="CG71" i="6"/>
  <c r="CF71" i="6"/>
  <c r="CG80" i="6"/>
  <c r="CF80" i="6"/>
  <c r="CF50" i="6"/>
  <c r="CG50" i="6"/>
  <c r="BB58" i="6"/>
  <c r="BC58" i="6"/>
  <c r="BR65" i="6"/>
  <c r="BQ65" i="6"/>
  <c r="BC81" i="6"/>
  <c r="BB81" i="6"/>
  <c r="BR57" i="6"/>
  <c r="BQ57" i="6"/>
  <c r="BR70" i="6"/>
  <c r="BQ70" i="6"/>
  <c r="BQ71" i="6"/>
  <c r="BR71" i="6"/>
  <c r="CF68" i="6"/>
  <c r="CG68" i="6"/>
  <c r="CG59" i="6"/>
  <c r="CF59" i="6"/>
  <c r="BC55" i="6"/>
  <c r="BB55" i="6"/>
  <c r="BQ73" i="6"/>
  <c r="BR73" i="6"/>
  <c r="BR62" i="6"/>
  <c r="BQ62" i="6"/>
  <c r="BB56" i="6"/>
  <c r="BC56" i="6"/>
  <c r="BQ59" i="6"/>
  <c r="BR59" i="6"/>
  <c r="CG52" i="6"/>
  <c r="CF52" i="6"/>
  <c r="CF72" i="6"/>
  <c r="CG72" i="6"/>
  <c r="BC66" i="6"/>
  <c r="BB66" i="6"/>
  <c r="BC63" i="6"/>
  <c r="BB63" i="6"/>
  <c r="BB73" i="6"/>
  <c r="BC73" i="6"/>
  <c r="BB80" i="6"/>
  <c r="BC80" i="6"/>
  <c r="BC57" i="6"/>
  <c r="BB57" i="6"/>
  <c r="BC70" i="6"/>
  <c r="BB70" i="6"/>
  <c r="BB60" i="6"/>
  <c r="BC60" i="6"/>
  <c r="BC62" i="6"/>
  <c r="BB62" i="6"/>
  <c r="BR58" i="6"/>
  <c r="BQ58" i="6"/>
  <c r="BR66" i="6"/>
  <c r="BQ66" i="6"/>
  <c r="BB65" i="6"/>
  <c r="BC65" i="6"/>
  <c r="BR53" i="6"/>
  <c r="BQ53" i="6"/>
  <c r="CG57" i="6"/>
  <c r="CF57" i="6"/>
  <c r="CG54" i="6"/>
  <c r="CF54" i="6"/>
  <c r="CG64" i="6"/>
  <c r="CF64" i="6"/>
  <c r="BC76" i="6"/>
  <c r="BB76" i="6"/>
  <c r="BC67" i="6"/>
  <c r="BB67" i="6"/>
  <c r="J106" i="6"/>
  <c r="K106" i="6" s="1"/>
  <c r="N106" i="6"/>
  <c r="O106" i="6" s="1"/>
  <c r="F110" i="6"/>
  <c r="G111" i="6" s="1"/>
  <c r="N105" i="6"/>
  <c r="O105" i="6" s="1"/>
  <c r="J103" i="6"/>
  <c r="J105" i="6"/>
  <c r="K105" i="6" s="1"/>
  <c r="P103" i="6"/>
  <c r="J110" i="6"/>
  <c r="J111" i="6" s="1"/>
  <c r="J112" i="6" s="1"/>
  <c r="J113" i="6" s="1"/>
  <c r="N103" i="6"/>
  <c r="N110" i="6"/>
  <c r="N111" i="6" s="1"/>
  <c r="N112" i="6" s="1"/>
  <c r="N113" i="6" s="1"/>
  <c r="G110" i="6"/>
  <c r="H110" i="6" s="1"/>
  <c r="L103" i="6"/>
  <c r="BC69" i="6"/>
  <c r="BB69" i="6"/>
  <c r="CF55" i="6"/>
  <c r="CG55" i="6"/>
  <c r="BB52" i="6"/>
  <c r="BC52" i="6"/>
  <c r="BR69" i="6"/>
  <c r="BQ69" i="6"/>
  <c r="CF53" i="6"/>
  <c r="CG53" i="6"/>
  <c r="CG79" i="6"/>
  <c r="CF79" i="6"/>
  <c r="CF63" i="6"/>
  <c r="CG63" i="6"/>
  <c r="BR56" i="6"/>
  <c r="BQ56" i="6"/>
  <c r="CG81" i="6"/>
  <c r="CF81" i="6"/>
  <c r="BQ63" i="6"/>
  <c r="BR63" i="6"/>
  <c r="BB79" i="6"/>
  <c r="BC79" i="6"/>
  <c r="BB78" i="6"/>
  <c r="BC78" i="6"/>
  <c r="BB61" i="6"/>
  <c r="BC61" i="6"/>
  <c r="BC51" i="6"/>
  <c r="BB51" i="6"/>
  <c r="CG70" i="6"/>
  <c r="CF70" i="6"/>
  <c r="CG67" i="6"/>
  <c r="CF67" i="6"/>
  <c r="BC77" i="6"/>
  <c r="BB77" i="6"/>
  <c r="BB54" i="6"/>
  <c r="BC54" i="6"/>
  <c r="CG61" i="6"/>
  <c r="CF61" i="6"/>
  <c r="BQ74" i="6"/>
  <c r="BR74" i="6"/>
  <c r="BB50" i="6"/>
  <c r="BC50" i="6"/>
  <c r="CG65" i="6"/>
  <c r="CF65" i="6"/>
  <c r="BC53" i="6"/>
  <c r="BB53" i="6"/>
  <c r="CF58" i="6"/>
  <c r="CG58" i="6"/>
  <c r="BR80" i="6"/>
  <c r="BQ80" i="6"/>
  <c r="BR54" i="6"/>
  <c r="BQ54" i="6"/>
  <c r="CG77" i="6"/>
  <c r="CF77" i="6"/>
  <c r="BR50" i="6"/>
  <c r="BQ50" i="6"/>
  <c r="BR81" i="6"/>
  <c r="BQ81" i="6"/>
  <c r="BR64" i="6"/>
  <c r="BQ64" i="6"/>
  <c r="BC68" i="6"/>
  <c r="BB68" i="6"/>
  <c r="BR79" i="6"/>
  <c r="BQ79" i="6"/>
  <c r="CG78" i="6"/>
  <c r="CF78" i="6"/>
  <c r="CG73" i="6"/>
  <c r="CF73" i="6"/>
  <c r="CG56" i="6"/>
  <c r="CF56" i="6"/>
  <c r="BR51" i="6"/>
  <c r="BQ51" i="6"/>
  <c r="BB64" i="6"/>
  <c r="BC64" i="6"/>
  <c r="BC59" i="6"/>
  <c r="BB59" i="6"/>
  <c r="CG75" i="6"/>
  <c r="CF75" i="6"/>
  <c r="CG76" i="6"/>
  <c r="CF76" i="6"/>
  <c r="BR55" i="6"/>
  <c r="BQ55" i="6"/>
  <c r="BQ67" i="6"/>
  <c r="BR67" i="6"/>
  <c r="CF74" i="6"/>
  <c r="CG74" i="6"/>
  <c r="BR60" i="6"/>
  <c r="BQ60" i="6"/>
  <c r="CF62" i="6"/>
  <c r="CG62" i="6"/>
  <c r="BQ78" i="6"/>
  <c r="BR78" i="6"/>
  <c r="BR61" i="6"/>
  <c r="BQ61" i="6"/>
  <c r="BC71" i="6"/>
  <c r="BB71" i="6"/>
  <c r="AR84" i="6"/>
  <c r="AS84" i="6" s="1"/>
  <c r="AT84" i="6" s="1"/>
  <c r="AU84" i="6"/>
  <c r="AV84" i="6" s="1"/>
  <c r="AW84" i="6" s="1"/>
  <c r="BA84" i="6" s="1"/>
  <c r="AQ84" i="6"/>
  <c r="AX84" i="6"/>
  <c r="AY84" i="6" s="1"/>
  <c r="AZ84" i="6" s="1"/>
  <c r="AB85" i="6"/>
  <c r="I85" i="6"/>
  <c r="W85" i="6"/>
  <c r="CG83" i="6"/>
  <c r="CF83" i="6"/>
  <c r="BY84" i="6"/>
  <c r="BZ84" i="6" s="1"/>
  <c r="CA84" i="6" s="1"/>
  <c r="CE84" i="6" s="1"/>
  <c r="BU84" i="6"/>
  <c r="CB84" i="6"/>
  <c r="CC84" i="6" s="1"/>
  <c r="CD84" i="6" s="1"/>
  <c r="BV84" i="6"/>
  <c r="BW84" i="6" s="1"/>
  <c r="BX84" i="6" s="1"/>
  <c r="O40" i="7"/>
  <c r="H86" i="6" s="1"/>
  <c r="J86" i="6" s="1"/>
  <c r="G86" i="6"/>
  <c r="BR83" i="6"/>
  <c r="BQ83" i="6"/>
  <c r="BM84" i="6"/>
  <c r="BN84" i="6" s="1"/>
  <c r="BO84" i="6" s="1"/>
  <c r="BG84" i="6"/>
  <c r="BH84" i="6" s="1"/>
  <c r="BI84" i="6" s="1"/>
  <c r="BJ84" i="6"/>
  <c r="BK84" i="6" s="1"/>
  <c r="BL84" i="6" s="1"/>
  <c r="BP84" i="6" s="1"/>
  <c r="BF84" i="6"/>
  <c r="BS85" i="6"/>
  <c r="BT85" i="6" s="1"/>
  <c r="AP85" i="6"/>
  <c r="BD85" i="6"/>
  <c r="BE85" i="6" s="1"/>
  <c r="P40" i="7"/>
  <c r="F86" i="6" s="1"/>
  <c r="R40" i="7"/>
  <c r="N40" i="7"/>
  <c r="Q40" i="7"/>
  <c r="C86" i="6"/>
  <c r="AN16" i="23"/>
  <c r="AN15" i="23"/>
  <c r="M40" i="7"/>
  <c r="E86" i="6" s="1"/>
  <c r="D86" i="6"/>
  <c r="AA86" i="6" s="1"/>
  <c r="E41" i="7"/>
  <c r="G41" i="7"/>
  <c r="C41" i="7"/>
  <c r="F41" i="7"/>
  <c r="A42" i="7"/>
  <c r="D41" i="7"/>
  <c r="BC83" i="6"/>
  <c r="BB83" i="6"/>
  <c r="AO13" i="23"/>
  <c r="AP8" i="23"/>
  <c r="AO14" i="23"/>
  <c r="AO15" i="23" s="1"/>
  <c r="AO22" i="23"/>
  <c r="AO17" i="23"/>
  <c r="P111" i="6" l="1"/>
  <c r="G112" i="6"/>
  <c r="G113" i="6" s="1"/>
  <c r="L111" i="6"/>
  <c r="O103" i="6"/>
  <c r="O110" i="6"/>
  <c r="P110" i="6" s="1"/>
  <c r="N104" i="6"/>
  <c r="K110" i="6"/>
  <c r="L110" i="6" s="1"/>
  <c r="J104" i="6"/>
  <c r="K103" i="6"/>
  <c r="P40" i="6"/>
  <c r="H106" i="6" s="1"/>
  <c r="P39" i="6"/>
  <c r="H105" i="6" s="1"/>
  <c r="H104" i="6"/>
  <c r="J114" i="6"/>
  <c r="J116" i="6"/>
  <c r="J115" i="6" s="1"/>
  <c r="N116" i="6"/>
  <c r="N115" i="6" s="1"/>
  <c r="N114" i="6"/>
  <c r="R41" i="7"/>
  <c r="N41" i="7"/>
  <c r="P41" i="7"/>
  <c r="F87" i="6" s="1"/>
  <c r="Q41" i="7"/>
  <c r="C87" i="6"/>
  <c r="BQ84" i="6"/>
  <c r="BR84" i="6"/>
  <c r="G42" i="7"/>
  <c r="C42" i="7"/>
  <c r="E42" i="7"/>
  <c r="A43" i="7"/>
  <c r="D42" i="7"/>
  <c r="F42" i="7"/>
  <c r="M41" i="7"/>
  <c r="E87" i="6" s="1"/>
  <c r="D87" i="6"/>
  <c r="AA87" i="6" s="1"/>
  <c r="O41" i="7"/>
  <c r="H87" i="6" s="1"/>
  <c r="J87" i="6" s="1"/>
  <c r="G87" i="6"/>
  <c r="BV85" i="6"/>
  <c r="BW85" i="6" s="1"/>
  <c r="BX85" i="6" s="1"/>
  <c r="BY85" i="6"/>
  <c r="BZ85" i="6" s="1"/>
  <c r="CA85" i="6" s="1"/>
  <c r="CE85" i="6" s="1"/>
  <c r="BU85" i="6"/>
  <c r="CB85" i="6"/>
  <c r="CC85" i="6" s="1"/>
  <c r="CD85" i="6" s="1"/>
  <c r="CG84" i="6"/>
  <c r="CF84" i="6"/>
  <c r="BC84" i="6"/>
  <c r="BB84" i="6"/>
  <c r="BG85" i="6"/>
  <c r="BH85" i="6" s="1"/>
  <c r="BI85" i="6" s="1"/>
  <c r="BJ85" i="6"/>
  <c r="BK85" i="6" s="1"/>
  <c r="BL85" i="6" s="1"/>
  <c r="BP85" i="6" s="1"/>
  <c r="BF85" i="6"/>
  <c r="BM85" i="6"/>
  <c r="BN85" i="6" s="1"/>
  <c r="BO85" i="6" s="1"/>
  <c r="AU85" i="6"/>
  <c r="AV85" i="6" s="1"/>
  <c r="AW85" i="6" s="1"/>
  <c r="BA85" i="6" s="1"/>
  <c r="AQ85" i="6"/>
  <c r="AX85" i="6"/>
  <c r="AY85" i="6" s="1"/>
  <c r="AZ85" i="6" s="1"/>
  <c r="AR85" i="6"/>
  <c r="AS85" i="6" s="1"/>
  <c r="AT85" i="6" s="1"/>
  <c r="AO16" i="23"/>
  <c r="AP13" i="23"/>
  <c r="AQ8" i="23"/>
  <c r="AP22" i="23"/>
  <c r="AP17" i="23"/>
  <c r="AP14" i="23"/>
  <c r="W86" i="6"/>
  <c r="AB86" i="6"/>
  <c r="I86" i="6"/>
  <c r="BD86" i="6"/>
  <c r="BE86" i="6" s="1"/>
  <c r="BS86" i="6"/>
  <c r="BT86" i="6" s="1"/>
  <c r="AP86" i="6"/>
  <c r="K104" i="6" l="1"/>
  <c r="L104" i="6"/>
  <c r="O104" i="6"/>
  <c r="P104" i="6"/>
  <c r="G114" i="6"/>
  <c r="G116" i="6"/>
  <c r="AR86" i="6"/>
  <c r="AS86" i="6" s="1"/>
  <c r="AT86" i="6" s="1"/>
  <c r="AU86" i="6"/>
  <c r="AV86" i="6" s="1"/>
  <c r="AW86" i="6" s="1"/>
  <c r="BA86" i="6" s="1"/>
  <c r="AQ86" i="6"/>
  <c r="AX86" i="6"/>
  <c r="AY86" i="6" s="1"/>
  <c r="AZ86" i="6" s="1"/>
  <c r="BY86" i="6"/>
  <c r="BZ86" i="6" s="1"/>
  <c r="CA86" i="6" s="1"/>
  <c r="CE86" i="6" s="1"/>
  <c r="BU86" i="6"/>
  <c r="CB86" i="6"/>
  <c r="CC86" i="6" s="1"/>
  <c r="CD86" i="6" s="1"/>
  <c r="BV86" i="6"/>
  <c r="BW86" i="6" s="1"/>
  <c r="BX86" i="6" s="1"/>
  <c r="M42" i="7"/>
  <c r="E88" i="6" s="1"/>
  <c r="D88" i="6"/>
  <c r="AA88" i="6" s="1"/>
  <c r="BM86" i="6"/>
  <c r="BN86" i="6" s="1"/>
  <c r="BO86" i="6" s="1"/>
  <c r="BG86" i="6"/>
  <c r="BH86" i="6" s="1"/>
  <c r="BI86" i="6" s="1"/>
  <c r="BJ86" i="6"/>
  <c r="BK86" i="6" s="1"/>
  <c r="BL86" i="6" s="1"/>
  <c r="BP86" i="6" s="1"/>
  <c r="BF86" i="6"/>
  <c r="BR85" i="6"/>
  <c r="BQ85" i="6"/>
  <c r="O42" i="7"/>
  <c r="H88" i="6" s="1"/>
  <c r="J88" i="6" s="1"/>
  <c r="G88" i="6"/>
  <c r="AB87" i="6"/>
  <c r="I87" i="6"/>
  <c r="W87" i="6"/>
  <c r="AP16" i="23"/>
  <c r="AP15" i="23"/>
  <c r="CG85" i="6"/>
  <c r="CF85" i="6"/>
  <c r="E43" i="7"/>
  <c r="G43" i="7"/>
  <c r="C43" i="7"/>
  <c r="A44" i="7"/>
  <c r="F43" i="7"/>
  <c r="D43" i="7"/>
  <c r="BS87" i="6"/>
  <c r="BT87" i="6" s="1"/>
  <c r="AP87" i="6"/>
  <c r="BD87" i="6"/>
  <c r="BE87" i="6" s="1"/>
  <c r="AQ13" i="23"/>
  <c r="AR8" i="23"/>
  <c r="AQ17" i="23"/>
  <c r="AQ22" i="23"/>
  <c r="AQ14" i="23"/>
  <c r="BC85" i="6"/>
  <c r="BB85" i="6"/>
  <c r="P42" i="7"/>
  <c r="F88" i="6" s="1"/>
  <c r="R42" i="7"/>
  <c r="N42" i="7"/>
  <c r="Q42" i="7"/>
  <c r="C88" i="6"/>
  <c r="P112" i="6" l="1"/>
  <c r="L112" i="6"/>
  <c r="G115" i="6"/>
  <c r="L106" i="6"/>
  <c r="L105" i="6"/>
  <c r="P106" i="6"/>
  <c r="P105" i="6"/>
  <c r="AQ16" i="23"/>
  <c r="BG87" i="6"/>
  <c r="BH87" i="6" s="1"/>
  <c r="BI87" i="6" s="1"/>
  <c r="BJ87" i="6"/>
  <c r="BK87" i="6" s="1"/>
  <c r="BL87" i="6" s="1"/>
  <c r="BP87" i="6" s="1"/>
  <c r="BF87" i="6"/>
  <c r="BM87" i="6"/>
  <c r="BN87" i="6" s="1"/>
  <c r="BO87" i="6" s="1"/>
  <c r="O43" i="7"/>
  <c r="H89" i="6" s="1"/>
  <c r="J89" i="6" s="1"/>
  <c r="G89" i="6"/>
  <c r="M43" i="7"/>
  <c r="E89" i="6" s="1"/>
  <c r="D89" i="6"/>
  <c r="AA89" i="6" s="1"/>
  <c r="BC86" i="6"/>
  <c r="BB86" i="6"/>
  <c r="R43" i="7"/>
  <c r="N43" i="7"/>
  <c r="P43" i="7"/>
  <c r="F89" i="6" s="1"/>
  <c r="Q43" i="7"/>
  <c r="C89" i="6"/>
  <c r="W88" i="6"/>
  <c r="AB88" i="6"/>
  <c r="I88" i="6"/>
  <c r="BD88" i="6"/>
  <c r="BE88" i="6" s="1"/>
  <c r="BS88" i="6"/>
  <c r="BT88" i="6" s="1"/>
  <c r="AP88" i="6"/>
  <c r="AU87" i="6"/>
  <c r="AV87" i="6" s="1"/>
  <c r="AW87" i="6" s="1"/>
  <c r="BA87" i="6" s="1"/>
  <c r="AQ87" i="6"/>
  <c r="AX87" i="6"/>
  <c r="AY87" i="6" s="1"/>
  <c r="AZ87" i="6" s="1"/>
  <c r="AR87" i="6"/>
  <c r="AS87" i="6" s="1"/>
  <c r="AT87" i="6" s="1"/>
  <c r="G44" i="7"/>
  <c r="C44" i="7"/>
  <c r="E44" i="7"/>
  <c r="D44" i="7"/>
  <c r="A45" i="7"/>
  <c r="F44" i="7"/>
  <c r="CG86" i="6"/>
  <c r="CF86" i="6"/>
  <c r="AR13" i="23"/>
  <c r="AS8" i="23"/>
  <c r="AR22" i="23"/>
  <c r="AR14" i="23"/>
  <c r="AR17" i="23"/>
  <c r="BV87" i="6"/>
  <c r="BW87" i="6" s="1"/>
  <c r="BX87" i="6" s="1"/>
  <c r="BY87" i="6"/>
  <c r="BZ87" i="6" s="1"/>
  <c r="CA87" i="6" s="1"/>
  <c r="CE87" i="6" s="1"/>
  <c r="BU87" i="6"/>
  <c r="CB87" i="6"/>
  <c r="CC87" i="6" s="1"/>
  <c r="CD87" i="6" s="1"/>
  <c r="AQ15" i="23"/>
  <c r="BQ86" i="6"/>
  <c r="BR86" i="6"/>
  <c r="O44" i="7" l="1"/>
  <c r="H90" i="6" s="1"/>
  <c r="J90" i="6" s="1"/>
  <c r="G90" i="6"/>
  <c r="AR15" i="23"/>
  <c r="E45" i="7"/>
  <c r="G45" i="7"/>
  <c r="C45" i="7"/>
  <c r="F45" i="7"/>
  <c r="D45" i="7"/>
  <c r="A46" i="7"/>
  <c r="BC87" i="6"/>
  <c r="BB87" i="6"/>
  <c r="BM88" i="6"/>
  <c r="BN88" i="6" s="1"/>
  <c r="BO88" i="6" s="1"/>
  <c r="BG88" i="6"/>
  <c r="BH88" i="6" s="1"/>
  <c r="BI88" i="6" s="1"/>
  <c r="BF88" i="6"/>
  <c r="BJ88" i="6"/>
  <c r="BK88" i="6" s="1"/>
  <c r="BL88" i="6" s="1"/>
  <c r="BP88" i="6" s="1"/>
  <c r="AB89" i="6"/>
  <c r="I89" i="6"/>
  <c r="W89" i="6"/>
  <c r="BR87" i="6"/>
  <c r="BQ87" i="6"/>
  <c r="CG87" i="6"/>
  <c r="CF87" i="6"/>
  <c r="AR16" i="23"/>
  <c r="P44" i="7"/>
  <c r="F90" i="6" s="1"/>
  <c r="R44" i="7"/>
  <c r="N44" i="7"/>
  <c r="Q44" i="7"/>
  <c r="C90" i="6"/>
  <c r="AS13" i="23"/>
  <c r="AT8" i="23"/>
  <c r="AS22" i="23"/>
  <c r="AS14" i="23"/>
  <c r="AS15" i="23" s="1"/>
  <c r="AS17" i="23"/>
  <c r="BY88" i="6"/>
  <c r="BZ88" i="6" s="1"/>
  <c r="CA88" i="6" s="1"/>
  <c r="CE88" i="6" s="1"/>
  <c r="BU88" i="6"/>
  <c r="CB88" i="6"/>
  <c r="CC88" i="6" s="1"/>
  <c r="CD88" i="6" s="1"/>
  <c r="BV88" i="6"/>
  <c r="BW88" i="6" s="1"/>
  <c r="BX88" i="6" s="1"/>
  <c r="M44" i="7"/>
  <c r="E90" i="6" s="1"/>
  <c r="D90" i="6"/>
  <c r="AA90" i="6" s="1"/>
  <c r="AR88" i="6"/>
  <c r="AS88" i="6" s="1"/>
  <c r="AT88" i="6" s="1"/>
  <c r="AU88" i="6"/>
  <c r="AV88" i="6" s="1"/>
  <c r="AW88" i="6" s="1"/>
  <c r="BA88" i="6" s="1"/>
  <c r="AQ88" i="6"/>
  <c r="AX88" i="6"/>
  <c r="AY88" i="6" s="1"/>
  <c r="AZ88" i="6" s="1"/>
  <c r="BS89" i="6"/>
  <c r="BT89" i="6" s="1"/>
  <c r="AP89" i="6"/>
  <c r="BD89" i="6"/>
  <c r="BE89" i="6" s="1"/>
  <c r="BV89" i="6" l="1"/>
  <c r="BW89" i="6" s="1"/>
  <c r="BX89" i="6" s="1"/>
  <c r="BY89" i="6"/>
  <c r="BZ89" i="6" s="1"/>
  <c r="CA89" i="6" s="1"/>
  <c r="CE89" i="6" s="1"/>
  <c r="BU89" i="6"/>
  <c r="CB89" i="6"/>
  <c r="CC89" i="6" s="1"/>
  <c r="CD89" i="6" s="1"/>
  <c r="AS16" i="23"/>
  <c r="CG88" i="6"/>
  <c r="CF88" i="6"/>
  <c r="AU89" i="6"/>
  <c r="AV89" i="6" s="1"/>
  <c r="AW89" i="6" s="1"/>
  <c r="BA89" i="6" s="1"/>
  <c r="AQ89" i="6"/>
  <c r="AX89" i="6"/>
  <c r="AY89" i="6" s="1"/>
  <c r="AZ89" i="6" s="1"/>
  <c r="AR89" i="6"/>
  <c r="AS89" i="6" s="1"/>
  <c r="AT89" i="6" s="1"/>
  <c r="G46" i="7"/>
  <c r="C46" i="7"/>
  <c r="E46" i="7"/>
  <c r="A47" i="7"/>
  <c r="F46" i="7"/>
  <c r="D46" i="7"/>
  <c r="R45" i="7"/>
  <c r="N45" i="7"/>
  <c r="P45" i="7"/>
  <c r="F91" i="6" s="1"/>
  <c r="Q45" i="7"/>
  <c r="C91" i="6"/>
  <c r="M45" i="7"/>
  <c r="E91" i="6" s="1"/>
  <c r="D91" i="6"/>
  <c r="AA91" i="6" s="1"/>
  <c r="BQ88" i="6"/>
  <c r="BR88" i="6"/>
  <c r="O45" i="7"/>
  <c r="H91" i="6" s="1"/>
  <c r="J91" i="6" s="1"/>
  <c r="G91" i="6"/>
  <c r="BC88" i="6"/>
  <c r="BB88" i="6"/>
  <c r="BG89" i="6"/>
  <c r="BH89" i="6" s="1"/>
  <c r="BI89" i="6" s="1"/>
  <c r="BJ89" i="6"/>
  <c r="BK89" i="6" s="1"/>
  <c r="BL89" i="6" s="1"/>
  <c r="BP89" i="6" s="1"/>
  <c r="BF89" i="6"/>
  <c r="BM89" i="6"/>
  <c r="BN89" i="6" s="1"/>
  <c r="BO89" i="6" s="1"/>
  <c r="AT13" i="23"/>
  <c r="AU8" i="23"/>
  <c r="AT14" i="23"/>
  <c r="AT22" i="23"/>
  <c r="W90" i="6"/>
  <c r="AB90" i="6"/>
  <c r="I90" i="6"/>
  <c r="BD90" i="6"/>
  <c r="BE90" i="6" s="1"/>
  <c r="BS90" i="6"/>
  <c r="BT90" i="6" s="1"/>
  <c r="AP90" i="6"/>
  <c r="BD91" i="6" l="1"/>
  <c r="BE91" i="6" s="1"/>
  <c r="BS91" i="6"/>
  <c r="BT91" i="6" s="1"/>
  <c r="AP91" i="6"/>
  <c r="M46" i="7"/>
  <c r="E92" i="6" s="1"/>
  <c r="D92" i="6"/>
  <c r="AA92" i="6" s="1"/>
  <c r="AR90" i="6"/>
  <c r="AS90" i="6" s="1"/>
  <c r="AT90" i="6" s="1"/>
  <c r="AU90" i="6"/>
  <c r="AV90" i="6" s="1"/>
  <c r="AW90" i="6" s="1"/>
  <c r="BA90" i="6" s="1"/>
  <c r="AQ90" i="6"/>
  <c r="AX90" i="6"/>
  <c r="AY90" i="6" s="1"/>
  <c r="AZ90" i="6" s="1"/>
  <c r="AU13" i="23"/>
  <c r="AV8" i="23"/>
  <c r="AU14" i="23"/>
  <c r="AU15" i="23" s="1"/>
  <c r="AU22" i="23"/>
  <c r="P46" i="7"/>
  <c r="F92" i="6" s="1"/>
  <c r="R46" i="7"/>
  <c r="N46" i="7"/>
  <c r="Q46" i="7"/>
  <c r="C92" i="6"/>
  <c r="BC89" i="6"/>
  <c r="BB89" i="6"/>
  <c r="BV90" i="6"/>
  <c r="BW90" i="6" s="1"/>
  <c r="BX90" i="6" s="1"/>
  <c r="BU90" i="6"/>
  <c r="BY90" i="6"/>
  <c r="BZ90" i="6" s="1"/>
  <c r="CA90" i="6" s="1"/>
  <c r="CE90" i="6" s="1"/>
  <c r="CB90" i="6"/>
  <c r="CC90" i="6" s="1"/>
  <c r="CD90" i="6" s="1"/>
  <c r="BR89" i="6"/>
  <c r="BQ89" i="6"/>
  <c r="W91" i="6"/>
  <c r="I91" i="6"/>
  <c r="AB91" i="6"/>
  <c r="O46" i="7"/>
  <c r="H92" i="6" s="1"/>
  <c r="J92" i="6" s="1"/>
  <c r="G92" i="6"/>
  <c r="CG89" i="6"/>
  <c r="CF89" i="6"/>
  <c r="AT16" i="23"/>
  <c r="AT15" i="23"/>
  <c r="BM90" i="6"/>
  <c r="BN90" i="6" s="1"/>
  <c r="BO90" i="6" s="1"/>
  <c r="BG90" i="6"/>
  <c r="BH90" i="6" s="1"/>
  <c r="BI90" i="6" s="1"/>
  <c r="BJ90" i="6"/>
  <c r="BK90" i="6" s="1"/>
  <c r="BL90" i="6" s="1"/>
  <c r="BP90" i="6" s="1"/>
  <c r="BF90" i="6"/>
  <c r="E47" i="7"/>
  <c r="A48" i="7"/>
  <c r="G47" i="7"/>
  <c r="C47" i="7"/>
  <c r="D47" i="7"/>
  <c r="F47" i="7"/>
  <c r="M47" i="7" l="1"/>
  <c r="E93" i="6" s="1"/>
  <c r="D93" i="6"/>
  <c r="AA93" i="6" s="1"/>
  <c r="AV13" i="23"/>
  <c r="AW8" i="23"/>
  <c r="AV14" i="23"/>
  <c r="AV15" i="23" s="1"/>
  <c r="AV22" i="23"/>
  <c r="BC90" i="6"/>
  <c r="BB90" i="6"/>
  <c r="AR91" i="6"/>
  <c r="AS91" i="6" s="1"/>
  <c r="AT91" i="6" s="1"/>
  <c r="AU91" i="6"/>
  <c r="AV91" i="6" s="1"/>
  <c r="AW91" i="6" s="1"/>
  <c r="BA91" i="6" s="1"/>
  <c r="AX91" i="6"/>
  <c r="AY91" i="6" s="1"/>
  <c r="AZ91" i="6" s="1"/>
  <c r="AQ91" i="6"/>
  <c r="CF90" i="6"/>
  <c r="CG90" i="6"/>
  <c r="CB91" i="6"/>
  <c r="CC91" i="6" s="1"/>
  <c r="CD91" i="6" s="1"/>
  <c r="BU91" i="6"/>
  <c r="BY91" i="6"/>
  <c r="BZ91" i="6" s="1"/>
  <c r="CA91" i="6" s="1"/>
  <c r="CE91" i="6" s="1"/>
  <c r="BV91" i="6"/>
  <c r="BW91" i="6" s="1"/>
  <c r="BX91" i="6" s="1"/>
  <c r="O47" i="7"/>
  <c r="H93" i="6" s="1"/>
  <c r="J93" i="6" s="1"/>
  <c r="G93" i="6"/>
  <c r="D48" i="7"/>
  <c r="F48" i="7"/>
  <c r="E48" i="7"/>
  <c r="C48" i="7"/>
  <c r="G48" i="7"/>
  <c r="W92" i="6"/>
  <c r="AB92" i="6"/>
  <c r="I92" i="6"/>
  <c r="AP92" i="6"/>
  <c r="BS92" i="6"/>
  <c r="BT92" i="6" s="1"/>
  <c r="BD92" i="6"/>
  <c r="BE92" i="6" s="1"/>
  <c r="BG91" i="6"/>
  <c r="BH91" i="6" s="1"/>
  <c r="BI91" i="6" s="1"/>
  <c r="BM91" i="6"/>
  <c r="BN91" i="6" s="1"/>
  <c r="BO91" i="6" s="1"/>
  <c r="BJ91" i="6"/>
  <c r="BK91" i="6" s="1"/>
  <c r="BL91" i="6" s="1"/>
  <c r="BP91" i="6" s="1"/>
  <c r="BF91" i="6"/>
  <c r="BQ90" i="6"/>
  <c r="BR90" i="6"/>
  <c r="R47" i="7"/>
  <c r="N47" i="7"/>
  <c r="P47" i="7"/>
  <c r="F93" i="6" s="1"/>
  <c r="Q47" i="7"/>
  <c r="C93" i="6"/>
  <c r="AU16" i="23"/>
  <c r="BV92" i="6" l="1"/>
  <c r="BW92" i="6" s="1"/>
  <c r="BX92" i="6" s="1"/>
  <c r="BY92" i="6"/>
  <c r="BZ92" i="6" s="1"/>
  <c r="CA92" i="6" s="1"/>
  <c r="CE92" i="6" s="1"/>
  <c r="BU92" i="6"/>
  <c r="CB92" i="6"/>
  <c r="CC92" i="6" s="1"/>
  <c r="CD92" i="6" s="1"/>
  <c r="BD93" i="6"/>
  <c r="BE93" i="6" s="1"/>
  <c r="BS93" i="6"/>
  <c r="BT93" i="6" s="1"/>
  <c r="AP93" i="6"/>
  <c r="CF91" i="6"/>
  <c r="CG91" i="6"/>
  <c r="BJ92" i="6"/>
  <c r="BK92" i="6" s="1"/>
  <c r="BL92" i="6" s="1"/>
  <c r="BP92" i="6" s="1"/>
  <c r="BF92" i="6"/>
  <c r="BM92" i="6"/>
  <c r="BN92" i="6" s="1"/>
  <c r="BO92" i="6" s="1"/>
  <c r="BG92" i="6"/>
  <c r="BH92" i="6" s="1"/>
  <c r="BI92" i="6" s="1"/>
  <c r="AV16" i="23"/>
  <c r="BR91" i="6"/>
  <c r="BQ91" i="6"/>
  <c r="AX92" i="6"/>
  <c r="AY92" i="6" s="1"/>
  <c r="AZ92" i="6" s="1"/>
  <c r="AU92" i="6"/>
  <c r="AV92" i="6" s="1"/>
  <c r="AW92" i="6" s="1"/>
  <c r="BA92" i="6" s="1"/>
  <c r="AR92" i="6"/>
  <c r="AS92" i="6" s="1"/>
  <c r="AT92" i="6" s="1"/>
  <c r="AQ92" i="6"/>
  <c r="O48" i="7"/>
  <c r="H94" i="6" s="1"/>
  <c r="G94" i="6"/>
  <c r="BC91" i="6"/>
  <c r="BB91" i="6"/>
  <c r="AB93" i="6"/>
  <c r="I93" i="6"/>
  <c r="W93" i="6"/>
  <c r="M48" i="7"/>
  <c r="D94" i="6"/>
  <c r="AA94" i="6" s="1"/>
  <c r="AW13" i="23"/>
  <c r="AX8" i="23"/>
  <c r="AW14" i="23"/>
  <c r="AW22" i="23"/>
  <c r="Q48" i="7"/>
  <c r="R48" i="7"/>
  <c r="P48" i="7"/>
  <c r="F94" i="6" s="1"/>
  <c r="N48" i="7"/>
  <c r="C94" i="6"/>
  <c r="BD94" i="6" l="1"/>
  <c r="BS94" i="6"/>
  <c r="E94" i="6"/>
  <c r="U47" i="6" s="1"/>
  <c r="U48" i="6" s="1"/>
  <c r="M50" i="7"/>
  <c r="M49" i="7"/>
  <c r="AX13" i="23"/>
  <c r="AY8" i="23"/>
  <c r="AX22" i="23"/>
  <c r="AX14" i="23"/>
  <c r="W94" i="6"/>
  <c r="I94" i="6"/>
  <c r="AB94" i="6"/>
  <c r="V52" i="7"/>
  <c r="V50" i="7"/>
  <c r="V49" i="7"/>
  <c r="N94" i="6"/>
  <c r="J94" i="6"/>
  <c r="BR92" i="6"/>
  <c r="BQ92" i="6"/>
  <c r="CB93" i="6"/>
  <c r="CC93" i="6" s="1"/>
  <c r="CD93" i="6" s="1"/>
  <c r="BY93" i="6"/>
  <c r="BZ93" i="6" s="1"/>
  <c r="CA93" i="6" s="1"/>
  <c r="CE93" i="6" s="1"/>
  <c r="BV93" i="6"/>
  <c r="BW93" i="6" s="1"/>
  <c r="BX93" i="6" s="1"/>
  <c r="BU93" i="6"/>
  <c r="CG92" i="6"/>
  <c r="CF92" i="6"/>
  <c r="BB92" i="6"/>
  <c r="BC92" i="6"/>
  <c r="AR93" i="6"/>
  <c r="AS93" i="6" s="1"/>
  <c r="AT93" i="6" s="1"/>
  <c r="AU93" i="6"/>
  <c r="AV93" i="6" s="1"/>
  <c r="AW93" i="6" s="1"/>
  <c r="BA93" i="6" s="1"/>
  <c r="AQ93" i="6"/>
  <c r="AX93" i="6"/>
  <c r="AY93" i="6" s="1"/>
  <c r="AZ93" i="6" s="1"/>
  <c r="AW16" i="23"/>
  <c r="AW15" i="23"/>
  <c r="BG93" i="6"/>
  <c r="BH93" i="6" s="1"/>
  <c r="BI93" i="6" s="1"/>
  <c r="BF93" i="6"/>
  <c r="BM93" i="6"/>
  <c r="BN93" i="6" s="1"/>
  <c r="BO93" i="6" s="1"/>
  <c r="BJ93" i="6"/>
  <c r="BK93" i="6" s="1"/>
  <c r="BL93" i="6" s="1"/>
  <c r="BP93" i="6" s="1"/>
  <c r="AP94" i="6" l="1"/>
  <c r="AU94" i="6" s="1"/>
  <c r="AV94" i="6" s="1"/>
  <c r="AW94" i="6" s="1"/>
  <c r="BA94" i="6" s="1"/>
  <c r="V51" i="7"/>
  <c r="V53" i="7" s="1"/>
  <c r="CF93" i="6"/>
  <c r="CG93" i="6"/>
  <c r="AX16" i="23"/>
  <c r="AX15" i="23"/>
  <c r="BT94" i="6"/>
  <c r="AX94" i="6"/>
  <c r="AY94" i="6" s="1"/>
  <c r="AZ94" i="6" s="1"/>
  <c r="AY13" i="23"/>
  <c r="AZ8" i="23"/>
  <c r="AY22" i="23"/>
  <c r="AY14" i="23"/>
  <c r="BE94" i="6"/>
  <c r="BQ93" i="6"/>
  <c r="BR93" i="6"/>
  <c r="BC93" i="6"/>
  <c r="BB93" i="6"/>
  <c r="O49" i="6"/>
  <c r="O50" i="6"/>
  <c r="AR94" i="6" l="1"/>
  <c r="AS94" i="6" s="1"/>
  <c r="AT94" i="6" s="1"/>
  <c r="AQ94" i="6"/>
  <c r="AY16" i="23"/>
  <c r="AY15" i="23"/>
  <c r="BY94" i="6"/>
  <c r="BZ94" i="6" s="1"/>
  <c r="CA94" i="6" s="1"/>
  <c r="CE94" i="6" s="1"/>
  <c r="BU94" i="6"/>
  <c r="CB94" i="6"/>
  <c r="CC94" i="6" s="1"/>
  <c r="CD94" i="6" s="1"/>
  <c r="BV94" i="6"/>
  <c r="BW94" i="6" s="1"/>
  <c r="BX94" i="6" s="1"/>
  <c r="BC94" i="6"/>
  <c r="BC95" i="6" s="1"/>
  <c r="BB94" i="6"/>
  <c r="BB95" i="6" s="1"/>
  <c r="BA95" i="6"/>
  <c r="AZ13" i="23"/>
  <c r="BA8" i="23"/>
  <c r="AZ22" i="23"/>
  <c r="AZ14" i="23"/>
  <c r="BM94" i="6"/>
  <c r="BN94" i="6" s="1"/>
  <c r="BO94" i="6" s="1"/>
  <c r="BF94" i="6"/>
  <c r="BJ94" i="6"/>
  <c r="BK94" i="6" s="1"/>
  <c r="BL94" i="6" s="1"/>
  <c r="BP94" i="6" s="1"/>
  <c r="BG94" i="6"/>
  <c r="BH94" i="6" s="1"/>
  <c r="BI94" i="6" s="1"/>
  <c r="AZ15" i="23" l="1"/>
  <c r="AZ16" i="23"/>
  <c r="BA13" i="23"/>
  <c r="BB8" i="23"/>
  <c r="BA14" i="23"/>
  <c r="BA22" i="23"/>
  <c r="BQ94" i="6"/>
  <c r="BQ95" i="6" s="1"/>
  <c r="BR94" i="6"/>
  <c r="BR95" i="6" s="1"/>
  <c r="BP95" i="6"/>
  <c r="CG94" i="6"/>
  <c r="CG95" i="6" s="1"/>
  <c r="CF94" i="6"/>
  <c r="CF95" i="6" s="1"/>
  <c r="CE95" i="6"/>
  <c r="BB13" i="23" l="1"/>
  <c r="BC8" i="23"/>
  <c r="BB22" i="23"/>
  <c r="BB14" i="23"/>
  <c r="BA16" i="23"/>
  <c r="BA15" i="23"/>
  <c r="BC13" i="23" l="1"/>
  <c r="BD8" i="23"/>
  <c r="BC14" i="23"/>
  <c r="BC22" i="23"/>
  <c r="BB16" i="23"/>
  <c r="BB15" i="23"/>
  <c r="BD13" i="23" l="1"/>
  <c r="BE8" i="23"/>
  <c r="BD14" i="23"/>
  <c r="BD15" i="23" s="1"/>
  <c r="BD22" i="23"/>
  <c r="BC16" i="23"/>
  <c r="BC15" i="23"/>
  <c r="BD16" i="23" l="1"/>
  <c r="BE13" i="23"/>
  <c r="BF8" i="23"/>
  <c r="BE14" i="23"/>
  <c r="BE15" i="23" s="1"/>
  <c r="BE22" i="23"/>
  <c r="BF13" i="23" l="1"/>
  <c r="BG8" i="23"/>
  <c r="BF22" i="23"/>
  <c r="BF14" i="23"/>
  <c r="BE16" i="23"/>
  <c r="BF16" i="23" l="1"/>
  <c r="BG13" i="23"/>
  <c r="BH8" i="23"/>
  <c r="BG22" i="23"/>
  <c r="BG14" i="23"/>
  <c r="BG15" i="23" s="1"/>
  <c r="BF15" i="23"/>
  <c r="BH13" i="23" l="1"/>
  <c r="BI8" i="23"/>
  <c r="BH22" i="23"/>
  <c r="BH14" i="23"/>
  <c r="BH15" i="23" s="1"/>
  <c r="BG16" i="23"/>
  <c r="BI13" i="23" l="1"/>
  <c r="BJ8" i="23"/>
  <c r="BI22" i="23"/>
  <c r="BI14" i="23"/>
  <c r="BH16" i="23"/>
  <c r="BI16" i="23" l="1"/>
  <c r="BI15" i="23"/>
  <c r="BJ13" i="23"/>
  <c r="BK8" i="23"/>
  <c r="BJ14" i="23"/>
  <c r="BJ22" i="23"/>
  <c r="BJ16" i="23" l="1"/>
  <c r="BJ15" i="23"/>
  <c r="BK13" i="23"/>
  <c r="BL8" i="23"/>
  <c r="BK22" i="23"/>
  <c r="BK14" i="23"/>
  <c r="BK15" i="23" s="1"/>
  <c r="BL13" i="23" l="1"/>
  <c r="BM8" i="23"/>
  <c r="BL14" i="23"/>
  <c r="BL22" i="23"/>
  <c r="BK16" i="23"/>
  <c r="BL16" i="23" l="1"/>
  <c r="BM13" i="23"/>
  <c r="BN8" i="23"/>
  <c r="BM22" i="23"/>
  <c r="BM14" i="23"/>
  <c r="BM15" i="23" s="1"/>
  <c r="BL15" i="23"/>
  <c r="BM16" i="23" l="1"/>
  <c r="BN13" i="23"/>
  <c r="BO8" i="23"/>
  <c r="BN22" i="23"/>
  <c r="BN14" i="23"/>
  <c r="BO13" i="23" l="1"/>
  <c r="BP8" i="23"/>
  <c r="BO22" i="23"/>
  <c r="BO14" i="23"/>
  <c r="BO15" i="23" s="1"/>
  <c r="BN15" i="23"/>
  <c r="BN16" i="23"/>
  <c r="BP13" i="23" l="1"/>
  <c r="BQ8" i="23"/>
  <c r="BP22" i="23"/>
  <c r="BP14" i="23"/>
  <c r="BO16" i="23"/>
  <c r="BP16" i="23" l="1"/>
  <c r="BP15" i="23"/>
  <c r="BQ13" i="23"/>
  <c r="BR8" i="23"/>
  <c r="BQ22" i="23"/>
  <c r="BQ14" i="23"/>
  <c r="BQ16" i="23" l="1"/>
  <c r="BQ15" i="23"/>
  <c r="BS8" i="23"/>
  <c r="BR22" i="23"/>
  <c r="BR14" i="23"/>
  <c r="BR16" i="23" l="1"/>
  <c r="BR15" i="23"/>
  <c r="BT8" i="23"/>
  <c r="BS14" i="23"/>
  <c r="BS22" i="23"/>
  <c r="BU8" i="23" l="1"/>
  <c r="BT14" i="23"/>
  <c r="BT22" i="23"/>
  <c r="BS16" i="23"/>
  <c r="BS15" i="23"/>
  <c r="BV8" i="23" l="1"/>
  <c r="BU14" i="23"/>
  <c r="BU22" i="23"/>
  <c r="BT16" i="23"/>
  <c r="BT15" i="23"/>
  <c r="BU16" i="23" l="1"/>
  <c r="BU15" i="23"/>
  <c r="BW8" i="23"/>
  <c r="BV14" i="23"/>
  <c r="BV22" i="23"/>
  <c r="BV16" i="23" l="1"/>
  <c r="BV15" i="23"/>
  <c r="BX8" i="23"/>
  <c r="BW14" i="23"/>
  <c r="BW22" i="23"/>
  <c r="BW15" i="23" l="1"/>
  <c r="BY8" i="23"/>
  <c r="BX14" i="23"/>
  <c r="BX15" i="23" s="1"/>
  <c r="BX22" i="23"/>
  <c r="BW16" i="23"/>
  <c r="BX16" i="23" l="1"/>
  <c r="BZ8" i="23"/>
  <c r="BY22" i="23"/>
  <c r="BY14" i="23"/>
  <c r="BY15" i="23" l="1"/>
  <c r="CA8" i="23"/>
  <c r="BZ14" i="23"/>
  <c r="BZ22" i="23"/>
  <c r="BY16" i="23"/>
  <c r="BZ16" i="23" l="1"/>
  <c r="BZ15" i="23"/>
  <c r="CB8" i="23"/>
  <c r="CA22" i="23"/>
  <c r="CA14" i="23"/>
  <c r="CC8" i="23" l="1"/>
  <c r="CB22" i="23"/>
  <c r="CB14" i="23"/>
  <c r="CA16" i="23"/>
  <c r="CA15" i="23"/>
  <c r="CB16" i="23" l="1"/>
  <c r="CB15" i="23"/>
  <c r="CD8" i="23"/>
  <c r="CC14" i="23"/>
  <c r="CC22" i="23"/>
  <c r="CE8" i="23" l="1"/>
  <c r="CD14" i="23"/>
  <c r="CD22" i="23"/>
  <c r="CC15" i="23"/>
  <c r="CC16" i="23"/>
  <c r="CF8" i="23" l="1"/>
  <c r="CE22" i="23"/>
  <c r="CE14" i="23"/>
  <c r="CE15" i="23" s="1"/>
  <c r="CD15" i="23"/>
  <c r="CD16" i="23"/>
  <c r="CE16" i="23" l="1"/>
  <c r="CG8" i="23"/>
  <c r="CF22" i="23"/>
  <c r="CF14" i="23"/>
  <c r="CF16" i="23" l="1"/>
  <c r="CH8" i="23"/>
  <c r="CG14" i="23"/>
  <c r="CG22" i="23"/>
  <c r="CF15" i="23"/>
  <c r="CI8" i="23" l="1"/>
  <c r="CH22" i="23"/>
  <c r="CH14" i="23"/>
  <c r="CG15" i="23"/>
  <c r="CG16" i="23"/>
  <c r="CH16" i="23" l="1"/>
  <c r="CH15" i="23"/>
  <c r="CJ8" i="23"/>
  <c r="CI22" i="23"/>
  <c r="CI14" i="23"/>
  <c r="CI16" i="23" l="1"/>
  <c r="CI15" i="23"/>
  <c r="CK8" i="23"/>
  <c r="CJ22" i="23"/>
  <c r="CJ14" i="23"/>
  <c r="CJ15" i="23" l="1"/>
  <c r="CJ16" i="23"/>
  <c r="CL8" i="23"/>
  <c r="CK14" i="23"/>
  <c r="CK22" i="23"/>
  <c r="CK16" i="23" l="1"/>
  <c r="CM8" i="23"/>
  <c r="CL22" i="23"/>
  <c r="CL14" i="23"/>
  <c r="CL15" i="23" s="1"/>
  <c r="CK15" i="23"/>
  <c r="CN8" i="23" l="1"/>
  <c r="CM22" i="23"/>
  <c r="CM14" i="23"/>
  <c r="CM15" i="23" s="1"/>
  <c r="CL16" i="23"/>
  <c r="CM16" i="23" l="1"/>
  <c r="CO8" i="23"/>
  <c r="CN14" i="23"/>
  <c r="CN22" i="23"/>
  <c r="CP8" i="23" l="1"/>
  <c r="CO22" i="23"/>
  <c r="CO14" i="23"/>
  <c r="CO15" i="23" s="1"/>
  <c r="CN16" i="23"/>
  <c r="CN15" i="23"/>
  <c r="CO16" i="23" l="1"/>
  <c r="CQ8" i="23"/>
  <c r="CP14" i="23"/>
  <c r="CP22" i="23"/>
  <c r="CP16" i="23" l="1"/>
  <c r="CP15" i="23"/>
  <c r="CR8" i="23"/>
  <c r="CQ14" i="23"/>
  <c r="CQ22" i="23"/>
  <c r="CS8" i="23" l="1"/>
  <c r="CR22" i="23"/>
  <c r="CR14" i="23"/>
  <c r="CQ16" i="23"/>
  <c r="CQ15" i="23"/>
  <c r="CR16" i="23" l="1"/>
  <c r="CR15" i="23"/>
  <c r="CT8" i="23"/>
  <c r="CS14" i="23"/>
  <c r="CS15" i="23" s="1"/>
  <c r="CS22" i="23"/>
  <c r="CU8" i="23" l="1"/>
  <c r="CT14" i="23"/>
  <c r="CT15" i="23" s="1"/>
  <c r="CT22" i="23"/>
  <c r="CS16" i="23"/>
  <c r="CV8" i="23" l="1"/>
  <c r="CU22" i="23"/>
  <c r="CU14" i="23"/>
  <c r="CT16" i="23"/>
  <c r="CW8" i="23" l="1"/>
  <c r="CV22" i="23"/>
  <c r="CV14" i="23"/>
  <c r="CU16" i="23"/>
  <c r="CU15" i="23"/>
  <c r="CV16" i="23" l="1"/>
  <c r="CX8" i="23"/>
  <c r="CW14" i="23"/>
  <c r="CW15" i="23" s="1"/>
  <c r="CW22" i="23"/>
  <c r="CV15" i="23"/>
  <c r="CW16" i="23" l="1"/>
  <c r="CY8" i="23"/>
  <c r="CX22" i="23"/>
  <c r="CX14" i="23"/>
  <c r="CZ8" i="23" l="1"/>
  <c r="CY14" i="23"/>
  <c r="CY22" i="23"/>
  <c r="CX16" i="23"/>
  <c r="CX15" i="23"/>
  <c r="CY16" i="23" l="1"/>
  <c r="CY15" i="23"/>
  <c r="DA8" i="23"/>
  <c r="CZ22" i="23"/>
  <c r="CZ14" i="23"/>
  <c r="CZ16" i="23" l="1"/>
  <c r="CZ15" i="23"/>
  <c r="DB8" i="23"/>
  <c r="DA14" i="23"/>
  <c r="DA22" i="23"/>
  <c r="DC8" i="23" l="1"/>
  <c r="DB22" i="23"/>
  <c r="DB14" i="23"/>
  <c r="DB15" i="23" s="1"/>
  <c r="DA16" i="23"/>
  <c r="DA15" i="23"/>
  <c r="DB16" i="23" l="1"/>
  <c r="DD8" i="23"/>
  <c r="DC22" i="23"/>
  <c r="DC14" i="23"/>
  <c r="DE8" i="23" l="1"/>
  <c r="DD22" i="23"/>
  <c r="DD14" i="23"/>
  <c r="DD15" i="23" s="1"/>
  <c r="DC16" i="23"/>
  <c r="DC15" i="23"/>
  <c r="DD16" i="23" l="1"/>
  <c r="DF8" i="23"/>
  <c r="DE22" i="23"/>
  <c r="DE14" i="23"/>
  <c r="DE15" i="23" s="1"/>
  <c r="DG8" i="23" l="1"/>
  <c r="DF14" i="23"/>
  <c r="DF22" i="23"/>
  <c r="DE16" i="23"/>
  <c r="DF16" i="23" l="1"/>
  <c r="DF15" i="23"/>
  <c r="DH8" i="23"/>
  <c r="DG14" i="23"/>
  <c r="DG22" i="23"/>
  <c r="DG16" i="23" l="1"/>
  <c r="DG15" i="23"/>
  <c r="DI8" i="23"/>
  <c r="DH14" i="23"/>
  <c r="DH22" i="23"/>
  <c r="DJ8" i="23" l="1"/>
  <c r="DI22" i="23"/>
  <c r="DI14" i="23"/>
  <c r="DH16" i="23"/>
  <c r="DH15" i="23"/>
  <c r="DI16" i="23" l="1"/>
  <c r="DK8" i="23"/>
  <c r="DJ22" i="23"/>
  <c r="DJ14" i="23"/>
  <c r="DI15" i="23"/>
  <c r="DL8" i="23" l="1"/>
  <c r="DK14" i="23"/>
  <c r="DK22" i="23"/>
  <c r="DJ16" i="23"/>
  <c r="DJ15" i="23"/>
  <c r="DK16" i="23" l="1"/>
  <c r="DK15" i="23"/>
  <c r="DM8" i="23"/>
  <c r="DL22" i="23"/>
  <c r="DL14" i="23"/>
  <c r="DL16" i="23" l="1"/>
  <c r="DL15" i="23"/>
  <c r="DN8" i="23"/>
  <c r="DM22" i="23"/>
  <c r="DM14" i="23"/>
  <c r="DM16" i="23" l="1"/>
  <c r="DO8" i="23"/>
  <c r="DN22" i="23"/>
  <c r="DN14" i="23"/>
  <c r="DN15" i="23" s="1"/>
  <c r="DM15" i="23"/>
  <c r="DN16" i="23" l="1"/>
  <c r="DP8" i="23"/>
  <c r="DO14" i="23"/>
  <c r="DO22" i="23"/>
  <c r="DO16" i="23" l="1"/>
  <c r="DO15" i="23"/>
  <c r="DQ8" i="23"/>
  <c r="DP14" i="23"/>
  <c r="DP15" i="23" s="1"/>
  <c r="DP22" i="23"/>
  <c r="DR8" i="23" l="1"/>
  <c r="DQ14" i="23"/>
  <c r="DQ15" i="23" s="1"/>
  <c r="DQ22" i="23"/>
  <c r="DP16" i="23"/>
  <c r="DQ16" i="23" l="1"/>
  <c r="DS8" i="23"/>
  <c r="DR22" i="23"/>
  <c r="DR14" i="23"/>
  <c r="DT8" i="23" l="1"/>
  <c r="DS14" i="23"/>
  <c r="DS15" i="23" s="1"/>
  <c r="DS22" i="23"/>
  <c r="DR16" i="23"/>
  <c r="DR15" i="23"/>
  <c r="DS16" i="23" l="1"/>
  <c r="DU8" i="23"/>
  <c r="DT22" i="23"/>
  <c r="DT14" i="23"/>
  <c r="DT16" i="23" l="1"/>
  <c r="DT15" i="23"/>
  <c r="DV8" i="23"/>
  <c r="DU22" i="23"/>
  <c r="DU14" i="23"/>
  <c r="DU16" i="23" l="1"/>
  <c r="DU15" i="23"/>
  <c r="DW8" i="23"/>
  <c r="DV14" i="23"/>
  <c r="DV22" i="23"/>
  <c r="DV16" i="23" l="1"/>
  <c r="DX8" i="23"/>
  <c r="DW22" i="23"/>
  <c r="DW14" i="23"/>
  <c r="DW15" i="23" s="1"/>
  <c r="DV15" i="23"/>
  <c r="DW16" i="23" l="1"/>
  <c r="DY8" i="23"/>
  <c r="DX22" i="23"/>
  <c r="DX14" i="23"/>
  <c r="DZ8" i="23" l="1"/>
  <c r="DY22" i="23"/>
  <c r="DY14" i="23"/>
  <c r="DY15" i="23" s="1"/>
  <c r="DX16" i="23"/>
  <c r="DX15" i="23"/>
  <c r="EA8" i="23" l="1"/>
  <c r="DZ22" i="23"/>
  <c r="DZ14" i="23"/>
  <c r="DY16" i="23"/>
  <c r="DZ16" i="23" l="1"/>
  <c r="EB8" i="23"/>
  <c r="EA22" i="23"/>
  <c r="EA14" i="23"/>
  <c r="DZ15" i="23"/>
  <c r="EC8" i="23" l="1"/>
  <c r="EB14" i="23"/>
  <c r="EB22" i="23"/>
  <c r="EA16" i="23"/>
  <c r="EA15" i="23"/>
  <c r="EB16" i="23" l="1"/>
  <c r="EB15" i="23"/>
  <c r="ED8" i="23"/>
  <c r="EC22" i="23"/>
  <c r="EC14" i="23"/>
  <c r="EE8" i="23" l="1"/>
  <c r="ED22" i="23"/>
  <c r="ED14" i="23"/>
  <c r="ED15" i="23" s="1"/>
  <c r="EC16" i="23"/>
  <c r="EC15" i="23"/>
  <c r="ED16" i="23" l="1"/>
  <c r="EF8" i="23"/>
  <c r="EE14" i="23"/>
  <c r="EE22" i="23"/>
  <c r="EE15" i="23" l="1"/>
  <c r="EG8" i="23"/>
  <c r="EF14" i="23"/>
  <c r="EF15" i="23" s="1"/>
  <c r="EF22" i="23"/>
  <c r="EE16" i="23"/>
  <c r="EH8" i="23" l="1"/>
  <c r="EG14" i="23"/>
  <c r="EG22" i="23"/>
  <c r="EF16" i="23"/>
  <c r="EI8" i="23" l="1"/>
  <c r="EH14" i="23"/>
  <c r="EH22" i="23"/>
  <c r="EG16" i="23"/>
  <c r="EG15" i="23"/>
  <c r="EH16" i="23" l="1"/>
  <c r="EH15" i="23"/>
  <c r="EJ8" i="23"/>
  <c r="EI14" i="23"/>
  <c r="EI22" i="23"/>
  <c r="EI16" i="23" l="1"/>
  <c r="EI15" i="23"/>
  <c r="EK8" i="23"/>
  <c r="EJ22" i="23"/>
  <c r="EJ14" i="23"/>
  <c r="EJ16" i="23" l="1"/>
  <c r="EJ15" i="23"/>
  <c r="EL8" i="23"/>
  <c r="EK22" i="23"/>
  <c r="EK14" i="23"/>
  <c r="EK15" i="23" s="1"/>
  <c r="EK16" i="23" l="1"/>
  <c r="EM8" i="23"/>
  <c r="EL14" i="23"/>
  <c r="EL22" i="23"/>
  <c r="EL16" i="23" l="1"/>
  <c r="EL15" i="23"/>
  <c r="EN8" i="23"/>
  <c r="EM22" i="23"/>
  <c r="EM14" i="23"/>
  <c r="EM15" i="23" s="1"/>
  <c r="EM16" i="23" l="1"/>
  <c r="EO8" i="23"/>
  <c r="EN14" i="23"/>
  <c r="EN22" i="23"/>
  <c r="EN16" i="23" l="1"/>
  <c r="EN15" i="23"/>
  <c r="EP8" i="23"/>
  <c r="EO14" i="23"/>
  <c r="EO15" i="23" s="1"/>
  <c r="EO22" i="23"/>
  <c r="EO16" i="23" l="1"/>
  <c r="EQ8" i="23"/>
  <c r="EP14" i="23"/>
  <c r="EP22" i="23"/>
  <c r="EP16" i="23" l="1"/>
  <c r="EP15" i="23"/>
  <c r="ER8" i="23"/>
  <c r="EQ22" i="23"/>
  <c r="EQ14" i="23"/>
  <c r="ES8" i="23" l="1"/>
  <c r="ER22" i="23"/>
  <c r="ER14" i="23"/>
  <c r="EQ16" i="23"/>
  <c r="EQ15" i="23"/>
  <c r="ER16" i="23" l="1"/>
  <c r="ER15" i="23"/>
  <c r="ET8" i="23"/>
  <c r="ES14" i="23"/>
  <c r="ES22" i="23"/>
  <c r="EU8" i="23" l="1"/>
  <c r="ET14" i="23"/>
  <c r="ET15" i="23" s="1"/>
  <c r="ET22" i="23"/>
  <c r="ES16" i="23"/>
  <c r="ES15" i="23"/>
  <c r="ET16" i="23" l="1"/>
  <c r="EV8" i="23"/>
  <c r="EU22" i="23"/>
  <c r="EU14" i="23"/>
  <c r="EU16" i="23" l="1"/>
  <c r="EU15" i="23"/>
  <c r="EW8" i="23"/>
  <c r="EV14" i="23"/>
  <c r="EV15" i="23" s="1"/>
  <c r="EV22" i="23"/>
  <c r="EX8" i="23" l="1"/>
  <c r="EW14" i="23"/>
  <c r="EW15" i="23" s="1"/>
  <c r="EW22" i="23"/>
  <c r="EV16" i="23"/>
  <c r="EW16" i="23" l="1"/>
  <c r="EY8" i="23"/>
  <c r="EX22" i="23"/>
  <c r="EX14" i="23"/>
  <c r="EZ8" i="23" l="1"/>
  <c r="EY22" i="23"/>
  <c r="EY14" i="23"/>
  <c r="EX15" i="23"/>
  <c r="EX16" i="23"/>
  <c r="EY16" i="23" l="1"/>
  <c r="EY15" i="23"/>
  <c r="FA8" i="23"/>
  <c r="EZ22" i="23"/>
  <c r="EZ14" i="23"/>
  <c r="FB8" i="23" l="1"/>
  <c r="FA22" i="23"/>
  <c r="FA14" i="23"/>
  <c r="EZ16" i="23"/>
  <c r="EZ15" i="23"/>
  <c r="FC8" i="23" l="1"/>
  <c r="FB14" i="23"/>
  <c r="FB22" i="23"/>
  <c r="FA16" i="23"/>
  <c r="FA15" i="23"/>
  <c r="FB16" i="23" l="1"/>
  <c r="FB15" i="23"/>
  <c r="FD8" i="23"/>
  <c r="FC14" i="23"/>
  <c r="FC15" i="23" s="1"/>
  <c r="FC22" i="23"/>
  <c r="FC16" i="23" l="1"/>
  <c r="FE8" i="23"/>
  <c r="FD22" i="23"/>
  <c r="FD14" i="23"/>
  <c r="FD16" i="23" l="1"/>
  <c r="FD15" i="23"/>
  <c r="FF8" i="23"/>
  <c r="FE22" i="23"/>
  <c r="FE14" i="23"/>
  <c r="FE15" i="23" s="1"/>
  <c r="FG8" i="23" l="1"/>
  <c r="FF14" i="23"/>
  <c r="FF16" i="23" s="1"/>
  <c r="FF22" i="23"/>
  <c r="FE16" i="23"/>
  <c r="FF15" i="23" l="1"/>
  <c r="FH8" i="23"/>
  <c r="FG22" i="23"/>
  <c r="FG14" i="23"/>
  <c r="FI8" i="23" l="1"/>
  <c r="FH22" i="23"/>
  <c r="FH14" i="23"/>
  <c r="FG16" i="23"/>
  <c r="FG15" i="23"/>
  <c r="FJ8" i="23" l="1"/>
  <c r="FI22" i="23"/>
  <c r="FI14" i="23"/>
  <c r="FH16" i="23"/>
  <c r="FH15" i="23"/>
  <c r="FI16" i="23" l="1"/>
  <c r="FI15" i="23"/>
  <c r="FK8" i="23"/>
  <c r="FJ22" i="23"/>
  <c r="FJ14" i="23"/>
  <c r="FL8" i="23" l="1"/>
  <c r="FK14" i="23"/>
  <c r="FK16" i="23" s="1"/>
  <c r="FK22" i="23"/>
  <c r="FJ16" i="23"/>
  <c r="FJ15" i="23"/>
  <c r="FK15" i="23" l="1"/>
  <c r="FM8" i="23"/>
  <c r="FL14" i="23"/>
  <c r="FL22" i="23"/>
  <c r="FN8" i="23" l="1"/>
  <c r="FM14" i="23"/>
  <c r="FM15" i="23" s="1"/>
  <c r="FM22" i="23"/>
  <c r="FL16" i="23"/>
  <c r="FL15" i="23"/>
  <c r="FO8" i="23" l="1"/>
  <c r="FN22" i="23"/>
  <c r="FN14" i="23"/>
  <c r="FM16" i="23"/>
  <c r="FN16" i="23" l="1"/>
  <c r="FN15" i="23"/>
  <c r="FP8" i="23"/>
  <c r="FO22" i="23"/>
  <c r="FO14" i="23"/>
  <c r="FO15" i="23" s="1"/>
  <c r="FO16" i="23" l="1"/>
  <c r="FQ8" i="23"/>
  <c r="FP22" i="23"/>
  <c r="FP14" i="23"/>
  <c r="FP15" i="23" s="1"/>
  <c r="FP16" i="23" l="1"/>
  <c r="FR8" i="23"/>
  <c r="FQ22" i="23"/>
  <c r="FQ14" i="23"/>
  <c r="FQ16" i="23" l="1"/>
  <c r="FS8" i="23"/>
  <c r="FR14" i="23"/>
  <c r="FR16" i="23" s="1"/>
  <c r="FR22" i="23"/>
  <c r="FQ15" i="23"/>
  <c r="FR15" i="23" l="1"/>
  <c r="FT8" i="23"/>
  <c r="FS14" i="23"/>
  <c r="FS22" i="23"/>
  <c r="FS16" i="23" l="1"/>
  <c r="FS15" i="23"/>
  <c r="FU8" i="23"/>
  <c r="FT22" i="23"/>
  <c r="FT14" i="23"/>
  <c r="FT16" i="23" l="1"/>
  <c r="FV8" i="23"/>
  <c r="FU22" i="23"/>
  <c r="FU14" i="23"/>
  <c r="FU16" i="23" s="1"/>
  <c r="FT15" i="23"/>
  <c r="FU15" i="23" l="1"/>
  <c r="FW8" i="23"/>
  <c r="FV22" i="23"/>
  <c r="FV14" i="23"/>
  <c r="FX8" i="23" l="1"/>
  <c r="FW14" i="23"/>
  <c r="FW22" i="23"/>
  <c r="FV16" i="23"/>
  <c r="FV15" i="23"/>
  <c r="FW15" i="23"/>
  <c r="FW16" i="23" l="1"/>
  <c r="FY8" i="23"/>
  <c r="FX14" i="23"/>
  <c r="FX22" i="23"/>
  <c r="FX16" i="23" l="1"/>
  <c r="FZ8" i="23"/>
  <c r="FY14" i="23"/>
  <c r="FY22" i="23"/>
  <c r="FX15" i="23"/>
  <c r="FY16" i="23" l="1"/>
  <c r="FY15" i="23"/>
  <c r="GA8" i="23"/>
  <c r="FZ22" i="23"/>
  <c r="FZ14" i="23"/>
  <c r="FZ15" i="23" s="1"/>
  <c r="GB8" i="23" l="1"/>
  <c r="GA22" i="23"/>
  <c r="GA14" i="23"/>
  <c r="GA16" i="23" s="1"/>
  <c r="FZ16" i="23"/>
  <c r="GA15" i="23" l="1"/>
  <c r="GC8" i="23"/>
  <c r="GB14" i="23"/>
  <c r="GB15" i="23" s="1"/>
  <c r="GB22" i="23"/>
  <c r="GD8" i="23" l="1"/>
  <c r="GC14" i="23"/>
  <c r="GC15" i="23" s="1"/>
  <c r="GC22" i="23"/>
  <c r="GB16" i="23"/>
  <c r="GE8" i="23" l="1"/>
  <c r="GD22" i="23"/>
  <c r="GD14" i="23"/>
  <c r="GC16" i="23"/>
  <c r="GE14" i="23" l="1"/>
  <c r="GE22" i="23"/>
  <c r="GD16" i="23"/>
  <c r="GD15" i="23"/>
  <c r="GE16" i="23" l="1"/>
  <c r="GE15" i="23"/>
</calcChain>
</file>

<file path=xl/comments1.xml><?xml version="1.0" encoding="utf-8"?>
<comments xmlns="http://schemas.openxmlformats.org/spreadsheetml/2006/main">
  <authors>
    <author>Johan van Sittert</author>
  </authors>
  <commentList>
    <comment ref="I8" authorId="0" shapeId="0">
      <text>
        <r>
          <rPr>
            <b/>
            <sz val="9"/>
            <color indexed="81"/>
            <rFont val="Tahoma"/>
            <family val="2"/>
          </rPr>
          <t>Enter first Day Month and year of new year
Eg: 01 Jan 2016</t>
        </r>
        <r>
          <rPr>
            <sz val="9"/>
            <color indexed="81"/>
            <rFont val="Tahoma"/>
            <family val="2"/>
          </rPr>
          <t xml:space="preserve">
</t>
        </r>
      </text>
    </comment>
  </commentList>
</comments>
</file>

<file path=xl/comments2.xml><?xml version="1.0" encoding="utf-8"?>
<comments xmlns="http://schemas.openxmlformats.org/spreadsheetml/2006/main">
  <authors>
    <author>jvansittert</author>
    <author xml:space="preserve"> MSymons</author>
  </authors>
  <commentList>
    <comment ref="D4" authorId="0" shapeId="0">
      <text>
        <r>
          <rPr>
            <b/>
            <sz val="8"/>
            <color indexed="81"/>
            <rFont val="Tahoma"/>
            <family val="2"/>
          </rPr>
          <t>Fill all Fields (White )</t>
        </r>
        <r>
          <rPr>
            <sz val="8"/>
            <color indexed="81"/>
            <rFont val="Tahoma"/>
            <family val="2"/>
          </rPr>
          <t xml:space="preserve">
</t>
        </r>
      </text>
    </comment>
    <comment ref="J4" authorId="0" shapeId="0">
      <text>
        <r>
          <rPr>
            <b/>
            <sz val="8"/>
            <color indexed="81"/>
            <rFont val="Tahoma"/>
            <family val="2"/>
          </rPr>
          <t>Fill all Fields (White )</t>
        </r>
        <r>
          <rPr>
            <sz val="8"/>
            <color indexed="81"/>
            <rFont val="Tahoma"/>
            <family val="2"/>
          </rPr>
          <t xml:space="preserve">
</t>
        </r>
      </text>
    </comment>
    <comment ref="D32" authorId="1" shapeId="0">
      <text>
        <r>
          <rPr>
            <b/>
            <sz val="10"/>
            <color indexed="81"/>
            <rFont val="Tahoma"/>
            <family val="2"/>
          </rPr>
          <t>(((Dist from #-1000)x((2.3xVRT)-59.5)/2500)+((6.833xVRT)-178))
Manupulated from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J v Sittert
</t>
        </r>
      </text>
    </comment>
    <comment ref="F32" authorId="1" shapeId="0">
      <text>
        <r>
          <rPr>
            <b/>
            <sz val="10"/>
            <color indexed="81"/>
            <rFont val="Tahoma"/>
            <family val="2"/>
          </rPr>
          <t>(((Dist from #-1000)x((2.3xVRT)-59.5)/2500)+((6.833xVRT)-178))
Manupulated from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J v Sittert
</t>
        </r>
      </text>
    </comment>
    <comment ref="H32" authorId="1" shapeId="0">
      <text>
        <r>
          <rPr>
            <b/>
            <sz val="10"/>
            <color indexed="81"/>
            <rFont val="Tahoma"/>
            <family val="2"/>
          </rPr>
          <t>(((Dist from #-1000)x((2.3xVRT)-59.5)/2500)+((6.833xVRT)-178))
Manupulated from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J v Sittert
</t>
        </r>
      </text>
    </comment>
    <comment ref="J32" authorId="1" shapeId="0">
      <text>
        <r>
          <rPr>
            <b/>
            <sz val="10"/>
            <color indexed="81"/>
            <rFont val="Tahoma"/>
            <family val="2"/>
          </rPr>
          <t>(((Dist from #-1000)x((2.3xVRT)-59.5)/2500)+((6.833xVRT)-178))
Manupulated from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J v Sittert
</t>
        </r>
      </text>
    </comment>
    <comment ref="L32" authorId="1" shapeId="0">
      <text>
        <r>
          <rPr>
            <b/>
            <sz val="10"/>
            <color indexed="81"/>
            <rFont val="Tahoma"/>
            <family val="2"/>
          </rPr>
          <t>(((Dist from #-1000)x((2.3xVRT)-59.5)/2500)+((6.833xVRT)-178))
Manupulated from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J v Sittert
</t>
        </r>
      </text>
    </comment>
    <comment ref="N32" authorId="1" shapeId="0">
      <text>
        <r>
          <rPr>
            <b/>
            <sz val="10"/>
            <color indexed="81"/>
            <rFont val="Tahoma"/>
            <family val="2"/>
          </rPr>
          <t>(((Dist from #-1000)x((2.3xVRT)-59.5)/2500)+((6.833xVRT)-178))
Manupulated from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J v Sittert
</t>
        </r>
      </text>
    </comment>
    <comment ref="P32" authorId="1" shapeId="0">
      <text>
        <r>
          <rPr>
            <b/>
            <sz val="10"/>
            <color indexed="81"/>
            <rFont val="Tahoma"/>
            <family val="2"/>
          </rPr>
          <t>(((Dist from #-1000)x((2.3xVRT)-59.5)/2500)+((6.833xVRT)-178))
Manupulated from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J v Sittert
</t>
        </r>
      </text>
    </comment>
    <comment ref="R32" authorId="1" shapeId="0">
      <text>
        <r>
          <rPr>
            <b/>
            <sz val="10"/>
            <color indexed="81"/>
            <rFont val="Tahoma"/>
            <family val="2"/>
          </rPr>
          <t>(((Dist from #-1000)x((2.3xVRT)-59.5)/2500)+((6.833xVRT)-178))
Manupulated from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J v Sittert
</t>
        </r>
      </text>
    </comment>
    <comment ref="T32" authorId="1" shapeId="0">
      <text>
        <r>
          <rPr>
            <b/>
            <sz val="10"/>
            <color indexed="81"/>
            <rFont val="Tahoma"/>
            <family val="2"/>
          </rPr>
          <t>(((Dist from #-1000)x((2.3xVRT)-59.5)/2500)+((6.833xVRT)-178))
Manupulated from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J v Sittert
</t>
        </r>
      </text>
    </comment>
    <comment ref="D33" authorId="1"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J v Sittert
</t>
        </r>
      </text>
    </comment>
    <comment ref="F33" authorId="1"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J v Sittert
</t>
        </r>
      </text>
    </comment>
    <comment ref="H33" authorId="1"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J v Sittert
</t>
        </r>
      </text>
    </comment>
    <comment ref="J33" authorId="1"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J v Sittert
</t>
        </r>
      </text>
    </comment>
    <comment ref="L33" authorId="1"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J v Sittert
</t>
        </r>
      </text>
    </comment>
    <comment ref="N33" authorId="1"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J v Sittert
</t>
        </r>
      </text>
    </comment>
    <comment ref="P33" authorId="1"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J v Sittert
</t>
        </r>
      </text>
    </comment>
    <comment ref="R33" authorId="1"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J v Sittert
</t>
        </r>
      </text>
    </comment>
    <comment ref="T33" authorId="1"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J v Sittert
</t>
        </r>
      </text>
    </comment>
    <comment ref="D34" authorId="1" shapeId="0">
      <text>
        <r>
          <rPr>
            <b/>
            <sz val="10"/>
            <color indexed="81"/>
            <rFont val="Tahoma"/>
            <family val="2"/>
          </rPr>
          <t xml:space="preserve"> MSymons:
</t>
        </r>
        <r>
          <rPr>
            <sz val="10"/>
            <color indexed="81"/>
            <rFont val="Tahoma"/>
            <family val="2"/>
          </rPr>
          <t>formula correct
Checked H Nourse J v Sittert</t>
        </r>
      </text>
    </comment>
    <comment ref="F34" authorId="1" shapeId="0">
      <text>
        <r>
          <rPr>
            <b/>
            <sz val="10"/>
            <color indexed="81"/>
            <rFont val="Tahoma"/>
            <family val="2"/>
          </rPr>
          <t xml:space="preserve"> MSymons:
</t>
        </r>
        <r>
          <rPr>
            <sz val="10"/>
            <color indexed="81"/>
            <rFont val="Tahoma"/>
            <family val="2"/>
          </rPr>
          <t>formula correct
Checked H Nourse J v Sittert</t>
        </r>
      </text>
    </comment>
    <comment ref="H34" authorId="1" shapeId="0">
      <text>
        <r>
          <rPr>
            <b/>
            <sz val="10"/>
            <color indexed="81"/>
            <rFont val="Tahoma"/>
            <family val="2"/>
          </rPr>
          <t xml:space="preserve"> MSymons:
</t>
        </r>
        <r>
          <rPr>
            <sz val="10"/>
            <color indexed="81"/>
            <rFont val="Tahoma"/>
            <family val="2"/>
          </rPr>
          <t>formula correct
Checked H Nourse J v Sittert</t>
        </r>
      </text>
    </comment>
    <comment ref="J34" authorId="1" shapeId="0">
      <text>
        <r>
          <rPr>
            <b/>
            <sz val="10"/>
            <color indexed="81"/>
            <rFont val="Tahoma"/>
            <family val="2"/>
          </rPr>
          <t xml:space="preserve"> MSymons:
</t>
        </r>
        <r>
          <rPr>
            <sz val="10"/>
            <color indexed="81"/>
            <rFont val="Tahoma"/>
            <family val="2"/>
          </rPr>
          <t>formula correct
Checked H Nourse J v Sittert</t>
        </r>
      </text>
    </comment>
    <comment ref="L34" authorId="1" shapeId="0">
      <text>
        <r>
          <rPr>
            <b/>
            <sz val="10"/>
            <color indexed="81"/>
            <rFont val="Tahoma"/>
            <family val="2"/>
          </rPr>
          <t xml:space="preserve"> MSymons:
</t>
        </r>
        <r>
          <rPr>
            <sz val="10"/>
            <color indexed="81"/>
            <rFont val="Tahoma"/>
            <family val="2"/>
          </rPr>
          <t>formula correct
Checked H Nourse J v Sittert</t>
        </r>
      </text>
    </comment>
    <comment ref="N34" authorId="1" shapeId="0">
      <text>
        <r>
          <rPr>
            <b/>
            <sz val="10"/>
            <color indexed="81"/>
            <rFont val="Tahoma"/>
            <family val="2"/>
          </rPr>
          <t xml:space="preserve"> MSymons:
</t>
        </r>
        <r>
          <rPr>
            <sz val="10"/>
            <color indexed="81"/>
            <rFont val="Tahoma"/>
            <family val="2"/>
          </rPr>
          <t>formula correct
Checked H Nourse J v Sittert</t>
        </r>
      </text>
    </comment>
    <comment ref="P34" authorId="1" shapeId="0">
      <text>
        <r>
          <rPr>
            <b/>
            <sz val="10"/>
            <color indexed="81"/>
            <rFont val="Tahoma"/>
            <family val="2"/>
          </rPr>
          <t xml:space="preserve"> MSymons:
</t>
        </r>
        <r>
          <rPr>
            <sz val="10"/>
            <color indexed="81"/>
            <rFont val="Tahoma"/>
            <family val="2"/>
          </rPr>
          <t>formula correct
Checked H Nourse J v Sittert</t>
        </r>
      </text>
    </comment>
    <comment ref="R34" authorId="1" shapeId="0">
      <text>
        <r>
          <rPr>
            <b/>
            <sz val="10"/>
            <color indexed="81"/>
            <rFont val="Tahoma"/>
            <family val="2"/>
          </rPr>
          <t xml:space="preserve"> MSymons:
</t>
        </r>
        <r>
          <rPr>
            <sz val="10"/>
            <color indexed="81"/>
            <rFont val="Tahoma"/>
            <family val="2"/>
          </rPr>
          <t>formula correct
Checked H Nourse J v Sittert</t>
        </r>
      </text>
    </comment>
    <comment ref="T34" authorId="1" shapeId="0">
      <text>
        <r>
          <rPr>
            <b/>
            <sz val="10"/>
            <color indexed="81"/>
            <rFont val="Tahoma"/>
            <family val="2"/>
          </rPr>
          <t xml:space="preserve"> MSymons:
</t>
        </r>
        <r>
          <rPr>
            <sz val="10"/>
            <color indexed="81"/>
            <rFont val="Tahoma"/>
            <family val="2"/>
          </rPr>
          <t>formula correct
Checked H Nourse J v Sittert</t>
        </r>
      </text>
    </comment>
    <comment ref="D35" authorId="0" shapeId="0">
      <text>
        <r>
          <rPr>
            <b/>
            <sz val="8"/>
            <color indexed="81"/>
            <rFont val="Tahoma"/>
            <family val="2"/>
          </rPr>
          <t xml:space="preserve"> MSymons:
</t>
        </r>
        <r>
          <rPr>
            <sz val="8"/>
            <color indexed="81"/>
            <rFont val="Tahoma"/>
            <family val="2"/>
          </rPr>
          <t>formula correct
Checked H Nourse J v Sittert</t>
        </r>
      </text>
    </comment>
    <comment ref="F35" authorId="0" shapeId="0">
      <text>
        <r>
          <rPr>
            <b/>
            <sz val="8"/>
            <color indexed="81"/>
            <rFont val="Tahoma"/>
            <family val="2"/>
          </rPr>
          <t xml:space="preserve"> MSymons:
</t>
        </r>
        <r>
          <rPr>
            <sz val="8"/>
            <color indexed="81"/>
            <rFont val="Tahoma"/>
            <family val="2"/>
          </rPr>
          <t>formula correct
Checked H Nourse J v Sittert</t>
        </r>
      </text>
    </comment>
    <comment ref="H35" authorId="0" shapeId="0">
      <text>
        <r>
          <rPr>
            <b/>
            <sz val="8"/>
            <color indexed="81"/>
            <rFont val="Tahoma"/>
            <family val="2"/>
          </rPr>
          <t xml:space="preserve"> MSymons:
</t>
        </r>
        <r>
          <rPr>
            <sz val="8"/>
            <color indexed="81"/>
            <rFont val="Tahoma"/>
            <family val="2"/>
          </rPr>
          <t>formula correct
Checked H Nourse J v Sittert</t>
        </r>
      </text>
    </comment>
    <comment ref="J35" authorId="0" shapeId="0">
      <text>
        <r>
          <rPr>
            <b/>
            <sz val="8"/>
            <color indexed="81"/>
            <rFont val="Tahoma"/>
            <family val="2"/>
          </rPr>
          <t xml:space="preserve"> MSymons:
</t>
        </r>
        <r>
          <rPr>
            <sz val="8"/>
            <color indexed="81"/>
            <rFont val="Tahoma"/>
            <family val="2"/>
          </rPr>
          <t>formula correct
Checked H Nourse J v Sittert</t>
        </r>
      </text>
    </comment>
    <comment ref="L35" authorId="0" shapeId="0">
      <text>
        <r>
          <rPr>
            <b/>
            <sz val="8"/>
            <color indexed="81"/>
            <rFont val="Tahoma"/>
            <family val="2"/>
          </rPr>
          <t xml:space="preserve"> MSymons:
</t>
        </r>
        <r>
          <rPr>
            <sz val="8"/>
            <color indexed="81"/>
            <rFont val="Tahoma"/>
            <family val="2"/>
          </rPr>
          <t>formula correct
Checked H Nourse J v Sittert</t>
        </r>
      </text>
    </comment>
    <comment ref="N35" authorId="0" shapeId="0">
      <text>
        <r>
          <rPr>
            <b/>
            <sz val="8"/>
            <color indexed="81"/>
            <rFont val="Tahoma"/>
            <family val="2"/>
          </rPr>
          <t xml:space="preserve"> MSymons:
</t>
        </r>
        <r>
          <rPr>
            <sz val="8"/>
            <color indexed="81"/>
            <rFont val="Tahoma"/>
            <family val="2"/>
          </rPr>
          <t>formula correct
Checked H Nourse J v Sittert</t>
        </r>
      </text>
    </comment>
    <comment ref="P35" authorId="0" shapeId="0">
      <text>
        <r>
          <rPr>
            <b/>
            <sz val="8"/>
            <color indexed="81"/>
            <rFont val="Tahoma"/>
            <family val="2"/>
          </rPr>
          <t xml:space="preserve"> MSymons:
</t>
        </r>
        <r>
          <rPr>
            <sz val="8"/>
            <color indexed="81"/>
            <rFont val="Tahoma"/>
            <family val="2"/>
          </rPr>
          <t>formula correct
Checked H Nourse J v Sittert</t>
        </r>
      </text>
    </comment>
    <comment ref="R35" authorId="0" shapeId="0">
      <text>
        <r>
          <rPr>
            <b/>
            <sz val="8"/>
            <color indexed="81"/>
            <rFont val="Tahoma"/>
            <family val="2"/>
          </rPr>
          <t xml:space="preserve"> MSymons:
</t>
        </r>
        <r>
          <rPr>
            <sz val="8"/>
            <color indexed="81"/>
            <rFont val="Tahoma"/>
            <family val="2"/>
          </rPr>
          <t>formula correct
Checked H Nourse J v Sittert</t>
        </r>
      </text>
    </comment>
    <comment ref="T35" authorId="0" shapeId="0">
      <text>
        <r>
          <rPr>
            <b/>
            <sz val="8"/>
            <color indexed="81"/>
            <rFont val="Tahoma"/>
            <family val="2"/>
          </rPr>
          <t xml:space="preserve"> MSymons:
</t>
        </r>
        <r>
          <rPr>
            <sz val="8"/>
            <color indexed="81"/>
            <rFont val="Tahoma"/>
            <family val="2"/>
          </rPr>
          <t>formula correct
Checked H Nourse J v Sittert</t>
        </r>
      </text>
    </comment>
    <comment ref="D37" authorId="1" shapeId="0">
      <text>
        <r>
          <rPr>
            <b/>
            <sz val="10"/>
            <color indexed="81"/>
            <rFont val="Tahoma"/>
            <family val="2"/>
          </rPr>
          <t xml:space="preserve"> MSymons:
</t>
        </r>
        <r>
          <rPr>
            <sz val="10"/>
            <color indexed="81"/>
            <rFont val="Tahoma"/>
            <family val="2"/>
          </rPr>
          <t>formula correct
Checked H Nourse J v Sittert</t>
        </r>
      </text>
    </comment>
    <comment ref="E37" authorId="0" shapeId="0">
      <text>
        <r>
          <rPr>
            <sz val="10"/>
            <color indexed="81"/>
            <rFont val="Tahoma"/>
            <family val="2"/>
          </rPr>
          <t xml:space="preserve">Air Cooling Power KJ/kg
Heat Removal Capacity of air </t>
        </r>
        <r>
          <rPr>
            <b/>
            <sz val="10"/>
            <color indexed="17"/>
            <rFont val="Tahoma"/>
            <family val="2"/>
          </rPr>
          <t xml:space="preserve"> (WITH BAC Operating as an input </t>
        </r>
        <r>
          <rPr>
            <sz val="10"/>
            <color indexed="17"/>
            <rFont val="Tahoma"/>
            <family val="2"/>
          </rPr>
          <t>"Surface Air Mixture"</t>
        </r>
        <r>
          <rPr>
            <b/>
            <sz val="10"/>
            <color indexed="17"/>
            <rFont val="Tahoma"/>
            <family val="2"/>
          </rPr>
          <t>)</t>
        </r>
        <r>
          <rPr>
            <sz val="10"/>
            <color indexed="81"/>
            <rFont val="Tahoma"/>
            <family val="2"/>
          </rPr>
          <t xml:space="preserve">
</t>
        </r>
        <r>
          <rPr>
            <b/>
            <sz val="10"/>
            <color indexed="81"/>
            <rFont val="Tahoma"/>
            <family val="2"/>
          </rPr>
          <t>=E42-(D18-18)*(E41-E42)/8 New formula Developed Nov 2011</t>
        </r>
        <r>
          <rPr>
            <sz val="10"/>
            <color indexed="81"/>
            <rFont val="Tahoma"/>
            <family val="2"/>
          </rPr>
          <t xml:space="preserve">
Manupulated from Heat Removal Graph "y=mx+c" </t>
        </r>
        <r>
          <rPr>
            <b/>
            <sz val="10"/>
            <color indexed="81"/>
            <rFont val="Tahoma"/>
            <family val="2"/>
          </rPr>
          <t xml:space="preserve"> 
</t>
        </r>
      </text>
    </comment>
    <comment ref="F37" authorId="1" shapeId="0">
      <text>
        <r>
          <rPr>
            <b/>
            <sz val="10"/>
            <color indexed="81"/>
            <rFont val="Tahoma"/>
            <family val="2"/>
          </rPr>
          <t xml:space="preserve"> MSymons:
</t>
        </r>
        <r>
          <rPr>
            <sz val="10"/>
            <color indexed="81"/>
            <rFont val="Tahoma"/>
            <family val="2"/>
          </rPr>
          <t>formula correct
Checked H Nourse J v Sittert</t>
        </r>
      </text>
    </comment>
    <comment ref="G37" authorId="0" shapeId="0">
      <text>
        <r>
          <rPr>
            <sz val="10"/>
            <color indexed="81"/>
            <rFont val="Tahoma"/>
            <family val="2"/>
          </rPr>
          <t xml:space="preserve">Air Cooling Power KJ/kg
Heat Removal Capacity of air </t>
        </r>
        <r>
          <rPr>
            <b/>
            <sz val="10"/>
            <color indexed="17"/>
            <rFont val="Tahoma"/>
            <family val="2"/>
          </rPr>
          <t xml:space="preserve"> (WITH BAC Operating as an input </t>
        </r>
        <r>
          <rPr>
            <sz val="10"/>
            <color indexed="17"/>
            <rFont val="Tahoma"/>
            <family val="2"/>
          </rPr>
          <t>"Surface Air Mixture"</t>
        </r>
        <r>
          <rPr>
            <b/>
            <sz val="10"/>
            <color indexed="17"/>
            <rFont val="Tahoma"/>
            <family val="2"/>
          </rPr>
          <t>)</t>
        </r>
        <r>
          <rPr>
            <sz val="10"/>
            <color indexed="81"/>
            <rFont val="Tahoma"/>
            <family val="2"/>
          </rPr>
          <t xml:space="preserve">
</t>
        </r>
        <r>
          <rPr>
            <b/>
            <sz val="10"/>
            <color indexed="81"/>
            <rFont val="Tahoma"/>
            <family val="2"/>
          </rPr>
          <t>=E42-(D18-18)*(E41-E42)/8 New formula Developed Nov 2011</t>
        </r>
        <r>
          <rPr>
            <sz val="10"/>
            <color indexed="81"/>
            <rFont val="Tahoma"/>
            <family val="2"/>
          </rPr>
          <t xml:space="preserve">
Manupulated from Heat Removal Graph "y=mx+c" </t>
        </r>
        <r>
          <rPr>
            <b/>
            <sz val="10"/>
            <color indexed="81"/>
            <rFont val="Tahoma"/>
            <family val="2"/>
          </rPr>
          <t xml:space="preserve"> 
</t>
        </r>
      </text>
    </comment>
    <comment ref="H37" authorId="1" shapeId="0">
      <text>
        <r>
          <rPr>
            <b/>
            <sz val="10"/>
            <color indexed="81"/>
            <rFont val="Tahoma"/>
            <family val="2"/>
          </rPr>
          <t xml:space="preserve"> MSymons:
</t>
        </r>
        <r>
          <rPr>
            <sz val="10"/>
            <color indexed="81"/>
            <rFont val="Tahoma"/>
            <family val="2"/>
          </rPr>
          <t>formula correct
Checked H Nourse J v Sittert</t>
        </r>
      </text>
    </comment>
    <comment ref="I37" authorId="0" shapeId="0">
      <text>
        <r>
          <rPr>
            <sz val="10"/>
            <color indexed="81"/>
            <rFont val="Tahoma"/>
            <family val="2"/>
          </rPr>
          <t xml:space="preserve">Air Cooling Power KJ/kg
Heat Removal Capacity of air </t>
        </r>
        <r>
          <rPr>
            <b/>
            <sz val="10"/>
            <color indexed="17"/>
            <rFont val="Tahoma"/>
            <family val="2"/>
          </rPr>
          <t xml:space="preserve"> (WITH BAC Operating as an input </t>
        </r>
        <r>
          <rPr>
            <sz val="10"/>
            <color indexed="17"/>
            <rFont val="Tahoma"/>
            <family val="2"/>
          </rPr>
          <t>"Surface Air Mixture"</t>
        </r>
        <r>
          <rPr>
            <b/>
            <sz val="10"/>
            <color indexed="17"/>
            <rFont val="Tahoma"/>
            <family val="2"/>
          </rPr>
          <t>)</t>
        </r>
        <r>
          <rPr>
            <sz val="10"/>
            <color indexed="81"/>
            <rFont val="Tahoma"/>
            <family val="2"/>
          </rPr>
          <t xml:space="preserve">
</t>
        </r>
        <r>
          <rPr>
            <b/>
            <sz val="10"/>
            <color indexed="81"/>
            <rFont val="Tahoma"/>
            <family val="2"/>
          </rPr>
          <t>=E42-(D18-18)*(E41-E42)/8 New formula Developed Nov 2011</t>
        </r>
        <r>
          <rPr>
            <sz val="10"/>
            <color indexed="81"/>
            <rFont val="Tahoma"/>
            <family val="2"/>
          </rPr>
          <t xml:space="preserve">
Manupulated from Heat Removal Graph "y=mx+c" </t>
        </r>
        <r>
          <rPr>
            <b/>
            <sz val="10"/>
            <color indexed="81"/>
            <rFont val="Tahoma"/>
            <family val="2"/>
          </rPr>
          <t xml:space="preserve"> 
</t>
        </r>
      </text>
    </comment>
    <comment ref="J37" authorId="1" shapeId="0">
      <text>
        <r>
          <rPr>
            <b/>
            <sz val="10"/>
            <color indexed="81"/>
            <rFont val="Tahoma"/>
            <family val="2"/>
          </rPr>
          <t xml:space="preserve"> MSymons:
</t>
        </r>
        <r>
          <rPr>
            <sz val="10"/>
            <color indexed="81"/>
            <rFont val="Tahoma"/>
            <family val="2"/>
          </rPr>
          <t>formula correct
Checked H Nourse J v Sittert</t>
        </r>
      </text>
    </comment>
    <comment ref="K37" authorId="0" shapeId="0">
      <text>
        <r>
          <rPr>
            <sz val="10"/>
            <color indexed="81"/>
            <rFont val="Tahoma"/>
            <family val="2"/>
          </rPr>
          <t xml:space="preserve">Air Cooling Power KJ/kg
Heat Removal Capacity of air </t>
        </r>
        <r>
          <rPr>
            <b/>
            <sz val="10"/>
            <color indexed="17"/>
            <rFont val="Tahoma"/>
            <family val="2"/>
          </rPr>
          <t xml:space="preserve"> (WITH BAC Operating as an input </t>
        </r>
        <r>
          <rPr>
            <sz val="10"/>
            <color indexed="17"/>
            <rFont val="Tahoma"/>
            <family val="2"/>
          </rPr>
          <t>"Surface Air Mixture"</t>
        </r>
        <r>
          <rPr>
            <b/>
            <sz val="10"/>
            <color indexed="17"/>
            <rFont val="Tahoma"/>
            <family val="2"/>
          </rPr>
          <t>)</t>
        </r>
        <r>
          <rPr>
            <sz val="10"/>
            <color indexed="81"/>
            <rFont val="Tahoma"/>
            <family val="2"/>
          </rPr>
          <t xml:space="preserve">
</t>
        </r>
        <r>
          <rPr>
            <b/>
            <sz val="10"/>
            <color indexed="81"/>
            <rFont val="Tahoma"/>
            <family val="2"/>
          </rPr>
          <t>=E42-(D18-18)*(E41-E42)/8 New formula Developed Nov 2011</t>
        </r>
        <r>
          <rPr>
            <sz val="10"/>
            <color indexed="81"/>
            <rFont val="Tahoma"/>
            <family val="2"/>
          </rPr>
          <t xml:space="preserve">
Manupulated from Heat Removal Graph "y=mx+c" </t>
        </r>
        <r>
          <rPr>
            <b/>
            <sz val="10"/>
            <color indexed="81"/>
            <rFont val="Tahoma"/>
            <family val="2"/>
          </rPr>
          <t xml:space="preserve"> 
</t>
        </r>
      </text>
    </comment>
    <comment ref="L37" authorId="1" shapeId="0">
      <text>
        <r>
          <rPr>
            <b/>
            <sz val="10"/>
            <color indexed="81"/>
            <rFont val="Tahoma"/>
            <family val="2"/>
          </rPr>
          <t xml:space="preserve"> MSymons:
</t>
        </r>
        <r>
          <rPr>
            <sz val="10"/>
            <color indexed="81"/>
            <rFont val="Tahoma"/>
            <family val="2"/>
          </rPr>
          <t>formula correct
Checked H Nourse J v Sittert</t>
        </r>
      </text>
    </comment>
    <comment ref="M37" authorId="0" shapeId="0">
      <text>
        <r>
          <rPr>
            <sz val="10"/>
            <color indexed="81"/>
            <rFont val="Tahoma"/>
            <family val="2"/>
          </rPr>
          <t xml:space="preserve">Air Cooling Power KJ/kg
Heat Removal Capacity of air </t>
        </r>
        <r>
          <rPr>
            <b/>
            <sz val="10"/>
            <color indexed="17"/>
            <rFont val="Tahoma"/>
            <family val="2"/>
          </rPr>
          <t xml:space="preserve"> (WITH BAC Operating as an input </t>
        </r>
        <r>
          <rPr>
            <sz val="10"/>
            <color indexed="17"/>
            <rFont val="Tahoma"/>
            <family val="2"/>
          </rPr>
          <t>"Surface Air Mixture"</t>
        </r>
        <r>
          <rPr>
            <b/>
            <sz val="10"/>
            <color indexed="17"/>
            <rFont val="Tahoma"/>
            <family val="2"/>
          </rPr>
          <t>)</t>
        </r>
        <r>
          <rPr>
            <sz val="10"/>
            <color indexed="81"/>
            <rFont val="Tahoma"/>
            <family val="2"/>
          </rPr>
          <t xml:space="preserve">
</t>
        </r>
        <r>
          <rPr>
            <b/>
            <sz val="10"/>
            <color indexed="81"/>
            <rFont val="Tahoma"/>
            <family val="2"/>
          </rPr>
          <t>=E42-(D18-18)*(E41-E42)/8 New formula Developed Nov 2011</t>
        </r>
        <r>
          <rPr>
            <sz val="10"/>
            <color indexed="81"/>
            <rFont val="Tahoma"/>
            <family val="2"/>
          </rPr>
          <t xml:space="preserve">
Manupulated from Heat Removal Graph "y=mx+c" </t>
        </r>
        <r>
          <rPr>
            <b/>
            <sz val="10"/>
            <color indexed="81"/>
            <rFont val="Tahoma"/>
            <family val="2"/>
          </rPr>
          <t xml:space="preserve"> 
</t>
        </r>
      </text>
    </comment>
    <comment ref="N37" authorId="1" shapeId="0">
      <text>
        <r>
          <rPr>
            <b/>
            <sz val="10"/>
            <color indexed="81"/>
            <rFont val="Tahoma"/>
            <family val="2"/>
          </rPr>
          <t xml:space="preserve"> MSymons:
</t>
        </r>
        <r>
          <rPr>
            <sz val="10"/>
            <color indexed="81"/>
            <rFont val="Tahoma"/>
            <family val="2"/>
          </rPr>
          <t>formula correct
Checked H Nourse J v Sittert</t>
        </r>
      </text>
    </comment>
    <comment ref="O37" authorId="0" shapeId="0">
      <text>
        <r>
          <rPr>
            <sz val="10"/>
            <color indexed="81"/>
            <rFont val="Tahoma"/>
            <family val="2"/>
          </rPr>
          <t xml:space="preserve">Air Cooling Power KJ/kg
Heat Removal Capacity of air </t>
        </r>
        <r>
          <rPr>
            <b/>
            <sz val="10"/>
            <color indexed="17"/>
            <rFont val="Tahoma"/>
            <family val="2"/>
          </rPr>
          <t xml:space="preserve"> (WITH BAC Operating as an input </t>
        </r>
        <r>
          <rPr>
            <sz val="10"/>
            <color indexed="17"/>
            <rFont val="Tahoma"/>
            <family val="2"/>
          </rPr>
          <t>"Surface Air Mixture"</t>
        </r>
        <r>
          <rPr>
            <b/>
            <sz val="10"/>
            <color indexed="17"/>
            <rFont val="Tahoma"/>
            <family val="2"/>
          </rPr>
          <t>)</t>
        </r>
        <r>
          <rPr>
            <sz val="10"/>
            <color indexed="81"/>
            <rFont val="Tahoma"/>
            <family val="2"/>
          </rPr>
          <t xml:space="preserve">
</t>
        </r>
        <r>
          <rPr>
            <b/>
            <sz val="10"/>
            <color indexed="81"/>
            <rFont val="Tahoma"/>
            <family val="2"/>
          </rPr>
          <t>=E42-(D18-18)*(E41-E42)/8 New formula Developed Nov 2011</t>
        </r>
        <r>
          <rPr>
            <sz val="10"/>
            <color indexed="81"/>
            <rFont val="Tahoma"/>
            <family val="2"/>
          </rPr>
          <t xml:space="preserve">
Manupulated from Heat Removal Graph "y=mx+c" </t>
        </r>
        <r>
          <rPr>
            <b/>
            <sz val="10"/>
            <color indexed="81"/>
            <rFont val="Tahoma"/>
            <family val="2"/>
          </rPr>
          <t xml:space="preserve"> 
</t>
        </r>
      </text>
    </comment>
    <comment ref="P37" authorId="1" shapeId="0">
      <text>
        <r>
          <rPr>
            <b/>
            <sz val="10"/>
            <color indexed="81"/>
            <rFont val="Tahoma"/>
            <family val="2"/>
          </rPr>
          <t xml:space="preserve"> MSymons:
</t>
        </r>
        <r>
          <rPr>
            <sz val="10"/>
            <color indexed="81"/>
            <rFont val="Tahoma"/>
            <family val="2"/>
          </rPr>
          <t>formula correct
Checked H Nourse J v Sittert</t>
        </r>
      </text>
    </comment>
    <comment ref="Q37" authorId="0" shapeId="0">
      <text>
        <r>
          <rPr>
            <sz val="10"/>
            <color indexed="81"/>
            <rFont val="Tahoma"/>
            <family val="2"/>
          </rPr>
          <t xml:space="preserve">Air Cooling Power KJ/kg
Heat Removal Capacity of air </t>
        </r>
        <r>
          <rPr>
            <b/>
            <sz val="10"/>
            <color indexed="17"/>
            <rFont val="Tahoma"/>
            <family val="2"/>
          </rPr>
          <t xml:space="preserve"> (WITH BAC Operating as an input </t>
        </r>
        <r>
          <rPr>
            <sz val="10"/>
            <color indexed="17"/>
            <rFont val="Tahoma"/>
            <family val="2"/>
          </rPr>
          <t>"Surface Air Mixture"</t>
        </r>
        <r>
          <rPr>
            <b/>
            <sz val="10"/>
            <color indexed="17"/>
            <rFont val="Tahoma"/>
            <family val="2"/>
          </rPr>
          <t>)</t>
        </r>
        <r>
          <rPr>
            <sz val="10"/>
            <color indexed="81"/>
            <rFont val="Tahoma"/>
            <family val="2"/>
          </rPr>
          <t xml:space="preserve">
</t>
        </r>
        <r>
          <rPr>
            <b/>
            <sz val="10"/>
            <color indexed="81"/>
            <rFont val="Tahoma"/>
            <family val="2"/>
          </rPr>
          <t>=E42-(D18-18)*(E41-E42)/8 New formula Developed Nov 2011</t>
        </r>
        <r>
          <rPr>
            <sz val="10"/>
            <color indexed="81"/>
            <rFont val="Tahoma"/>
            <family val="2"/>
          </rPr>
          <t xml:space="preserve">
Manupulated from Heat Removal Graph "y=mx+c" </t>
        </r>
        <r>
          <rPr>
            <b/>
            <sz val="10"/>
            <color indexed="81"/>
            <rFont val="Tahoma"/>
            <family val="2"/>
          </rPr>
          <t xml:space="preserve"> 
</t>
        </r>
      </text>
    </comment>
    <comment ref="R37" authorId="1" shapeId="0">
      <text>
        <r>
          <rPr>
            <b/>
            <sz val="10"/>
            <color indexed="81"/>
            <rFont val="Tahoma"/>
            <family val="2"/>
          </rPr>
          <t xml:space="preserve"> MSymons:
</t>
        </r>
        <r>
          <rPr>
            <sz val="10"/>
            <color indexed="81"/>
            <rFont val="Tahoma"/>
            <family val="2"/>
          </rPr>
          <t>formula correct
Checked H Nourse J v Sittert</t>
        </r>
      </text>
    </comment>
    <comment ref="S37" authorId="0" shapeId="0">
      <text>
        <r>
          <rPr>
            <sz val="10"/>
            <color indexed="81"/>
            <rFont val="Tahoma"/>
            <family val="2"/>
          </rPr>
          <t xml:space="preserve">Air Cooling Power KJ/kg
Heat Removal Capacity of air </t>
        </r>
        <r>
          <rPr>
            <b/>
            <sz val="10"/>
            <color indexed="17"/>
            <rFont val="Tahoma"/>
            <family val="2"/>
          </rPr>
          <t xml:space="preserve"> (WITH BAC Operating as an input </t>
        </r>
        <r>
          <rPr>
            <sz val="10"/>
            <color indexed="17"/>
            <rFont val="Tahoma"/>
            <family val="2"/>
          </rPr>
          <t>"Surface Air Mixture"</t>
        </r>
        <r>
          <rPr>
            <b/>
            <sz val="10"/>
            <color indexed="17"/>
            <rFont val="Tahoma"/>
            <family val="2"/>
          </rPr>
          <t>)</t>
        </r>
        <r>
          <rPr>
            <sz val="10"/>
            <color indexed="81"/>
            <rFont val="Tahoma"/>
            <family val="2"/>
          </rPr>
          <t xml:space="preserve">
</t>
        </r>
        <r>
          <rPr>
            <b/>
            <sz val="10"/>
            <color indexed="81"/>
            <rFont val="Tahoma"/>
            <family val="2"/>
          </rPr>
          <t>=E42-(D18-18)*(E41-E42)/8 New formula Developed Nov 2011</t>
        </r>
        <r>
          <rPr>
            <sz val="10"/>
            <color indexed="81"/>
            <rFont val="Tahoma"/>
            <family val="2"/>
          </rPr>
          <t xml:space="preserve">
Manupulated from Heat Removal Graph "y=mx+c" </t>
        </r>
        <r>
          <rPr>
            <b/>
            <sz val="10"/>
            <color indexed="81"/>
            <rFont val="Tahoma"/>
            <family val="2"/>
          </rPr>
          <t xml:space="preserve"> 
</t>
        </r>
      </text>
    </comment>
    <comment ref="T37" authorId="1" shapeId="0">
      <text>
        <r>
          <rPr>
            <b/>
            <sz val="10"/>
            <color indexed="81"/>
            <rFont val="Tahoma"/>
            <family val="2"/>
          </rPr>
          <t xml:space="preserve"> MSymons:
</t>
        </r>
        <r>
          <rPr>
            <sz val="10"/>
            <color indexed="81"/>
            <rFont val="Tahoma"/>
            <family val="2"/>
          </rPr>
          <t>formula correct
Checked H Nourse J v Sittert</t>
        </r>
      </text>
    </comment>
    <comment ref="U37" authorId="0" shapeId="0">
      <text>
        <r>
          <rPr>
            <sz val="10"/>
            <color indexed="81"/>
            <rFont val="Tahoma"/>
            <family val="2"/>
          </rPr>
          <t xml:space="preserve">Air Cooling Power KJ/kg
Heat Removal Capacity of air </t>
        </r>
        <r>
          <rPr>
            <b/>
            <sz val="10"/>
            <color indexed="17"/>
            <rFont val="Tahoma"/>
            <family val="2"/>
          </rPr>
          <t xml:space="preserve"> (WITH BAC Operating as an input </t>
        </r>
        <r>
          <rPr>
            <sz val="10"/>
            <color indexed="17"/>
            <rFont val="Tahoma"/>
            <family val="2"/>
          </rPr>
          <t>"Surface Air Mixture"</t>
        </r>
        <r>
          <rPr>
            <b/>
            <sz val="10"/>
            <color indexed="17"/>
            <rFont val="Tahoma"/>
            <family val="2"/>
          </rPr>
          <t>)</t>
        </r>
        <r>
          <rPr>
            <sz val="10"/>
            <color indexed="81"/>
            <rFont val="Tahoma"/>
            <family val="2"/>
          </rPr>
          <t xml:space="preserve">
</t>
        </r>
        <r>
          <rPr>
            <b/>
            <sz val="10"/>
            <color indexed="81"/>
            <rFont val="Tahoma"/>
            <family val="2"/>
          </rPr>
          <t>=E42-(D18-18)*(E41-E42)/8 New formula Developed Nov 2011</t>
        </r>
        <r>
          <rPr>
            <sz val="10"/>
            <color indexed="81"/>
            <rFont val="Tahoma"/>
            <family val="2"/>
          </rPr>
          <t xml:space="preserve">
Manupulated from Heat Removal Graph "y=mx+c" </t>
        </r>
        <r>
          <rPr>
            <b/>
            <sz val="10"/>
            <color indexed="81"/>
            <rFont val="Tahoma"/>
            <family val="2"/>
          </rPr>
          <t xml:space="preserve"> 
</t>
        </r>
      </text>
    </comment>
    <comment ref="D38" authorId="1" shapeId="0">
      <text>
        <r>
          <rPr>
            <b/>
            <sz val="10"/>
            <color indexed="81"/>
            <rFont val="Tahoma"/>
            <family val="2"/>
          </rPr>
          <t xml:space="preserve"> MSymons:
</t>
        </r>
        <r>
          <rPr>
            <sz val="10"/>
            <color indexed="81"/>
            <rFont val="Tahoma"/>
            <family val="2"/>
          </rPr>
          <t>formula correct
Checked H Nourse J v Sittert</t>
        </r>
      </text>
    </comment>
    <comment ref="E38" authorId="0" shapeId="0">
      <text>
        <r>
          <rPr>
            <b/>
            <sz val="10"/>
            <color indexed="81"/>
            <rFont val="Tahoma"/>
            <family val="2"/>
          </rPr>
          <t>New Formula Nov 2011 Air Cooling Capacity Surface air at 5°C</t>
        </r>
        <r>
          <rPr>
            <sz val="10"/>
            <color indexed="81"/>
            <rFont val="Tahoma"/>
            <family val="2"/>
          </rPr>
          <t xml:space="preserve">
</t>
        </r>
      </text>
    </comment>
    <comment ref="F38" authorId="1" shapeId="0">
      <text>
        <r>
          <rPr>
            <b/>
            <sz val="10"/>
            <color indexed="81"/>
            <rFont val="Tahoma"/>
            <family val="2"/>
          </rPr>
          <t xml:space="preserve"> MSymons:
</t>
        </r>
        <r>
          <rPr>
            <sz val="10"/>
            <color indexed="81"/>
            <rFont val="Tahoma"/>
            <family val="2"/>
          </rPr>
          <t>formula correct
Checked H Nourse J v Sittert</t>
        </r>
      </text>
    </comment>
    <comment ref="G38" authorId="0" shapeId="0">
      <text>
        <r>
          <rPr>
            <b/>
            <sz val="10"/>
            <color indexed="81"/>
            <rFont val="Tahoma"/>
            <family val="2"/>
          </rPr>
          <t>New Formula Nov 2011 Air Cooling Capacity Surface air at 5°C</t>
        </r>
        <r>
          <rPr>
            <sz val="10"/>
            <color indexed="81"/>
            <rFont val="Tahoma"/>
            <family val="2"/>
          </rPr>
          <t xml:space="preserve">
</t>
        </r>
      </text>
    </comment>
    <comment ref="H38" authorId="1" shapeId="0">
      <text>
        <r>
          <rPr>
            <b/>
            <sz val="10"/>
            <color indexed="81"/>
            <rFont val="Tahoma"/>
            <family val="2"/>
          </rPr>
          <t xml:space="preserve"> MSymons:
</t>
        </r>
        <r>
          <rPr>
            <sz val="10"/>
            <color indexed="81"/>
            <rFont val="Tahoma"/>
            <family val="2"/>
          </rPr>
          <t>formula correct
Checked H Nourse J v Sittert</t>
        </r>
      </text>
    </comment>
    <comment ref="I38" authorId="0" shapeId="0">
      <text>
        <r>
          <rPr>
            <b/>
            <sz val="10"/>
            <color indexed="81"/>
            <rFont val="Tahoma"/>
            <family val="2"/>
          </rPr>
          <t>New Formula Nov 2011 Air Cooling Capacity Surface air at 5°C</t>
        </r>
        <r>
          <rPr>
            <sz val="10"/>
            <color indexed="81"/>
            <rFont val="Tahoma"/>
            <family val="2"/>
          </rPr>
          <t xml:space="preserve">
</t>
        </r>
      </text>
    </comment>
    <comment ref="J38" authorId="1" shapeId="0">
      <text>
        <r>
          <rPr>
            <b/>
            <sz val="10"/>
            <color indexed="81"/>
            <rFont val="Tahoma"/>
            <family val="2"/>
          </rPr>
          <t xml:space="preserve"> MSymons:
</t>
        </r>
        <r>
          <rPr>
            <sz val="10"/>
            <color indexed="81"/>
            <rFont val="Tahoma"/>
            <family val="2"/>
          </rPr>
          <t>formula correct
Checked H Nourse J v Sittert</t>
        </r>
      </text>
    </comment>
    <comment ref="K38" authorId="0" shapeId="0">
      <text>
        <r>
          <rPr>
            <b/>
            <sz val="10"/>
            <color indexed="81"/>
            <rFont val="Tahoma"/>
            <family val="2"/>
          </rPr>
          <t>New Formula Nov 2011 Air Cooling Capacity Surface air at 5°C</t>
        </r>
        <r>
          <rPr>
            <sz val="10"/>
            <color indexed="81"/>
            <rFont val="Tahoma"/>
            <family val="2"/>
          </rPr>
          <t xml:space="preserve">
</t>
        </r>
      </text>
    </comment>
    <comment ref="L38" authorId="1" shapeId="0">
      <text>
        <r>
          <rPr>
            <b/>
            <sz val="10"/>
            <color indexed="81"/>
            <rFont val="Tahoma"/>
            <family val="2"/>
          </rPr>
          <t xml:space="preserve"> MSymons:
</t>
        </r>
        <r>
          <rPr>
            <sz val="10"/>
            <color indexed="81"/>
            <rFont val="Tahoma"/>
            <family val="2"/>
          </rPr>
          <t>formula correct
Checked H Nourse J v Sittert</t>
        </r>
      </text>
    </comment>
    <comment ref="M38" authorId="0" shapeId="0">
      <text>
        <r>
          <rPr>
            <b/>
            <sz val="10"/>
            <color indexed="81"/>
            <rFont val="Tahoma"/>
            <family val="2"/>
          </rPr>
          <t>New Formula Nov 2011 Air Cooling Capacity Surface air at 5°C</t>
        </r>
        <r>
          <rPr>
            <sz val="10"/>
            <color indexed="81"/>
            <rFont val="Tahoma"/>
            <family val="2"/>
          </rPr>
          <t xml:space="preserve">
</t>
        </r>
      </text>
    </comment>
    <comment ref="N38" authorId="1" shapeId="0">
      <text>
        <r>
          <rPr>
            <b/>
            <sz val="10"/>
            <color indexed="81"/>
            <rFont val="Tahoma"/>
            <family val="2"/>
          </rPr>
          <t xml:space="preserve"> MSymons:
</t>
        </r>
        <r>
          <rPr>
            <sz val="10"/>
            <color indexed="81"/>
            <rFont val="Tahoma"/>
            <family val="2"/>
          </rPr>
          <t>formula correct
Checked H Nourse J v Sittert</t>
        </r>
      </text>
    </comment>
    <comment ref="O38" authorId="0" shapeId="0">
      <text>
        <r>
          <rPr>
            <b/>
            <sz val="10"/>
            <color indexed="81"/>
            <rFont val="Tahoma"/>
            <family val="2"/>
          </rPr>
          <t>New Formula Nov 2011 Air Cooling Capacity Surface air at 5°C</t>
        </r>
        <r>
          <rPr>
            <sz val="10"/>
            <color indexed="81"/>
            <rFont val="Tahoma"/>
            <family val="2"/>
          </rPr>
          <t xml:space="preserve">
</t>
        </r>
      </text>
    </comment>
    <comment ref="P38" authorId="1" shapeId="0">
      <text>
        <r>
          <rPr>
            <b/>
            <sz val="10"/>
            <color indexed="81"/>
            <rFont val="Tahoma"/>
            <family val="2"/>
          </rPr>
          <t xml:space="preserve"> MSymons:
</t>
        </r>
        <r>
          <rPr>
            <sz val="10"/>
            <color indexed="81"/>
            <rFont val="Tahoma"/>
            <family val="2"/>
          </rPr>
          <t>formula correct
Checked H Nourse J v Sittert</t>
        </r>
      </text>
    </comment>
    <comment ref="Q38" authorId="0" shapeId="0">
      <text>
        <r>
          <rPr>
            <b/>
            <sz val="10"/>
            <color indexed="81"/>
            <rFont val="Tahoma"/>
            <family val="2"/>
          </rPr>
          <t>New Formula Nov 2011 Air Cooling Capacity Surface air at 5°C</t>
        </r>
        <r>
          <rPr>
            <sz val="10"/>
            <color indexed="81"/>
            <rFont val="Tahoma"/>
            <family val="2"/>
          </rPr>
          <t xml:space="preserve">
</t>
        </r>
      </text>
    </comment>
    <comment ref="R38" authorId="1" shapeId="0">
      <text>
        <r>
          <rPr>
            <b/>
            <sz val="10"/>
            <color indexed="81"/>
            <rFont val="Tahoma"/>
            <family val="2"/>
          </rPr>
          <t xml:space="preserve"> MSymons:
</t>
        </r>
        <r>
          <rPr>
            <sz val="10"/>
            <color indexed="81"/>
            <rFont val="Tahoma"/>
            <family val="2"/>
          </rPr>
          <t>formula correct
Checked H Nourse J v Sittert</t>
        </r>
      </text>
    </comment>
    <comment ref="S38" authorId="0" shapeId="0">
      <text>
        <r>
          <rPr>
            <b/>
            <sz val="10"/>
            <color indexed="81"/>
            <rFont val="Tahoma"/>
            <family val="2"/>
          </rPr>
          <t>New Formula Nov 2011 Air Cooling Capacity Surface air at 5°C</t>
        </r>
        <r>
          <rPr>
            <sz val="10"/>
            <color indexed="81"/>
            <rFont val="Tahoma"/>
            <family val="2"/>
          </rPr>
          <t xml:space="preserve">
</t>
        </r>
      </text>
    </comment>
    <comment ref="T38" authorId="1" shapeId="0">
      <text>
        <r>
          <rPr>
            <b/>
            <sz val="10"/>
            <color indexed="81"/>
            <rFont val="Tahoma"/>
            <family val="2"/>
          </rPr>
          <t xml:space="preserve"> MSymons:
</t>
        </r>
        <r>
          <rPr>
            <sz val="10"/>
            <color indexed="81"/>
            <rFont val="Tahoma"/>
            <family val="2"/>
          </rPr>
          <t>formula correct
Checked H Nourse J v Sittert</t>
        </r>
      </text>
    </comment>
    <comment ref="U38" authorId="0" shapeId="0">
      <text>
        <r>
          <rPr>
            <b/>
            <sz val="10"/>
            <color indexed="81"/>
            <rFont val="Tahoma"/>
            <family val="2"/>
          </rPr>
          <t>New Formula Nov 2011 Air Cooling Capacity Surface air at 5°C</t>
        </r>
        <r>
          <rPr>
            <sz val="10"/>
            <color indexed="81"/>
            <rFont val="Tahoma"/>
            <family val="2"/>
          </rPr>
          <t xml:space="preserve">
</t>
        </r>
      </text>
    </comment>
    <comment ref="E39" authorId="0" shapeId="0">
      <text>
        <r>
          <rPr>
            <b/>
            <sz val="10"/>
            <color indexed="81"/>
            <rFont val="Tahoma"/>
            <family val="2"/>
          </rPr>
          <t>New Formula Nov 2011 Air Cooling Capacity Surface air at 18°C</t>
        </r>
        <r>
          <rPr>
            <sz val="10"/>
            <color indexed="81"/>
            <rFont val="Tahoma"/>
            <family val="2"/>
          </rPr>
          <t xml:space="preserve">
</t>
        </r>
      </text>
    </comment>
    <comment ref="G39" authorId="0" shapeId="0">
      <text>
        <r>
          <rPr>
            <b/>
            <sz val="10"/>
            <color indexed="81"/>
            <rFont val="Tahoma"/>
            <family val="2"/>
          </rPr>
          <t>New Formula Nov 2011 Air Cooling Capacity Surface air at 18°C</t>
        </r>
        <r>
          <rPr>
            <sz val="10"/>
            <color indexed="81"/>
            <rFont val="Tahoma"/>
            <family val="2"/>
          </rPr>
          <t xml:space="preserve">
</t>
        </r>
      </text>
    </comment>
    <comment ref="I39" authorId="0" shapeId="0">
      <text>
        <r>
          <rPr>
            <b/>
            <sz val="10"/>
            <color indexed="81"/>
            <rFont val="Tahoma"/>
            <family val="2"/>
          </rPr>
          <t>New Formula Nov 2011 Air Cooling Capacity Surface air at 18°C</t>
        </r>
        <r>
          <rPr>
            <sz val="10"/>
            <color indexed="81"/>
            <rFont val="Tahoma"/>
            <family val="2"/>
          </rPr>
          <t xml:space="preserve">
</t>
        </r>
      </text>
    </comment>
    <comment ref="K39" authorId="0" shapeId="0">
      <text>
        <r>
          <rPr>
            <b/>
            <sz val="10"/>
            <color indexed="81"/>
            <rFont val="Tahoma"/>
            <family val="2"/>
          </rPr>
          <t>New Formula Nov 2011 Air Cooling Capacity Surface air at 18°C</t>
        </r>
        <r>
          <rPr>
            <sz val="10"/>
            <color indexed="81"/>
            <rFont val="Tahoma"/>
            <family val="2"/>
          </rPr>
          <t xml:space="preserve">
</t>
        </r>
      </text>
    </comment>
    <comment ref="M39" authorId="0" shapeId="0">
      <text>
        <r>
          <rPr>
            <b/>
            <sz val="10"/>
            <color indexed="81"/>
            <rFont val="Tahoma"/>
            <family val="2"/>
          </rPr>
          <t>New Formula Nov 2011 Air Cooling Capacity Surface air at 18°C</t>
        </r>
        <r>
          <rPr>
            <sz val="10"/>
            <color indexed="81"/>
            <rFont val="Tahoma"/>
            <family val="2"/>
          </rPr>
          <t xml:space="preserve">
</t>
        </r>
      </text>
    </comment>
    <comment ref="O39" authorId="0" shapeId="0">
      <text>
        <r>
          <rPr>
            <b/>
            <sz val="10"/>
            <color indexed="81"/>
            <rFont val="Tahoma"/>
            <family val="2"/>
          </rPr>
          <t>New Formula Nov 2011 Air Cooling Capacity Surface air at 18°C</t>
        </r>
        <r>
          <rPr>
            <sz val="10"/>
            <color indexed="81"/>
            <rFont val="Tahoma"/>
            <family val="2"/>
          </rPr>
          <t xml:space="preserve">
</t>
        </r>
      </text>
    </comment>
    <comment ref="Q39" authorId="0" shapeId="0">
      <text>
        <r>
          <rPr>
            <b/>
            <sz val="10"/>
            <color indexed="81"/>
            <rFont val="Tahoma"/>
            <family val="2"/>
          </rPr>
          <t>New Formula Nov 2011 Air Cooling Capacity Surface air at 18°C</t>
        </r>
        <r>
          <rPr>
            <sz val="10"/>
            <color indexed="81"/>
            <rFont val="Tahoma"/>
            <family val="2"/>
          </rPr>
          <t xml:space="preserve">
</t>
        </r>
      </text>
    </comment>
    <comment ref="S39" authorId="0" shapeId="0">
      <text>
        <r>
          <rPr>
            <b/>
            <sz val="10"/>
            <color indexed="81"/>
            <rFont val="Tahoma"/>
            <family val="2"/>
          </rPr>
          <t>New Formula Nov 2011 Air Cooling Capacity Surface air at 18°C</t>
        </r>
        <r>
          <rPr>
            <sz val="10"/>
            <color indexed="81"/>
            <rFont val="Tahoma"/>
            <family val="2"/>
          </rPr>
          <t xml:space="preserve">
</t>
        </r>
      </text>
    </comment>
    <comment ref="U39" authorId="0" shapeId="0">
      <text>
        <r>
          <rPr>
            <b/>
            <sz val="10"/>
            <color indexed="81"/>
            <rFont val="Tahoma"/>
            <family val="2"/>
          </rPr>
          <t>New Formula Nov 2011 Air Cooling Capacity Surface air at 18°C</t>
        </r>
        <r>
          <rPr>
            <sz val="10"/>
            <color indexed="81"/>
            <rFont val="Tahoma"/>
            <family val="2"/>
          </rPr>
          <t xml:space="preserve">
</t>
        </r>
      </text>
    </comment>
    <comment ref="D40" authorId="0" shapeId="0">
      <text>
        <r>
          <rPr>
            <b/>
            <sz val="8"/>
            <color indexed="81"/>
            <rFont val="Tahoma"/>
            <family val="2"/>
          </rPr>
          <t xml:space="preserve">Formula correct
</t>
        </r>
        <r>
          <rPr>
            <sz val="8"/>
            <color indexed="81"/>
            <rFont val="Tahoma"/>
            <family val="2"/>
          </rPr>
          <t xml:space="preserve">Checked H Nourse J v Sittert
</t>
        </r>
      </text>
    </comment>
    <comment ref="E40" authorId="0" shapeId="0">
      <text>
        <r>
          <rPr>
            <b/>
            <sz val="8"/>
            <color indexed="81"/>
            <rFont val="Tahoma"/>
            <family val="2"/>
          </rPr>
          <t>Factor To get to 1000 / sec</t>
        </r>
        <r>
          <rPr>
            <sz val="8"/>
            <color indexed="81"/>
            <rFont val="Tahoma"/>
            <family val="2"/>
          </rPr>
          <t xml:space="preserve">
per 24 shifts</t>
        </r>
      </text>
    </comment>
    <comment ref="F40" authorId="0" shapeId="0">
      <text>
        <r>
          <rPr>
            <b/>
            <sz val="8"/>
            <color indexed="81"/>
            <rFont val="Tahoma"/>
            <family val="2"/>
          </rPr>
          <t xml:space="preserve">Formula correct
</t>
        </r>
        <r>
          <rPr>
            <sz val="8"/>
            <color indexed="81"/>
            <rFont val="Tahoma"/>
            <family val="2"/>
          </rPr>
          <t xml:space="preserve">Checked H Nourse J v Sittert
</t>
        </r>
      </text>
    </comment>
    <comment ref="G40" authorId="0" shapeId="0">
      <text>
        <r>
          <rPr>
            <b/>
            <sz val="8"/>
            <color indexed="81"/>
            <rFont val="Tahoma"/>
            <family val="2"/>
          </rPr>
          <t>Factor To get to 1000 / sec</t>
        </r>
        <r>
          <rPr>
            <sz val="8"/>
            <color indexed="81"/>
            <rFont val="Tahoma"/>
            <family val="2"/>
          </rPr>
          <t xml:space="preserve">
per 24 shifts</t>
        </r>
      </text>
    </comment>
    <comment ref="H40" authorId="0" shapeId="0">
      <text>
        <r>
          <rPr>
            <b/>
            <sz val="8"/>
            <color indexed="81"/>
            <rFont val="Tahoma"/>
            <family val="2"/>
          </rPr>
          <t xml:space="preserve">Formula correct
</t>
        </r>
        <r>
          <rPr>
            <sz val="8"/>
            <color indexed="81"/>
            <rFont val="Tahoma"/>
            <family val="2"/>
          </rPr>
          <t xml:space="preserve">Checked H Nourse J v Sittert
</t>
        </r>
      </text>
    </comment>
    <comment ref="I40" authorId="0" shapeId="0">
      <text>
        <r>
          <rPr>
            <b/>
            <sz val="8"/>
            <color indexed="81"/>
            <rFont val="Tahoma"/>
            <family val="2"/>
          </rPr>
          <t>Factor To get to 1000 / sec</t>
        </r>
        <r>
          <rPr>
            <sz val="8"/>
            <color indexed="81"/>
            <rFont val="Tahoma"/>
            <family val="2"/>
          </rPr>
          <t xml:space="preserve">
per 24 shifts</t>
        </r>
      </text>
    </comment>
    <comment ref="J40" authorId="0" shapeId="0">
      <text>
        <r>
          <rPr>
            <b/>
            <sz val="8"/>
            <color indexed="81"/>
            <rFont val="Tahoma"/>
            <family val="2"/>
          </rPr>
          <t xml:space="preserve">Formula correct
</t>
        </r>
        <r>
          <rPr>
            <sz val="8"/>
            <color indexed="81"/>
            <rFont val="Tahoma"/>
            <family val="2"/>
          </rPr>
          <t xml:space="preserve">Checked H Nourse J v Sittert
</t>
        </r>
      </text>
    </comment>
    <comment ref="K40" authorId="0" shapeId="0">
      <text>
        <r>
          <rPr>
            <b/>
            <sz val="8"/>
            <color indexed="81"/>
            <rFont val="Tahoma"/>
            <family val="2"/>
          </rPr>
          <t>Factor To get to 1000 / sec</t>
        </r>
        <r>
          <rPr>
            <sz val="8"/>
            <color indexed="81"/>
            <rFont val="Tahoma"/>
            <family val="2"/>
          </rPr>
          <t xml:space="preserve">
per 24 shifts</t>
        </r>
      </text>
    </comment>
    <comment ref="L40" authorId="0" shapeId="0">
      <text>
        <r>
          <rPr>
            <b/>
            <sz val="8"/>
            <color indexed="81"/>
            <rFont val="Tahoma"/>
            <family val="2"/>
          </rPr>
          <t xml:space="preserve">Formula correct
</t>
        </r>
        <r>
          <rPr>
            <sz val="8"/>
            <color indexed="81"/>
            <rFont val="Tahoma"/>
            <family val="2"/>
          </rPr>
          <t xml:space="preserve">Checked H Nourse J v Sittert
</t>
        </r>
      </text>
    </comment>
    <comment ref="M40" authorId="0" shapeId="0">
      <text>
        <r>
          <rPr>
            <b/>
            <sz val="8"/>
            <color indexed="81"/>
            <rFont val="Tahoma"/>
            <family val="2"/>
          </rPr>
          <t>Factor To get to 1000 / sec</t>
        </r>
        <r>
          <rPr>
            <sz val="8"/>
            <color indexed="81"/>
            <rFont val="Tahoma"/>
            <family val="2"/>
          </rPr>
          <t xml:space="preserve">
per 24 shifts</t>
        </r>
      </text>
    </comment>
    <comment ref="N40" authorId="0" shapeId="0">
      <text>
        <r>
          <rPr>
            <b/>
            <sz val="8"/>
            <color indexed="81"/>
            <rFont val="Tahoma"/>
            <family val="2"/>
          </rPr>
          <t xml:space="preserve">Formula correct
</t>
        </r>
        <r>
          <rPr>
            <sz val="8"/>
            <color indexed="81"/>
            <rFont val="Tahoma"/>
            <family val="2"/>
          </rPr>
          <t xml:space="preserve">Checked H Nourse J v Sittert
</t>
        </r>
      </text>
    </comment>
    <comment ref="O40" authorId="0" shapeId="0">
      <text>
        <r>
          <rPr>
            <b/>
            <sz val="8"/>
            <color indexed="81"/>
            <rFont val="Tahoma"/>
            <family val="2"/>
          </rPr>
          <t>Factor To get to 1000 / sec</t>
        </r>
        <r>
          <rPr>
            <sz val="8"/>
            <color indexed="81"/>
            <rFont val="Tahoma"/>
            <family val="2"/>
          </rPr>
          <t xml:space="preserve">
per 24 shifts</t>
        </r>
      </text>
    </comment>
    <comment ref="P40" authorId="0" shapeId="0">
      <text>
        <r>
          <rPr>
            <b/>
            <sz val="8"/>
            <color indexed="81"/>
            <rFont val="Tahoma"/>
            <family val="2"/>
          </rPr>
          <t xml:space="preserve">Formula correct
</t>
        </r>
        <r>
          <rPr>
            <sz val="8"/>
            <color indexed="81"/>
            <rFont val="Tahoma"/>
            <family val="2"/>
          </rPr>
          <t xml:space="preserve">Checked H Nourse J v Sittert
</t>
        </r>
      </text>
    </comment>
    <comment ref="Q40" authorId="0" shapeId="0">
      <text>
        <r>
          <rPr>
            <b/>
            <sz val="8"/>
            <color indexed="81"/>
            <rFont val="Tahoma"/>
            <family val="2"/>
          </rPr>
          <t>Factor To get to 1000 / sec</t>
        </r>
        <r>
          <rPr>
            <sz val="8"/>
            <color indexed="81"/>
            <rFont val="Tahoma"/>
            <family val="2"/>
          </rPr>
          <t xml:space="preserve">
per 24 shifts</t>
        </r>
      </text>
    </comment>
    <comment ref="R40" authorId="0" shapeId="0">
      <text>
        <r>
          <rPr>
            <b/>
            <sz val="8"/>
            <color indexed="81"/>
            <rFont val="Tahoma"/>
            <family val="2"/>
          </rPr>
          <t xml:space="preserve">Formula correct
</t>
        </r>
        <r>
          <rPr>
            <sz val="8"/>
            <color indexed="81"/>
            <rFont val="Tahoma"/>
            <family val="2"/>
          </rPr>
          <t xml:space="preserve">Checked H Nourse J v Sittert
</t>
        </r>
      </text>
    </comment>
    <comment ref="S40" authorId="0" shapeId="0">
      <text>
        <r>
          <rPr>
            <b/>
            <sz val="8"/>
            <color indexed="81"/>
            <rFont val="Tahoma"/>
            <family val="2"/>
          </rPr>
          <t>Factor To get to 1000 / sec</t>
        </r>
        <r>
          <rPr>
            <sz val="8"/>
            <color indexed="81"/>
            <rFont val="Tahoma"/>
            <family val="2"/>
          </rPr>
          <t xml:space="preserve">
per 24 shifts</t>
        </r>
      </text>
    </comment>
    <comment ref="T40" authorId="0" shapeId="0">
      <text>
        <r>
          <rPr>
            <b/>
            <sz val="8"/>
            <color indexed="81"/>
            <rFont val="Tahoma"/>
            <family val="2"/>
          </rPr>
          <t xml:space="preserve">Formula correct
</t>
        </r>
        <r>
          <rPr>
            <sz val="8"/>
            <color indexed="81"/>
            <rFont val="Tahoma"/>
            <family val="2"/>
          </rPr>
          <t xml:space="preserve">Checked H Nourse J v Sittert
</t>
        </r>
      </text>
    </comment>
    <comment ref="U40" authorId="0" shapeId="0">
      <text>
        <r>
          <rPr>
            <b/>
            <sz val="8"/>
            <color indexed="81"/>
            <rFont val="Tahoma"/>
            <family val="2"/>
          </rPr>
          <t>Factor To get to 1000 / sec</t>
        </r>
        <r>
          <rPr>
            <sz val="8"/>
            <color indexed="81"/>
            <rFont val="Tahoma"/>
            <family val="2"/>
          </rPr>
          <t xml:space="preserve">
per 24 shifts</t>
        </r>
      </text>
    </comment>
    <comment ref="D42" authorId="0" shapeId="0">
      <text>
        <r>
          <rPr>
            <b/>
            <sz val="8"/>
            <color indexed="81"/>
            <rFont val="Tahoma"/>
            <family val="2"/>
          </rPr>
          <t xml:space="preserve">Formula correct
</t>
        </r>
        <r>
          <rPr>
            <sz val="8"/>
            <color indexed="81"/>
            <rFont val="Tahoma"/>
            <family val="2"/>
          </rPr>
          <t>Checked H Nourse J v Sittert</t>
        </r>
      </text>
    </comment>
    <comment ref="F42" authorId="0" shapeId="0">
      <text>
        <r>
          <rPr>
            <b/>
            <sz val="8"/>
            <color indexed="81"/>
            <rFont val="Tahoma"/>
            <family val="2"/>
          </rPr>
          <t xml:space="preserve">Formula correct
</t>
        </r>
        <r>
          <rPr>
            <sz val="8"/>
            <color indexed="81"/>
            <rFont val="Tahoma"/>
            <family val="2"/>
          </rPr>
          <t>Checked H Nourse J v Sittert</t>
        </r>
      </text>
    </comment>
    <comment ref="H42" authorId="0" shapeId="0">
      <text>
        <r>
          <rPr>
            <b/>
            <sz val="8"/>
            <color indexed="81"/>
            <rFont val="Tahoma"/>
            <family val="2"/>
          </rPr>
          <t xml:space="preserve">Formula correct
</t>
        </r>
        <r>
          <rPr>
            <sz val="8"/>
            <color indexed="81"/>
            <rFont val="Tahoma"/>
            <family val="2"/>
          </rPr>
          <t>Checked H Nourse J v Sittert</t>
        </r>
      </text>
    </comment>
    <comment ref="J42" authorId="0" shapeId="0">
      <text>
        <r>
          <rPr>
            <b/>
            <sz val="8"/>
            <color indexed="81"/>
            <rFont val="Tahoma"/>
            <family val="2"/>
          </rPr>
          <t xml:space="preserve">Formula correct
</t>
        </r>
        <r>
          <rPr>
            <sz val="8"/>
            <color indexed="81"/>
            <rFont val="Tahoma"/>
            <family val="2"/>
          </rPr>
          <t>Checked H Nourse J v Sittert</t>
        </r>
      </text>
    </comment>
    <comment ref="L42" authorId="0" shapeId="0">
      <text>
        <r>
          <rPr>
            <b/>
            <sz val="8"/>
            <color indexed="81"/>
            <rFont val="Tahoma"/>
            <family val="2"/>
          </rPr>
          <t xml:space="preserve">Formula correct
</t>
        </r>
        <r>
          <rPr>
            <sz val="8"/>
            <color indexed="81"/>
            <rFont val="Tahoma"/>
            <family val="2"/>
          </rPr>
          <t>Checked H Nourse J v Sittert</t>
        </r>
      </text>
    </comment>
    <comment ref="N42" authorId="0" shapeId="0">
      <text>
        <r>
          <rPr>
            <b/>
            <sz val="8"/>
            <color indexed="81"/>
            <rFont val="Tahoma"/>
            <family val="2"/>
          </rPr>
          <t xml:space="preserve">Formula correct
</t>
        </r>
        <r>
          <rPr>
            <sz val="8"/>
            <color indexed="81"/>
            <rFont val="Tahoma"/>
            <family val="2"/>
          </rPr>
          <t>Checked H Nourse J v Sittert</t>
        </r>
      </text>
    </comment>
    <comment ref="P42" authorId="0" shapeId="0">
      <text>
        <r>
          <rPr>
            <b/>
            <sz val="8"/>
            <color indexed="81"/>
            <rFont val="Tahoma"/>
            <family val="2"/>
          </rPr>
          <t xml:space="preserve">Formula correct
</t>
        </r>
        <r>
          <rPr>
            <sz val="8"/>
            <color indexed="81"/>
            <rFont val="Tahoma"/>
            <family val="2"/>
          </rPr>
          <t>Checked H Nourse J v Sittert</t>
        </r>
      </text>
    </comment>
    <comment ref="R42" authorId="0" shapeId="0">
      <text>
        <r>
          <rPr>
            <b/>
            <sz val="8"/>
            <color indexed="81"/>
            <rFont val="Tahoma"/>
            <family val="2"/>
          </rPr>
          <t xml:space="preserve">Formula correct
</t>
        </r>
        <r>
          <rPr>
            <sz val="8"/>
            <color indexed="81"/>
            <rFont val="Tahoma"/>
            <family val="2"/>
          </rPr>
          <t>Checked H Nourse J v Sittert</t>
        </r>
      </text>
    </comment>
    <comment ref="T42" authorId="0" shapeId="0">
      <text>
        <r>
          <rPr>
            <b/>
            <sz val="8"/>
            <color indexed="81"/>
            <rFont val="Tahoma"/>
            <family val="2"/>
          </rPr>
          <t xml:space="preserve">Formula correct
</t>
        </r>
        <r>
          <rPr>
            <sz val="8"/>
            <color indexed="81"/>
            <rFont val="Tahoma"/>
            <family val="2"/>
          </rPr>
          <t>Checked H Nourse J v Sittert</t>
        </r>
      </text>
    </comment>
  </commentList>
</comments>
</file>

<file path=xl/comments3.xml><?xml version="1.0" encoding="utf-8"?>
<comments xmlns="http://schemas.openxmlformats.org/spreadsheetml/2006/main">
  <authors>
    <author>hp</author>
  </authors>
  <commentList>
    <comment ref="D36" authorId="0" shapeId="0">
      <text>
        <r>
          <rPr>
            <sz val="12"/>
            <color indexed="81"/>
            <rFont val="Arial"/>
            <family val="2"/>
          </rPr>
          <t>M Symons: Use this column for all calculations</t>
        </r>
      </text>
    </comment>
    <comment ref="B45" authorId="0" shapeId="0">
      <text>
        <r>
          <rPr>
            <sz val="12"/>
            <color indexed="81"/>
            <rFont val="Arial"/>
            <family val="2"/>
          </rPr>
          <t>M Symons: Balance the Heat with the amount of cooling the air will give together with the amount of refrigeration required to maintain the design reject wetbulb temperature.</t>
        </r>
      </text>
    </comment>
  </commentList>
</comments>
</file>

<file path=xl/comments4.xml><?xml version="1.0" encoding="utf-8"?>
<comments xmlns="http://schemas.openxmlformats.org/spreadsheetml/2006/main">
  <authors>
    <author>jvansittert</author>
    <author>Johan van Sittert</author>
  </authors>
  <commentList>
    <comment ref="C10" authorId="0" shapeId="0">
      <text>
        <r>
          <rPr>
            <b/>
            <sz val="8"/>
            <color indexed="81"/>
            <rFont val="Tahoma"/>
            <family val="2"/>
          </rPr>
          <t xml:space="preserve">Get this form manufacturer or latest Rescue pack test report </t>
        </r>
        <r>
          <rPr>
            <sz val="8"/>
            <color indexed="81"/>
            <rFont val="Tahoma"/>
            <family val="2"/>
          </rPr>
          <t xml:space="preserve">
</t>
        </r>
      </text>
    </comment>
    <comment ref="C45" authorId="1" shapeId="0">
      <text>
        <r>
          <rPr>
            <sz val="9"/>
            <color indexed="81"/>
            <rFont val="Tahoma"/>
            <family val="2"/>
          </rPr>
          <t xml:space="preserve">To ensure the CO2 content levels out below the TLV-TWA of 0.5%, a fresh air supply of 85 litres per minute per person is required
(See MVS Journal Volume 54, 2 April/June 2001 page 4)
</t>
        </r>
        <r>
          <rPr>
            <b/>
            <sz val="9"/>
            <color indexed="81"/>
            <rFont val="Tahoma"/>
            <family val="2"/>
          </rPr>
          <t>Compressed Air</t>
        </r>
        <r>
          <rPr>
            <sz val="9"/>
            <color indexed="81"/>
            <rFont val="Tahoma"/>
            <family val="2"/>
          </rPr>
          <t xml:space="preserve">
It has been previously shown that an oxygen uptake of 0.5 litres/minute is a good design figure for entrapment. </t>
        </r>
        <r>
          <rPr>
            <b/>
            <sz val="9"/>
            <color indexed="81"/>
            <rFont val="Tahoma"/>
            <family val="2"/>
          </rPr>
          <t xml:space="preserve">To ensure the CO2 content levels out below the TLV-TWA of 0.5%, a fresh air supply of 85 litres per minute per person is required. </t>
        </r>
        <r>
          <rPr>
            <sz val="9"/>
            <color indexed="81"/>
            <rFont val="Tahoma"/>
            <family val="2"/>
          </rPr>
          <t>This flow rate will result in a “steady state” oxygen content of
about 20.3%. Lower supplies of fresh air are sometimes quoted (e.g. 2.5 cfm per person which is about 70 litres/minute); however, these are based on unstressed, resting breathing rates (7.5 litres/minute) with an equivalent oxygen uptake (0.3 litres/minute) and do not allow for any additional persons (above the design figure) inside the ERS.</t>
        </r>
      </text>
    </comment>
    <comment ref="B57" authorId="1" shapeId="0">
      <text>
        <r>
          <rPr>
            <b/>
            <sz val="9"/>
            <color indexed="81"/>
            <rFont val="Tahoma"/>
            <family val="2"/>
          </rPr>
          <t>by Ralph Mcintyre</t>
        </r>
        <r>
          <rPr>
            <sz val="9"/>
            <color indexed="81"/>
            <rFont val="Tahoma"/>
            <family val="2"/>
          </rPr>
          <t xml:space="preserve">
</t>
        </r>
      </text>
    </comment>
    <comment ref="D61" authorId="1" shapeId="0">
      <text>
        <r>
          <rPr>
            <sz val="9"/>
            <color indexed="81"/>
            <rFont val="Tahoma"/>
            <family val="2"/>
          </rPr>
          <t>To ensure the CO</t>
        </r>
        <r>
          <rPr>
            <vertAlign val="superscript"/>
            <sz val="9"/>
            <color indexed="81"/>
            <rFont val="Tahoma"/>
            <family val="2"/>
          </rPr>
          <t>2</t>
        </r>
        <r>
          <rPr>
            <sz val="9"/>
            <color indexed="81"/>
            <rFont val="Tahoma"/>
            <family val="2"/>
          </rPr>
          <t xml:space="preserve"> content levels out below the TLV-TWA of 0.5%, a fresh air supply of 85 litres per minute per person is required
(See MVS Journal Volume 54, 2 April/June 2001 page 4)
</t>
        </r>
        <r>
          <rPr>
            <b/>
            <sz val="9"/>
            <color indexed="81"/>
            <rFont val="Tahoma"/>
            <family val="2"/>
          </rPr>
          <t>Compressed Air</t>
        </r>
        <r>
          <rPr>
            <sz val="9"/>
            <color indexed="81"/>
            <rFont val="Tahoma"/>
            <family val="2"/>
          </rPr>
          <t xml:space="preserve">
It has been previously shown that an oxygen uptake of 0.5 litres/minute is a good design figure for entrapment. </t>
        </r>
        <r>
          <rPr>
            <b/>
            <sz val="9"/>
            <color indexed="81"/>
            <rFont val="Tahoma"/>
            <family val="2"/>
          </rPr>
          <t>To ensure the CO2 content levels out below the TLV-TWA of 0.5%, a fresh air supply of</t>
        </r>
        <r>
          <rPr>
            <sz val="9"/>
            <color indexed="81"/>
            <rFont val="Tahoma"/>
            <family val="2"/>
          </rPr>
          <t xml:space="preserve"> </t>
        </r>
        <r>
          <rPr>
            <b/>
            <sz val="9"/>
            <color indexed="81"/>
            <rFont val="Tahoma"/>
            <family val="2"/>
          </rPr>
          <t>85 litres per minute per person is required.</t>
        </r>
        <r>
          <rPr>
            <sz val="9"/>
            <color indexed="81"/>
            <rFont val="Tahoma"/>
            <family val="2"/>
          </rPr>
          <t xml:space="preserve"> This flow rate will result in a “steady state” oxygen content of
about 20.3%. Lower supplies of fresh air are sometimes quoted (e.g. 2.5 cfm per person which is about 70 litres/minute); however, these are based on unstressed, resting breathing rates (7.5 litres/minute) with an equivalent oxygen uptake (0.3 litres/minute) and do not allow for any additional persons (above the design figure) inside the ERS.</t>
        </r>
      </text>
    </comment>
  </commentList>
</comments>
</file>

<file path=xl/comments5.xml><?xml version="1.0" encoding="utf-8"?>
<comments xmlns="http://schemas.openxmlformats.org/spreadsheetml/2006/main">
  <authors>
    <author>Van Sittert, Johan</author>
  </authors>
  <commentList>
    <comment ref="Y61" authorId="0" shapeId="0">
      <text>
        <r>
          <rPr>
            <b/>
            <sz val="9"/>
            <color indexed="81"/>
            <rFont val="Tahoma"/>
            <family val="2"/>
          </rPr>
          <t>NOTE!!!
100% of fan Kw is added as heat 
(Only add this if Intake temperature is measured  BEFORE THE FAN/S!!!)</t>
        </r>
        <r>
          <rPr>
            <sz val="9"/>
            <color indexed="81"/>
            <rFont val="Tahoma"/>
            <family val="2"/>
          </rPr>
          <t xml:space="preserve">
</t>
        </r>
      </text>
    </comment>
    <comment ref="V95" authorId="0" shapeId="0">
      <text>
        <r>
          <rPr>
            <b/>
            <sz val="11"/>
            <color indexed="81"/>
            <rFont val="Tahoma"/>
            <family val="2"/>
          </rPr>
          <t>NOTE:
Date FORMAT
mm/dd/yyyy</t>
        </r>
      </text>
    </comment>
  </commentList>
</comments>
</file>

<file path=xl/comments6.xml><?xml version="1.0" encoding="utf-8"?>
<comments xmlns="http://schemas.openxmlformats.org/spreadsheetml/2006/main">
  <authors>
    <author>jvansittert</author>
  </authors>
  <commentList>
    <comment ref="C239" authorId="0" shapeId="0">
      <text>
        <r>
          <rPr>
            <b/>
            <sz val="8"/>
            <color indexed="81"/>
            <rFont val="Tahoma"/>
            <family val="2"/>
          </rPr>
          <t>Jvansittert: Copy/paste &amp; Delete formulaes as required</t>
        </r>
        <r>
          <rPr>
            <sz val="8"/>
            <color indexed="81"/>
            <rFont val="Tahoma"/>
            <family val="2"/>
          </rPr>
          <t xml:space="preserve">
</t>
        </r>
      </text>
    </comment>
    <comment ref="C240" authorId="0" shapeId="0">
      <text>
        <r>
          <rPr>
            <b/>
            <sz val="8"/>
            <color indexed="81"/>
            <rFont val="Tahoma"/>
            <family val="2"/>
          </rPr>
          <t>Jvansittert: Copy/paste &amp; Delete formulaes as required</t>
        </r>
        <r>
          <rPr>
            <sz val="8"/>
            <color indexed="81"/>
            <rFont val="Tahoma"/>
            <family val="2"/>
          </rPr>
          <t xml:space="preserve">
</t>
        </r>
      </text>
    </comment>
    <comment ref="C241" authorId="0" shapeId="0">
      <text>
        <r>
          <rPr>
            <b/>
            <sz val="8"/>
            <color indexed="81"/>
            <rFont val="Tahoma"/>
            <family val="2"/>
          </rPr>
          <t>Jvansittert: Copy/paste &amp; Delete formulaes as required</t>
        </r>
        <r>
          <rPr>
            <sz val="8"/>
            <color indexed="81"/>
            <rFont val="Tahoma"/>
            <family val="2"/>
          </rPr>
          <t xml:space="preserve">
</t>
        </r>
      </text>
    </comment>
    <comment ref="C242" authorId="0" shapeId="0">
      <text>
        <r>
          <rPr>
            <b/>
            <sz val="8"/>
            <color indexed="81"/>
            <rFont val="Tahoma"/>
            <family val="2"/>
          </rPr>
          <t>Jvansittert: Copy/paste &amp; Delete formulaes as required</t>
        </r>
        <r>
          <rPr>
            <sz val="8"/>
            <color indexed="81"/>
            <rFont val="Tahoma"/>
            <family val="2"/>
          </rPr>
          <t xml:space="preserve">
</t>
        </r>
      </text>
    </comment>
    <comment ref="C243" authorId="0" shapeId="0">
      <text>
        <r>
          <rPr>
            <b/>
            <sz val="8"/>
            <color indexed="81"/>
            <rFont val="Tahoma"/>
            <family val="2"/>
          </rPr>
          <t>Jvansittert: Copy/paste &amp; Delete formulaes as required</t>
        </r>
        <r>
          <rPr>
            <sz val="8"/>
            <color indexed="81"/>
            <rFont val="Tahoma"/>
            <family val="2"/>
          </rPr>
          <t xml:space="preserve">
</t>
        </r>
      </text>
    </comment>
    <comment ref="C244" authorId="0" shapeId="0">
      <text>
        <r>
          <rPr>
            <b/>
            <sz val="8"/>
            <color indexed="81"/>
            <rFont val="Tahoma"/>
            <family val="2"/>
          </rPr>
          <t>Jvansittert: Copy/paste &amp; Delete formulaes as required</t>
        </r>
        <r>
          <rPr>
            <sz val="8"/>
            <color indexed="81"/>
            <rFont val="Tahoma"/>
            <family val="2"/>
          </rPr>
          <t xml:space="preserve">
</t>
        </r>
      </text>
    </comment>
    <comment ref="C245" authorId="0" shapeId="0">
      <text>
        <r>
          <rPr>
            <b/>
            <sz val="8"/>
            <color indexed="81"/>
            <rFont val="Tahoma"/>
            <family val="2"/>
          </rPr>
          <t>Jvansittert: Copy/paste &amp; Delete formulaes as required</t>
        </r>
        <r>
          <rPr>
            <sz val="8"/>
            <color indexed="81"/>
            <rFont val="Tahoma"/>
            <family val="2"/>
          </rPr>
          <t xml:space="preserve">
</t>
        </r>
      </text>
    </comment>
    <comment ref="C246" authorId="0" shapeId="0">
      <text>
        <r>
          <rPr>
            <b/>
            <sz val="8"/>
            <color indexed="81"/>
            <rFont val="Tahoma"/>
            <family val="2"/>
          </rPr>
          <t>Jvansittert: Copy/paste &amp; Delete formulaes as required</t>
        </r>
        <r>
          <rPr>
            <sz val="8"/>
            <color indexed="81"/>
            <rFont val="Tahoma"/>
            <family val="2"/>
          </rPr>
          <t xml:space="preserve">
</t>
        </r>
      </text>
    </comment>
    <comment ref="C247" authorId="0" shapeId="0">
      <text>
        <r>
          <rPr>
            <b/>
            <sz val="8"/>
            <color indexed="81"/>
            <rFont val="Tahoma"/>
            <family val="2"/>
          </rPr>
          <t>Jvansittert: Copy/paste &amp; Delete formulaes as required</t>
        </r>
        <r>
          <rPr>
            <sz val="8"/>
            <color indexed="81"/>
            <rFont val="Tahoma"/>
            <family val="2"/>
          </rPr>
          <t xml:space="preserve">
</t>
        </r>
      </text>
    </comment>
    <comment ref="C248" authorId="0" shapeId="0">
      <text>
        <r>
          <rPr>
            <b/>
            <sz val="8"/>
            <color indexed="81"/>
            <rFont val="Tahoma"/>
            <family val="2"/>
          </rPr>
          <t>Jvansittert: Copy/paste &amp; Delete formulaes as required</t>
        </r>
        <r>
          <rPr>
            <sz val="8"/>
            <color indexed="81"/>
            <rFont val="Tahoma"/>
            <family val="2"/>
          </rPr>
          <t xml:space="preserve">
</t>
        </r>
      </text>
    </comment>
    <comment ref="C249" authorId="0" shapeId="0">
      <text>
        <r>
          <rPr>
            <b/>
            <sz val="8"/>
            <color indexed="81"/>
            <rFont val="Tahoma"/>
            <family val="2"/>
          </rPr>
          <t>Jvansittert: Copy/paste &amp; Delete formulaes as required</t>
        </r>
        <r>
          <rPr>
            <sz val="8"/>
            <color indexed="81"/>
            <rFont val="Tahoma"/>
            <family val="2"/>
          </rPr>
          <t xml:space="preserve">
</t>
        </r>
      </text>
    </comment>
    <comment ref="C250" authorId="0" shapeId="0">
      <text>
        <r>
          <rPr>
            <b/>
            <sz val="8"/>
            <color indexed="81"/>
            <rFont val="Tahoma"/>
            <family val="2"/>
          </rPr>
          <t>Jvansittert: Copy/paste &amp; Delete formulaes as required</t>
        </r>
        <r>
          <rPr>
            <sz val="8"/>
            <color indexed="81"/>
            <rFont val="Tahoma"/>
            <family val="2"/>
          </rPr>
          <t xml:space="preserve">
</t>
        </r>
      </text>
    </comment>
    <comment ref="C251" authorId="0" shapeId="0">
      <text>
        <r>
          <rPr>
            <b/>
            <sz val="8"/>
            <color indexed="81"/>
            <rFont val="Tahoma"/>
            <family val="2"/>
          </rPr>
          <t>Jvansittert: Copy/paste &amp; Delete formulaes as required</t>
        </r>
        <r>
          <rPr>
            <sz val="8"/>
            <color indexed="81"/>
            <rFont val="Tahoma"/>
            <family val="2"/>
          </rPr>
          <t xml:space="preserve">
</t>
        </r>
      </text>
    </comment>
    <comment ref="C252" authorId="0" shapeId="0">
      <text>
        <r>
          <rPr>
            <b/>
            <sz val="8"/>
            <color indexed="81"/>
            <rFont val="Tahoma"/>
            <family val="2"/>
          </rPr>
          <t>Jvansittert: Copy/paste &amp; Delete formulaes as required</t>
        </r>
        <r>
          <rPr>
            <sz val="8"/>
            <color indexed="81"/>
            <rFont val="Tahoma"/>
            <family val="2"/>
          </rPr>
          <t xml:space="preserve">
</t>
        </r>
      </text>
    </comment>
    <comment ref="C253" authorId="0" shapeId="0">
      <text>
        <r>
          <rPr>
            <b/>
            <sz val="8"/>
            <color indexed="81"/>
            <rFont val="Tahoma"/>
            <family val="2"/>
          </rPr>
          <t>Jvansittert: Copy/paste &amp; Delete formulaes as required</t>
        </r>
        <r>
          <rPr>
            <sz val="8"/>
            <color indexed="81"/>
            <rFont val="Tahoma"/>
            <family val="2"/>
          </rPr>
          <t xml:space="preserve">
</t>
        </r>
      </text>
    </comment>
    <comment ref="C254" authorId="0" shapeId="0">
      <text>
        <r>
          <rPr>
            <b/>
            <sz val="8"/>
            <color indexed="81"/>
            <rFont val="Tahoma"/>
            <family val="2"/>
          </rPr>
          <t>Jvansittert: Copy/paste &amp; Delete formulaes as required</t>
        </r>
        <r>
          <rPr>
            <sz val="8"/>
            <color indexed="81"/>
            <rFont val="Tahoma"/>
            <family val="2"/>
          </rPr>
          <t xml:space="preserve">
</t>
        </r>
      </text>
    </comment>
    <comment ref="C255" authorId="0" shapeId="0">
      <text>
        <r>
          <rPr>
            <b/>
            <sz val="8"/>
            <color indexed="81"/>
            <rFont val="Tahoma"/>
            <family val="2"/>
          </rPr>
          <t>Jvansittert: Copy/paste &amp; Delete formulaes as required</t>
        </r>
        <r>
          <rPr>
            <sz val="8"/>
            <color indexed="81"/>
            <rFont val="Tahoma"/>
            <family val="2"/>
          </rPr>
          <t xml:space="preserve">
</t>
        </r>
      </text>
    </comment>
    <comment ref="C275" authorId="0" shapeId="0">
      <text>
        <r>
          <rPr>
            <b/>
            <sz val="8"/>
            <color indexed="81"/>
            <rFont val="Tahoma"/>
            <family val="2"/>
          </rPr>
          <t>Jvansittert: Copy/paste &amp; Delete formulaes as required</t>
        </r>
        <r>
          <rPr>
            <sz val="8"/>
            <color indexed="81"/>
            <rFont val="Tahoma"/>
            <family val="2"/>
          </rPr>
          <t xml:space="preserve">
</t>
        </r>
      </text>
    </comment>
    <comment ref="C276" authorId="0" shapeId="0">
      <text>
        <r>
          <rPr>
            <b/>
            <sz val="8"/>
            <color indexed="81"/>
            <rFont val="Tahoma"/>
            <family val="2"/>
          </rPr>
          <t>Jvansittert: Copy/paste &amp; Delete formulaes as required</t>
        </r>
        <r>
          <rPr>
            <sz val="8"/>
            <color indexed="81"/>
            <rFont val="Tahoma"/>
            <family val="2"/>
          </rPr>
          <t xml:space="preserve">
</t>
        </r>
      </text>
    </comment>
    <comment ref="C277" authorId="0" shapeId="0">
      <text>
        <r>
          <rPr>
            <b/>
            <sz val="8"/>
            <color indexed="81"/>
            <rFont val="Tahoma"/>
            <family val="2"/>
          </rPr>
          <t>Jvansittert: Copy/paste &amp; Delete formulaes as required</t>
        </r>
        <r>
          <rPr>
            <sz val="8"/>
            <color indexed="81"/>
            <rFont val="Tahoma"/>
            <family val="2"/>
          </rPr>
          <t xml:space="preserve">
</t>
        </r>
      </text>
    </comment>
    <comment ref="C278" authorId="0" shapeId="0">
      <text>
        <r>
          <rPr>
            <b/>
            <sz val="8"/>
            <color indexed="81"/>
            <rFont val="Tahoma"/>
            <family val="2"/>
          </rPr>
          <t>Jvansittert: Copy/paste &amp; Delete formulaes as required</t>
        </r>
        <r>
          <rPr>
            <sz val="8"/>
            <color indexed="81"/>
            <rFont val="Tahoma"/>
            <family val="2"/>
          </rPr>
          <t xml:space="preserve">
</t>
        </r>
      </text>
    </comment>
    <comment ref="C279" authorId="0" shapeId="0">
      <text>
        <r>
          <rPr>
            <b/>
            <sz val="8"/>
            <color indexed="81"/>
            <rFont val="Tahoma"/>
            <family val="2"/>
          </rPr>
          <t>Jvansittert: Copy/paste &amp; Delete formulaes as required</t>
        </r>
        <r>
          <rPr>
            <sz val="8"/>
            <color indexed="81"/>
            <rFont val="Tahoma"/>
            <family val="2"/>
          </rPr>
          <t xml:space="preserve">
</t>
        </r>
      </text>
    </comment>
    <comment ref="C280" authorId="0" shapeId="0">
      <text>
        <r>
          <rPr>
            <b/>
            <sz val="8"/>
            <color indexed="81"/>
            <rFont val="Tahoma"/>
            <family val="2"/>
          </rPr>
          <t>Jvansittert: Copy/paste &amp; Delete formulaes as required</t>
        </r>
        <r>
          <rPr>
            <sz val="8"/>
            <color indexed="81"/>
            <rFont val="Tahoma"/>
            <family val="2"/>
          </rPr>
          <t xml:space="preserve">
</t>
        </r>
      </text>
    </comment>
    <comment ref="C281" authorId="0" shapeId="0">
      <text>
        <r>
          <rPr>
            <b/>
            <sz val="8"/>
            <color indexed="81"/>
            <rFont val="Tahoma"/>
            <family val="2"/>
          </rPr>
          <t>Jvansittert: Copy/paste &amp; Delete formulaes as required</t>
        </r>
        <r>
          <rPr>
            <sz val="8"/>
            <color indexed="81"/>
            <rFont val="Tahoma"/>
            <family val="2"/>
          </rPr>
          <t xml:space="preserve">
</t>
        </r>
      </text>
    </comment>
    <comment ref="C282" authorId="0" shapeId="0">
      <text>
        <r>
          <rPr>
            <b/>
            <sz val="8"/>
            <color indexed="81"/>
            <rFont val="Tahoma"/>
            <family val="2"/>
          </rPr>
          <t>Jvansittert: Copy/paste &amp; Delete formulaes as required</t>
        </r>
        <r>
          <rPr>
            <sz val="8"/>
            <color indexed="81"/>
            <rFont val="Tahoma"/>
            <family val="2"/>
          </rPr>
          <t xml:space="preserve">
</t>
        </r>
      </text>
    </comment>
    <comment ref="C283" authorId="0" shapeId="0">
      <text>
        <r>
          <rPr>
            <b/>
            <sz val="8"/>
            <color indexed="81"/>
            <rFont val="Tahoma"/>
            <family val="2"/>
          </rPr>
          <t>Jvansittert: Copy/paste &amp; Delete formulaes as required</t>
        </r>
        <r>
          <rPr>
            <sz val="8"/>
            <color indexed="81"/>
            <rFont val="Tahoma"/>
            <family val="2"/>
          </rPr>
          <t xml:space="preserve">
</t>
        </r>
      </text>
    </comment>
    <comment ref="C284" authorId="0" shapeId="0">
      <text>
        <r>
          <rPr>
            <b/>
            <sz val="8"/>
            <color indexed="81"/>
            <rFont val="Tahoma"/>
            <family val="2"/>
          </rPr>
          <t>Jvansittert: Copy/paste &amp; Delete formulaes as required</t>
        </r>
        <r>
          <rPr>
            <sz val="8"/>
            <color indexed="81"/>
            <rFont val="Tahoma"/>
            <family val="2"/>
          </rPr>
          <t xml:space="preserve">
</t>
        </r>
      </text>
    </comment>
    <comment ref="C285" authorId="0" shapeId="0">
      <text>
        <r>
          <rPr>
            <b/>
            <sz val="8"/>
            <color indexed="81"/>
            <rFont val="Tahoma"/>
            <family val="2"/>
          </rPr>
          <t>Jvansittert: Copy/paste &amp; Delete formulaes as required</t>
        </r>
        <r>
          <rPr>
            <sz val="8"/>
            <color indexed="81"/>
            <rFont val="Tahoma"/>
            <family val="2"/>
          </rPr>
          <t xml:space="preserve">
</t>
        </r>
      </text>
    </comment>
    <comment ref="C286" authorId="0" shapeId="0">
      <text>
        <r>
          <rPr>
            <b/>
            <sz val="8"/>
            <color indexed="81"/>
            <rFont val="Tahoma"/>
            <family val="2"/>
          </rPr>
          <t>Jvansittert: Copy/paste &amp; Delete formulaes as required</t>
        </r>
        <r>
          <rPr>
            <sz val="8"/>
            <color indexed="81"/>
            <rFont val="Tahoma"/>
            <family val="2"/>
          </rPr>
          <t xml:space="preserve">
</t>
        </r>
      </text>
    </comment>
    <comment ref="C287" authorId="0" shapeId="0">
      <text>
        <r>
          <rPr>
            <b/>
            <sz val="8"/>
            <color indexed="81"/>
            <rFont val="Tahoma"/>
            <family val="2"/>
          </rPr>
          <t>Jvansittert: Copy/paste &amp; Delete formulaes as required</t>
        </r>
        <r>
          <rPr>
            <sz val="8"/>
            <color indexed="81"/>
            <rFont val="Tahoma"/>
            <family val="2"/>
          </rPr>
          <t xml:space="preserve">
</t>
        </r>
      </text>
    </comment>
    <comment ref="C288" authorId="0" shapeId="0">
      <text>
        <r>
          <rPr>
            <b/>
            <sz val="8"/>
            <color indexed="81"/>
            <rFont val="Tahoma"/>
            <family val="2"/>
          </rPr>
          <t>Jvansittert: Copy/paste &amp; Delete formulaes as required</t>
        </r>
        <r>
          <rPr>
            <sz val="8"/>
            <color indexed="81"/>
            <rFont val="Tahoma"/>
            <family val="2"/>
          </rPr>
          <t xml:space="preserve">
</t>
        </r>
      </text>
    </comment>
    <comment ref="C289" authorId="0" shapeId="0">
      <text>
        <r>
          <rPr>
            <b/>
            <sz val="8"/>
            <color indexed="81"/>
            <rFont val="Tahoma"/>
            <family val="2"/>
          </rPr>
          <t>Jvansittert: Copy/paste &amp; Delete formulaes as required</t>
        </r>
        <r>
          <rPr>
            <sz val="8"/>
            <color indexed="81"/>
            <rFont val="Tahoma"/>
            <family val="2"/>
          </rPr>
          <t xml:space="preserve">
</t>
        </r>
      </text>
    </comment>
    <comment ref="C290" authorId="0" shapeId="0">
      <text>
        <r>
          <rPr>
            <b/>
            <sz val="8"/>
            <color indexed="81"/>
            <rFont val="Tahoma"/>
            <family val="2"/>
          </rPr>
          <t>Jvansittert: Copy/paste &amp; Delete formulaes as required</t>
        </r>
        <r>
          <rPr>
            <sz val="8"/>
            <color indexed="81"/>
            <rFont val="Tahoma"/>
            <family val="2"/>
          </rPr>
          <t xml:space="preserve">
</t>
        </r>
      </text>
    </comment>
    <comment ref="C291" authorId="0" shapeId="0">
      <text>
        <r>
          <rPr>
            <b/>
            <sz val="8"/>
            <color indexed="81"/>
            <rFont val="Tahoma"/>
            <family val="2"/>
          </rPr>
          <t>Jvansittert: Copy/paste &amp; Delete formulaes as required</t>
        </r>
        <r>
          <rPr>
            <sz val="8"/>
            <color indexed="81"/>
            <rFont val="Tahoma"/>
            <family val="2"/>
          </rPr>
          <t xml:space="preserve">
</t>
        </r>
      </text>
    </comment>
    <comment ref="C310" authorId="0" shapeId="0">
      <text>
        <r>
          <rPr>
            <b/>
            <sz val="8"/>
            <color indexed="81"/>
            <rFont val="Tahoma"/>
            <family val="2"/>
          </rPr>
          <t>Jvansittert: Copy/paste &amp; Delete formulaes as required</t>
        </r>
        <r>
          <rPr>
            <sz val="8"/>
            <color indexed="81"/>
            <rFont val="Tahoma"/>
            <family val="2"/>
          </rPr>
          <t xml:space="preserve">
</t>
        </r>
      </text>
    </comment>
    <comment ref="C311" authorId="0" shapeId="0">
      <text>
        <r>
          <rPr>
            <b/>
            <sz val="8"/>
            <color indexed="81"/>
            <rFont val="Tahoma"/>
            <family val="2"/>
          </rPr>
          <t>Jvansittert: Copy/paste &amp; Delete formulaes as required</t>
        </r>
        <r>
          <rPr>
            <sz val="8"/>
            <color indexed="81"/>
            <rFont val="Tahoma"/>
            <family val="2"/>
          </rPr>
          <t xml:space="preserve">
</t>
        </r>
      </text>
    </comment>
    <comment ref="C312" authorId="0" shapeId="0">
      <text>
        <r>
          <rPr>
            <b/>
            <sz val="8"/>
            <color indexed="81"/>
            <rFont val="Tahoma"/>
            <family val="2"/>
          </rPr>
          <t>Jvansittert: Copy/paste &amp; Delete formulaes as required</t>
        </r>
        <r>
          <rPr>
            <sz val="8"/>
            <color indexed="81"/>
            <rFont val="Tahoma"/>
            <family val="2"/>
          </rPr>
          <t xml:space="preserve">
</t>
        </r>
      </text>
    </comment>
    <comment ref="C313" authorId="0" shapeId="0">
      <text>
        <r>
          <rPr>
            <b/>
            <sz val="8"/>
            <color indexed="81"/>
            <rFont val="Tahoma"/>
            <family val="2"/>
          </rPr>
          <t>Jvansittert: Copy/paste &amp; Delete formulaes as required</t>
        </r>
        <r>
          <rPr>
            <sz val="8"/>
            <color indexed="81"/>
            <rFont val="Tahoma"/>
            <family val="2"/>
          </rPr>
          <t xml:space="preserve">
</t>
        </r>
      </text>
    </comment>
    <comment ref="C314" authorId="0" shapeId="0">
      <text>
        <r>
          <rPr>
            <b/>
            <sz val="8"/>
            <color indexed="81"/>
            <rFont val="Tahoma"/>
            <family val="2"/>
          </rPr>
          <t>Jvansittert: Copy/paste &amp; Delete formulaes as required</t>
        </r>
        <r>
          <rPr>
            <sz val="8"/>
            <color indexed="81"/>
            <rFont val="Tahoma"/>
            <family val="2"/>
          </rPr>
          <t xml:space="preserve">
</t>
        </r>
      </text>
    </comment>
    <comment ref="C315" authorId="0" shapeId="0">
      <text>
        <r>
          <rPr>
            <b/>
            <sz val="8"/>
            <color indexed="81"/>
            <rFont val="Tahoma"/>
            <family val="2"/>
          </rPr>
          <t>Jvansittert: Copy/paste &amp; Delete formulaes as required</t>
        </r>
        <r>
          <rPr>
            <sz val="8"/>
            <color indexed="81"/>
            <rFont val="Tahoma"/>
            <family val="2"/>
          </rPr>
          <t xml:space="preserve">
</t>
        </r>
      </text>
    </comment>
    <comment ref="C316" authorId="0" shapeId="0">
      <text>
        <r>
          <rPr>
            <b/>
            <sz val="8"/>
            <color indexed="81"/>
            <rFont val="Tahoma"/>
            <family val="2"/>
          </rPr>
          <t>Jvansittert: Copy/paste &amp; Delete formulaes as required</t>
        </r>
        <r>
          <rPr>
            <sz val="8"/>
            <color indexed="81"/>
            <rFont val="Tahoma"/>
            <family val="2"/>
          </rPr>
          <t xml:space="preserve">
</t>
        </r>
      </text>
    </comment>
    <comment ref="C317" authorId="0" shapeId="0">
      <text>
        <r>
          <rPr>
            <b/>
            <sz val="8"/>
            <color indexed="81"/>
            <rFont val="Tahoma"/>
            <family val="2"/>
          </rPr>
          <t>Jvansittert: Copy/paste &amp; Delete formulaes as required</t>
        </r>
        <r>
          <rPr>
            <sz val="8"/>
            <color indexed="81"/>
            <rFont val="Tahoma"/>
            <family val="2"/>
          </rPr>
          <t xml:space="preserve">
</t>
        </r>
      </text>
    </comment>
    <comment ref="C318" authorId="0" shapeId="0">
      <text>
        <r>
          <rPr>
            <b/>
            <sz val="8"/>
            <color indexed="81"/>
            <rFont val="Tahoma"/>
            <family val="2"/>
          </rPr>
          <t>Jvansittert: Copy/paste &amp; Delete formulaes as required</t>
        </r>
        <r>
          <rPr>
            <sz val="8"/>
            <color indexed="81"/>
            <rFont val="Tahoma"/>
            <family val="2"/>
          </rPr>
          <t xml:space="preserve">
</t>
        </r>
      </text>
    </comment>
    <comment ref="C319" authorId="0" shapeId="0">
      <text>
        <r>
          <rPr>
            <b/>
            <sz val="8"/>
            <color indexed="81"/>
            <rFont val="Tahoma"/>
            <family val="2"/>
          </rPr>
          <t>Jvansittert: Copy/paste &amp; Delete formulaes as required</t>
        </r>
        <r>
          <rPr>
            <sz val="8"/>
            <color indexed="81"/>
            <rFont val="Tahoma"/>
            <family val="2"/>
          </rPr>
          <t xml:space="preserve">
</t>
        </r>
      </text>
    </comment>
    <comment ref="C320" authorId="0" shapeId="0">
      <text>
        <r>
          <rPr>
            <b/>
            <sz val="8"/>
            <color indexed="81"/>
            <rFont val="Tahoma"/>
            <family val="2"/>
          </rPr>
          <t>Jvansittert: Copy/paste &amp; Delete formulaes as required</t>
        </r>
        <r>
          <rPr>
            <sz val="8"/>
            <color indexed="81"/>
            <rFont val="Tahoma"/>
            <family val="2"/>
          </rPr>
          <t xml:space="preserve">
</t>
        </r>
      </text>
    </comment>
    <comment ref="C321" authorId="0" shapeId="0">
      <text>
        <r>
          <rPr>
            <b/>
            <sz val="8"/>
            <color indexed="81"/>
            <rFont val="Tahoma"/>
            <family val="2"/>
          </rPr>
          <t>Jvansittert: Copy/paste &amp; Delete formulaes as required</t>
        </r>
        <r>
          <rPr>
            <sz val="8"/>
            <color indexed="81"/>
            <rFont val="Tahoma"/>
            <family val="2"/>
          </rPr>
          <t xml:space="preserve">
</t>
        </r>
      </text>
    </comment>
    <comment ref="C322" authorId="0" shapeId="0">
      <text>
        <r>
          <rPr>
            <b/>
            <sz val="8"/>
            <color indexed="81"/>
            <rFont val="Tahoma"/>
            <family val="2"/>
          </rPr>
          <t>Jvansittert: Copy/paste &amp; Delete formulaes as required</t>
        </r>
        <r>
          <rPr>
            <sz val="8"/>
            <color indexed="81"/>
            <rFont val="Tahoma"/>
            <family val="2"/>
          </rPr>
          <t xml:space="preserve">
</t>
        </r>
      </text>
    </comment>
    <comment ref="C323" authorId="0" shapeId="0">
      <text>
        <r>
          <rPr>
            <b/>
            <sz val="8"/>
            <color indexed="81"/>
            <rFont val="Tahoma"/>
            <family val="2"/>
          </rPr>
          <t>Jvansittert: Copy/paste &amp; Delete formulaes as required</t>
        </r>
        <r>
          <rPr>
            <sz val="8"/>
            <color indexed="81"/>
            <rFont val="Tahoma"/>
            <family val="2"/>
          </rPr>
          <t xml:space="preserve">
</t>
        </r>
      </text>
    </comment>
    <comment ref="C324" authorId="0" shapeId="0">
      <text>
        <r>
          <rPr>
            <b/>
            <sz val="8"/>
            <color indexed="81"/>
            <rFont val="Tahoma"/>
            <family val="2"/>
          </rPr>
          <t>Jvansittert: Copy/paste &amp; Delete formulaes as required</t>
        </r>
        <r>
          <rPr>
            <sz val="8"/>
            <color indexed="81"/>
            <rFont val="Tahoma"/>
            <family val="2"/>
          </rPr>
          <t xml:space="preserve">
</t>
        </r>
      </text>
    </comment>
    <comment ref="C325" authorId="0" shapeId="0">
      <text>
        <r>
          <rPr>
            <b/>
            <sz val="8"/>
            <color indexed="81"/>
            <rFont val="Tahoma"/>
            <family val="2"/>
          </rPr>
          <t>Jvansittert: Copy/paste &amp; Delete formulaes as required</t>
        </r>
        <r>
          <rPr>
            <sz val="8"/>
            <color indexed="81"/>
            <rFont val="Tahoma"/>
            <family val="2"/>
          </rPr>
          <t xml:space="preserve">
</t>
        </r>
      </text>
    </comment>
    <comment ref="C326" authorId="0" shapeId="0">
      <text>
        <r>
          <rPr>
            <b/>
            <sz val="8"/>
            <color indexed="81"/>
            <rFont val="Tahoma"/>
            <family val="2"/>
          </rPr>
          <t>Jvansittert: Copy/paste &amp; Delete formulaes as required</t>
        </r>
        <r>
          <rPr>
            <sz val="8"/>
            <color indexed="81"/>
            <rFont val="Tahoma"/>
            <family val="2"/>
          </rPr>
          <t xml:space="preserve">
</t>
        </r>
      </text>
    </comment>
  </commentList>
</comments>
</file>

<file path=xl/comments7.xml><?xml version="1.0" encoding="utf-8"?>
<comments xmlns="http://schemas.openxmlformats.org/spreadsheetml/2006/main">
  <authors>
    <author>jvansittert</author>
  </authors>
  <commentList>
    <comment ref="C38" authorId="0" shapeId="0">
      <text>
        <r>
          <rPr>
            <b/>
            <sz val="12"/>
            <color indexed="81"/>
            <rFont val="Tahoma"/>
            <family val="2"/>
          </rPr>
          <t>Get this Cost from Eskom website / Costing Dept</t>
        </r>
      </text>
    </comment>
    <comment ref="C47" authorId="0" shapeId="0">
      <text>
        <r>
          <rPr>
            <b/>
            <sz val="12"/>
            <color indexed="81"/>
            <rFont val="Tahoma"/>
            <family val="2"/>
          </rPr>
          <t>Get this Cost from Eskom website / Costing Dept</t>
        </r>
      </text>
    </comment>
  </commentList>
</comments>
</file>

<file path=xl/comments8.xml><?xml version="1.0" encoding="utf-8"?>
<comments xmlns="http://schemas.openxmlformats.org/spreadsheetml/2006/main">
  <authors>
    <author>jvansittert</author>
  </authors>
  <commentList>
    <comment ref="C7" authorId="0" shapeId="0">
      <text>
        <r>
          <rPr>
            <b/>
            <sz val="10"/>
            <color indexed="81"/>
            <rFont val="Tahoma"/>
            <family val="2"/>
          </rPr>
          <t>jvansittert: 
If you are using 50m increments Remember to half your Leakage % as well!!</t>
        </r>
        <r>
          <rPr>
            <sz val="8"/>
            <color indexed="81"/>
            <rFont val="Tahoma"/>
            <family val="2"/>
          </rPr>
          <t xml:space="preserve">
</t>
        </r>
      </text>
    </comment>
    <comment ref="C19" authorId="0" shapeId="0">
      <text>
        <r>
          <rPr>
            <b/>
            <sz val="10"/>
            <color indexed="81"/>
            <rFont val="Tahoma"/>
            <family val="2"/>
          </rPr>
          <t>* Remember to correct pressure for density =
Pressure x density</t>
        </r>
      </text>
    </comment>
  </commentList>
</comments>
</file>

<file path=xl/comments9.xml><?xml version="1.0" encoding="utf-8"?>
<comments xmlns="http://schemas.openxmlformats.org/spreadsheetml/2006/main">
  <authors>
    <author>Van Sittert, Johan</author>
  </authors>
  <commentList>
    <comment ref="B2" authorId="0" shapeId="0">
      <text>
        <r>
          <rPr>
            <b/>
            <sz val="9"/>
            <color indexed="81"/>
            <rFont val="Tahoma"/>
            <family val="2"/>
          </rPr>
          <t>Van Sittert, Johan:</t>
        </r>
        <r>
          <rPr>
            <sz val="9"/>
            <color indexed="81"/>
            <rFont val="Tahoma"/>
            <family val="2"/>
          </rPr>
          <t xml:space="preserve">
This is a tool to help calc what the delivery Qty could be if you enter some random parameters to show the mining guys what must be done to get a certain amount of air on the face 
(If you  have some actual figures it helps you to prove your point – by reducing leakage you can work out how far it could be possible to develop)
</t>
        </r>
      </text>
    </comment>
  </commentList>
</comments>
</file>

<file path=xl/comments10.xml><?xml version="1.0" encoding="utf-8"?>
<comments xmlns="http://schemas.openxmlformats.org/spreadsheetml/2006/main">
  <authors>
    <author>Johan van Sittert</author>
  </authors>
  <commentList>
    <comment ref="B2" authorId="0" shapeId="0">
      <text>
        <r>
          <rPr>
            <b/>
            <sz val="9"/>
            <color indexed="81"/>
            <rFont val="Tahoma"/>
            <charset val="1"/>
          </rPr>
          <t>Non Trackless</t>
        </r>
        <r>
          <rPr>
            <sz val="9"/>
            <color indexed="81"/>
            <rFont val="Tahoma"/>
            <charset val="1"/>
          </rPr>
          <t xml:space="preserve">
</t>
        </r>
      </text>
    </comment>
  </commentList>
</comments>
</file>

<file path=xl/comments11.xml><?xml version="1.0" encoding="utf-8"?>
<comments xmlns="http://schemas.openxmlformats.org/spreadsheetml/2006/main">
  <authors>
    <author>ledutoit</author>
    <author>Du Toit, Leon</author>
  </authors>
  <commentList>
    <comment ref="D14" authorId="0" shapeId="0">
      <text>
        <r>
          <rPr>
            <b/>
            <sz val="8"/>
            <color indexed="81"/>
            <rFont val="Tahoma"/>
            <family val="2"/>
          </rPr>
          <t>ledutoit:</t>
        </r>
        <r>
          <rPr>
            <sz val="8"/>
            <color indexed="81"/>
            <rFont val="Tahoma"/>
            <family val="2"/>
          </rPr>
          <t xml:space="preserve">
adapt formula to include gases applicable</t>
        </r>
      </text>
    </comment>
    <comment ref="D17" authorId="0" shapeId="0">
      <text>
        <r>
          <rPr>
            <b/>
            <sz val="8"/>
            <color indexed="81"/>
            <rFont val="Tahoma"/>
            <family val="2"/>
          </rPr>
          <t>ledutoit:</t>
        </r>
        <r>
          <rPr>
            <sz val="8"/>
            <color indexed="81"/>
            <rFont val="Tahoma"/>
            <family val="2"/>
          </rPr>
          <t xml:space="preserve">
adapt formula to include gases applicable</t>
        </r>
      </text>
    </comment>
    <comment ref="A24" authorId="0" shapeId="0">
      <text>
        <r>
          <rPr>
            <b/>
            <sz val="8"/>
            <color indexed="81"/>
            <rFont val="Tahoma"/>
            <family val="2"/>
          </rPr>
          <t>ledutoit:</t>
        </r>
        <r>
          <rPr>
            <sz val="8"/>
            <color indexed="81"/>
            <rFont val="Tahoma"/>
            <family val="2"/>
          </rPr>
          <t xml:space="preserve">
insert hole diameter
</t>
        </r>
      </text>
    </comment>
    <comment ref="D24" authorId="1" shapeId="0">
      <text>
        <r>
          <rPr>
            <b/>
            <sz val="9"/>
            <color indexed="81"/>
            <rFont val="Tahoma"/>
            <family val="2"/>
          </rPr>
          <t>Du Toit, Leon:</t>
        </r>
        <r>
          <rPr>
            <sz val="9"/>
            <color indexed="81"/>
            <rFont val="Tahoma"/>
            <family val="2"/>
          </rPr>
          <t xml:space="preserve">
assumed to be terminal velocity</t>
        </r>
      </text>
    </comment>
    <comment ref="H24" authorId="0" shapeId="0">
      <text>
        <r>
          <rPr>
            <b/>
            <sz val="8"/>
            <color indexed="81"/>
            <rFont val="Tahoma"/>
            <family val="2"/>
          </rPr>
          <t>ledutoit:</t>
        </r>
        <r>
          <rPr>
            <sz val="8"/>
            <color indexed="81"/>
            <rFont val="Tahoma"/>
            <family val="2"/>
          </rPr>
          <t xml:space="preserve">
Insert through volume applicable</t>
        </r>
      </text>
    </comment>
  </commentList>
</comments>
</file>

<file path=xl/comments12.xml><?xml version="1.0" encoding="utf-8"?>
<comments xmlns="http://schemas.openxmlformats.org/spreadsheetml/2006/main">
  <authors>
    <author>Johan van Sittert</author>
  </authors>
  <commentList>
    <comment ref="C64" authorId="0" shapeId="0">
      <text>
        <r>
          <rPr>
            <b/>
            <sz val="9"/>
            <color indexed="81"/>
            <rFont val="Tahoma"/>
            <family val="2"/>
          </rPr>
          <t>Johan van Sittert:</t>
        </r>
        <r>
          <rPr>
            <sz val="9"/>
            <color indexed="81"/>
            <rFont val="Tahoma"/>
            <family val="2"/>
          </rPr>
          <t xml:space="preserve">
Checked 100% in VumA3D
</t>
        </r>
      </text>
    </comment>
  </commentList>
</comments>
</file>

<file path=xl/comments13.xml><?xml version="1.0" encoding="utf-8"?>
<comments xmlns="http://schemas.openxmlformats.org/spreadsheetml/2006/main">
  <authors>
    <author>Johan van Sittert</author>
  </authors>
  <commentList>
    <comment ref="C7" authorId="0" shapeId="0">
      <text>
        <r>
          <rPr>
            <b/>
            <sz val="9"/>
            <color indexed="81"/>
            <rFont val="Tahoma"/>
            <family val="2"/>
          </rPr>
          <t>Johan van Sittert:</t>
        </r>
        <r>
          <rPr>
            <sz val="9"/>
            <color indexed="81"/>
            <rFont val="Tahoma"/>
            <family val="2"/>
          </rPr>
          <t xml:space="preserve">
Note Engine kW may Vary</t>
        </r>
      </text>
    </comment>
    <comment ref="C8" authorId="0" shapeId="0">
      <text>
        <r>
          <rPr>
            <b/>
            <sz val="9"/>
            <color indexed="81"/>
            <rFont val="Tahoma"/>
            <family val="2"/>
          </rPr>
          <t>Johan van Sittert:</t>
        </r>
        <r>
          <rPr>
            <sz val="9"/>
            <color indexed="81"/>
            <rFont val="Tahoma"/>
            <family val="2"/>
          </rPr>
          <t xml:space="preserve">
Note Engine kW may Vary</t>
        </r>
      </text>
    </comment>
    <comment ref="C9" authorId="0" shapeId="0">
      <text>
        <r>
          <rPr>
            <b/>
            <sz val="9"/>
            <color indexed="81"/>
            <rFont val="Tahoma"/>
            <family val="2"/>
          </rPr>
          <t>Johan van Sittert:</t>
        </r>
        <r>
          <rPr>
            <sz val="9"/>
            <color indexed="81"/>
            <rFont val="Tahoma"/>
            <family val="2"/>
          </rPr>
          <t xml:space="preserve">
Note Engine kW may Vary</t>
        </r>
      </text>
    </comment>
    <comment ref="C10" authorId="0" shapeId="0">
      <text>
        <r>
          <rPr>
            <b/>
            <sz val="9"/>
            <color indexed="81"/>
            <rFont val="Tahoma"/>
            <family val="2"/>
          </rPr>
          <t>Johan van Sittert:</t>
        </r>
        <r>
          <rPr>
            <sz val="9"/>
            <color indexed="81"/>
            <rFont val="Tahoma"/>
            <family val="2"/>
          </rPr>
          <t xml:space="preserve">
Note Engine kW may Vary</t>
        </r>
      </text>
    </comment>
    <comment ref="C11" authorId="0" shapeId="0">
      <text>
        <r>
          <rPr>
            <b/>
            <sz val="9"/>
            <color indexed="81"/>
            <rFont val="Tahoma"/>
            <family val="2"/>
          </rPr>
          <t>Johan van Sittert:</t>
        </r>
        <r>
          <rPr>
            <sz val="9"/>
            <color indexed="81"/>
            <rFont val="Tahoma"/>
            <family val="2"/>
          </rPr>
          <t xml:space="preserve">
Note Engine kW may Vary</t>
        </r>
      </text>
    </comment>
    <comment ref="C12" authorId="0" shapeId="0">
      <text>
        <r>
          <rPr>
            <b/>
            <sz val="9"/>
            <color indexed="81"/>
            <rFont val="Tahoma"/>
            <family val="2"/>
          </rPr>
          <t>Johan van Sittert:</t>
        </r>
        <r>
          <rPr>
            <sz val="9"/>
            <color indexed="81"/>
            <rFont val="Tahoma"/>
            <family val="2"/>
          </rPr>
          <t xml:space="preserve">
Note Engine kW may Vary</t>
        </r>
      </text>
    </comment>
    <comment ref="C13" authorId="0" shapeId="0">
      <text>
        <r>
          <rPr>
            <b/>
            <sz val="9"/>
            <color indexed="81"/>
            <rFont val="Tahoma"/>
            <family val="2"/>
          </rPr>
          <t>Johan van Sittert:</t>
        </r>
        <r>
          <rPr>
            <sz val="9"/>
            <color indexed="81"/>
            <rFont val="Tahoma"/>
            <family val="2"/>
          </rPr>
          <t xml:space="preserve">
Note Engine kW may Vary</t>
        </r>
      </text>
    </comment>
    <comment ref="C14" authorId="0" shapeId="0">
      <text>
        <r>
          <rPr>
            <b/>
            <sz val="9"/>
            <color indexed="81"/>
            <rFont val="Tahoma"/>
            <family val="2"/>
          </rPr>
          <t>Johan van Sittert:</t>
        </r>
        <r>
          <rPr>
            <sz val="9"/>
            <color indexed="81"/>
            <rFont val="Tahoma"/>
            <family val="2"/>
          </rPr>
          <t xml:space="preserve">
Note Engine kW may Vary</t>
        </r>
      </text>
    </comment>
    <comment ref="C15" authorId="0" shapeId="0">
      <text>
        <r>
          <rPr>
            <b/>
            <sz val="9"/>
            <color indexed="81"/>
            <rFont val="Tahoma"/>
            <family val="2"/>
          </rPr>
          <t>Johan van Sittert:</t>
        </r>
        <r>
          <rPr>
            <sz val="9"/>
            <color indexed="81"/>
            <rFont val="Tahoma"/>
            <family val="2"/>
          </rPr>
          <t xml:space="preserve">
Note Engine kW may Vary</t>
        </r>
      </text>
    </comment>
    <comment ref="C16" authorId="0" shapeId="0">
      <text>
        <r>
          <rPr>
            <b/>
            <sz val="9"/>
            <color indexed="81"/>
            <rFont val="Tahoma"/>
            <family val="2"/>
          </rPr>
          <t>Johan van Sittert:</t>
        </r>
        <r>
          <rPr>
            <sz val="9"/>
            <color indexed="81"/>
            <rFont val="Tahoma"/>
            <family val="2"/>
          </rPr>
          <t xml:space="preserve">
Note Engine kW may Vary</t>
        </r>
      </text>
    </comment>
    <comment ref="C17" authorId="0" shapeId="0">
      <text>
        <r>
          <rPr>
            <b/>
            <sz val="9"/>
            <color indexed="81"/>
            <rFont val="Tahoma"/>
            <family val="2"/>
          </rPr>
          <t>Johan van Sittert:</t>
        </r>
        <r>
          <rPr>
            <sz val="9"/>
            <color indexed="81"/>
            <rFont val="Tahoma"/>
            <family val="2"/>
          </rPr>
          <t xml:space="preserve">
Note Engine kW may Vary</t>
        </r>
      </text>
    </comment>
    <comment ref="C18" authorId="0" shapeId="0">
      <text>
        <r>
          <rPr>
            <b/>
            <sz val="9"/>
            <color indexed="81"/>
            <rFont val="Tahoma"/>
            <family val="2"/>
          </rPr>
          <t>Johan van Sittert:</t>
        </r>
        <r>
          <rPr>
            <sz val="9"/>
            <color indexed="81"/>
            <rFont val="Tahoma"/>
            <family val="2"/>
          </rPr>
          <t xml:space="preserve">
Note Engine kW may Vary</t>
        </r>
      </text>
    </comment>
    <comment ref="C19" authorId="0" shapeId="0">
      <text>
        <r>
          <rPr>
            <b/>
            <sz val="9"/>
            <color indexed="81"/>
            <rFont val="Tahoma"/>
            <family val="2"/>
          </rPr>
          <t>Johan van Sittert:</t>
        </r>
        <r>
          <rPr>
            <sz val="9"/>
            <color indexed="81"/>
            <rFont val="Tahoma"/>
            <family val="2"/>
          </rPr>
          <t xml:space="preserve">
Note Engine kW may Vary</t>
        </r>
      </text>
    </comment>
    <comment ref="C20" authorId="0" shapeId="0">
      <text>
        <r>
          <rPr>
            <b/>
            <sz val="9"/>
            <color indexed="81"/>
            <rFont val="Tahoma"/>
            <family val="2"/>
          </rPr>
          <t>Johan van Sittert:</t>
        </r>
        <r>
          <rPr>
            <sz val="9"/>
            <color indexed="81"/>
            <rFont val="Tahoma"/>
            <family val="2"/>
          </rPr>
          <t xml:space="preserve">
Note Engine kW may Vary</t>
        </r>
      </text>
    </comment>
  </commentList>
</comments>
</file>

<file path=xl/comments14.xml><?xml version="1.0" encoding="utf-8"?>
<comments xmlns="http://schemas.openxmlformats.org/spreadsheetml/2006/main">
  <authors>
    <author xml:space="preserve"> MSymons</author>
    <author>jvansittert</author>
  </authors>
  <commentList>
    <comment ref="D32" authorId="0" shapeId="0">
      <text>
        <r>
          <rPr>
            <b/>
            <sz val="10"/>
            <color indexed="81"/>
            <rFont val="Tahoma"/>
            <family val="2"/>
          </rPr>
          <t>(((Dist from #-1000)x((2.3xVRT)-59.5)/2500)+((6.833xVRT)-178))
Manupulated from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J v Sittert
</t>
        </r>
      </text>
    </comment>
    <comment ref="E32" authorId="1" shapeId="0">
      <text>
        <r>
          <rPr>
            <b/>
            <sz val="12"/>
            <color indexed="81"/>
            <rFont val="Tahoma"/>
            <family val="2"/>
          </rPr>
          <t xml:space="preserve">3xHPR (Kw) - 3xTot Refr Avail (Kw) </t>
        </r>
        <r>
          <rPr>
            <b/>
            <sz val="12"/>
            <color indexed="81"/>
            <rFont val="Arial"/>
            <family val="2"/>
          </rPr>
          <t>÷</t>
        </r>
        <r>
          <rPr>
            <b/>
            <sz val="10.199999999999999"/>
            <color indexed="81"/>
            <rFont val="Tahoma"/>
            <family val="2"/>
          </rPr>
          <t xml:space="preserve">  Massflow
(Function 1 of formulae)
</t>
        </r>
        <r>
          <rPr>
            <sz val="10.199999999999999"/>
            <color indexed="81"/>
            <rFont val="Tahoma"/>
            <family val="2"/>
          </rPr>
          <t xml:space="preserve">Formula correct </t>
        </r>
        <r>
          <rPr>
            <sz val="10.199999999999999"/>
            <color indexed="10"/>
            <rFont val="Tahoma"/>
            <family val="2"/>
          </rPr>
          <t>5 Nov 2010</t>
        </r>
      </text>
    </comment>
    <comment ref="F32" authorId="0" shapeId="0">
      <text>
        <r>
          <rPr>
            <b/>
            <sz val="10"/>
            <color indexed="81"/>
            <rFont val="Tahoma"/>
            <family val="2"/>
          </rPr>
          <t>(((Dist from #-1000)x((2.3xVRT)-59.5)/2500)+((6.833xVRT)-178))
Manupulated of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H Nourse J v Sittert
</t>
        </r>
      </text>
    </comment>
    <comment ref="G32" authorId="1" shapeId="0">
      <text>
        <r>
          <rPr>
            <b/>
            <sz val="12"/>
            <color indexed="81"/>
            <rFont val="Tahoma"/>
            <family val="2"/>
          </rPr>
          <t xml:space="preserve">3xHPR (Kw) - 3xTot Refr Avail (Kw) </t>
        </r>
        <r>
          <rPr>
            <b/>
            <sz val="12"/>
            <color indexed="81"/>
            <rFont val="Arial"/>
            <family val="2"/>
          </rPr>
          <t>÷</t>
        </r>
        <r>
          <rPr>
            <b/>
            <sz val="10.199999999999999"/>
            <color indexed="81"/>
            <rFont val="Tahoma"/>
            <family val="2"/>
          </rPr>
          <t xml:space="preserve">  Massflow
(Function 1 of formulae)
</t>
        </r>
        <r>
          <rPr>
            <sz val="10.199999999999999"/>
            <color indexed="81"/>
            <rFont val="Tahoma"/>
            <family val="2"/>
          </rPr>
          <t xml:space="preserve">Formula correct </t>
        </r>
        <r>
          <rPr>
            <sz val="10.199999999999999"/>
            <color indexed="10"/>
            <rFont val="Tahoma"/>
            <family val="2"/>
          </rPr>
          <t>5 Nov 2010</t>
        </r>
      </text>
    </comment>
    <comment ref="H32" authorId="0" shapeId="0">
      <text>
        <r>
          <rPr>
            <b/>
            <sz val="10"/>
            <color indexed="81"/>
            <rFont val="Tahoma"/>
            <family val="2"/>
          </rPr>
          <t>(((Dist from #-1000)x((2.3xVRT)-59.5)/2500)+((6.833xVRT)-178))
Manupulated of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H Nourse J v Sittert
</t>
        </r>
      </text>
    </comment>
    <comment ref="I32" authorId="1" shapeId="0">
      <text>
        <r>
          <rPr>
            <b/>
            <sz val="12"/>
            <color indexed="81"/>
            <rFont val="Tahoma"/>
            <family val="2"/>
          </rPr>
          <t xml:space="preserve">3xHPR (Kw) - 3xTot Refr Avail (Kw) </t>
        </r>
        <r>
          <rPr>
            <b/>
            <sz val="12"/>
            <color indexed="81"/>
            <rFont val="Arial"/>
            <family val="2"/>
          </rPr>
          <t>÷</t>
        </r>
        <r>
          <rPr>
            <b/>
            <sz val="10.199999999999999"/>
            <color indexed="81"/>
            <rFont val="Tahoma"/>
            <family val="2"/>
          </rPr>
          <t xml:space="preserve">  Massflow
(Function 1 of formulae)
</t>
        </r>
        <r>
          <rPr>
            <sz val="10.199999999999999"/>
            <color indexed="81"/>
            <rFont val="Tahoma"/>
            <family val="2"/>
          </rPr>
          <t xml:space="preserve">Formula correct </t>
        </r>
        <r>
          <rPr>
            <sz val="10.199999999999999"/>
            <color indexed="10"/>
            <rFont val="Tahoma"/>
            <family val="2"/>
          </rPr>
          <t>5 Nov 2010</t>
        </r>
      </text>
    </comment>
    <comment ref="J32" authorId="0" shapeId="0">
      <text>
        <r>
          <rPr>
            <b/>
            <sz val="10"/>
            <color indexed="81"/>
            <rFont val="Tahoma"/>
            <family val="2"/>
          </rPr>
          <t>(((Dist from #-1000)x((2.3xVRT)-59.5)/2500)+((6.833xVRT)-178))
Manupulated from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J v Sittert
</t>
        </r>
      </text>
    </comment>
    <comment ref="K32" authorId="1" shapeId="0">
      <text>
        <r>
          <rPr>
            <b/>
            <sz val="12"/>
            <color indexed="81"/>
            <rFont val="Tahoma"/>
            <family val="2"/>
          </rPr>
          <t xml:space="preserve">3xHPR (Kw) - 3xTot Refr Avail (Kw) </t>
        </r>
        <r>
          <rPr>
            <b/>
            <sz val="12"/>
            <color indexed="81"/>
            <rFont val="Arial"/>
            <family val="2"/>
          </rPr>
          <t>÷</t>
        </r>
        <r>
          <rPr>
            <b/>
            <sz val="10.199999999999999"/>
            <color indexed="81"/>
            <rFont val="Tahoma"/>
            <family val="2"/>
          </rPr>
          <t xml:space="preserve">  Massflow
(Function 1 of formulae)
</t>
        </r>
        <r>
          <rPr>
            <sz val="10.199999999999999"/>
            <color indexed="81"/>
            <rFont val="Tahoma"/>
            <family val="2"/>
          </rPr>
          <t xml:space="preserve">Formula correct </t>
        </r>
        <r>
          <rPr>
            <sz val="10.199999999999999"/>
            <color indexed="10"/>
            <rFont val="Tahoma"/>
            <family val="2"/>
          </rPr>
          <t>5 Nov 2010</t>
        </r>
      </text>
    </comment>
    <comment ref="L32" authorId="0" shapeId="0">
      <text>
        <r>
          <rPr>
            <b/>
            <sz val="10"/>
            <color indexed="81"/>
            <rFont val="Tahoma"/>
            <family val="2"/>
          </rPr>
          <t>(((Dist from #-1000)x((2.3xVRT)-59.5)/2500)+((6.833xVRT)-178))
Manupulated of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H Nourse J v Sittert
</t>
        </r>
      </text>
    </comment>
    <comment ref="M32" authorId="1" shapeId="0">
      <text>
        <r>
          <rPr>
            <b/>
            <sz val="12"/>
            <color indexed="81"/>
            <rFont val="Tahoma"/>
            <family val="2"/>
          </rPr>
          <t xml:space="preserve">3xHPR (Kw) - 3xTot Refr Avail (Kw) </t>
        </r>
        <r>
          <rPr>
            <b/>
            <sz val="12"/>
            <color indexed="81"/>
            <rFont val="Arial"/>
            <family val="2"/>
          </rPr>
          <t>÷</t>
        </r>
        <r>
          <rPr>
            <b/>
            <sz val="10.199999999999999"/>
            <color indexed="81"/>
            <rFont val="Tahoma"/>
            <family val="2"/>
          </rPr>
          <t xml:space="preserve">  Massflow
(Function 1 of formulae)
</t>
        </r>
        <r>
          <rPr>
            <sz val="10.199999999999999"/>
            <color indexed="81"/>
            <rFont val="Tahoma"/>
            <family val="2"/>
          </rPr>
          <t xml:space="preserve">Formula correct </t>
        </r>
        <r>
          <rPr>
            <sz val="10.199999999999999"/>
            <color indexed="10"/>
            <rFont val="Tahoma"/>
            <family val="2"/>
          </rPr>
          <t>5 Nov 2010</t>
        </r>
      </text>
    </comment>
    <comment ref="N32" authorId="0" shapeId="0">
      <text>
        <r>
          <rPr>
            <b/>
            <sz val="10"/>
            <color indexed="81"/>
            <rFont val="Tahoma"/>
            <family val="2"/>
          </rPr>
          <t>(((Dist from #-1000)x((2.3xVRT)-59.5)/2500)+((6.833xVRT)-178))
Manupulated of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H Nourse J v Sittert
</t>
        </r>
      </text>
    </comment>
    <comment ref="O32" authorId="1" shapeId="0">
      <text>
        <r>
          <rPr>
            <b/>
            <sz val="12"/>
            <color indexed="81"/>
            <rFont val="Tahoma"/>
            <family val="2"/>
          </rPr>
          <t xml:space="preserve">3xHPR (Kw) - 3xTot Refr Avail (Kw) </t>
        </r>
        <r>
          <rPr>
            <b/>
            <sz val="12"/>
            <color indexed="81"/>
            <rFont val="Arial"/>
            <family val="2"/>
          </rPr>
          <t>÷</t>
        </r>
        <r>
          <rPr>
            <b/>
            <sz val="10.199999999999999"/>
            <color indexed="81"/>
            <rFont val="Tahoma"/>
            <family val="2"/>
          </rPr>
          <t xml:space="preserve">  Massflow
(Function 1 of formulae)
</t>
        </r>
        <r>
          <rPr>
            <sz val="10.199999999999999"/>
            <color indexed="81"/>
            <rFont val="Tahoma"/>
            <family val="2"/>
          </rPr>
          <t xml:space="preserve">Formula correct </t>
        </r>
        <r>
          <rPr>
            <sz val="10.199999999999999"/>
            <color indexed="10"/>
            <rFont val="Tahoma"/>
            <family val="2"/>
          </rPr>
          <t>5 Nov 2010</t>
        </r>
      </text>
    </comment>
    <comment ref="P32" authorId="0" shapeId="0">
      <text>
        <r>
          <rPr>
            <b/>
            <sz val="10"/>
            <color indexed="81"/>
            <rFont val="Tahoma"/>
            <family val="2"/>
          </rPr>
          <t>(((Dist from #-1000)x((2.3xVRT)-59.5)/2500)+((6.833xVRT)-178))
Manupulated from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J v Sittert
</t>
        </r>
      </text>
    </comment>
    <comment ref="Q32" authorId="1" shapeId="0">
      <text>
        <r>
          <rPr>
            <b/>
            <sz val="12"/>
            <color indexed="81"/>
            <rFont val="Tahoma"/>
            <family val="2"/>
          </rPr>
          <t xml:space="preserve">3xHPR (Kw) - 3xTot Refr Avail (Kw) </t>
        </r>
        <r>
          <rPr>
            <b/>
            <sz val="12"/>
            <color indexed="81"/>
            <rFont val="Arial"/>
            <family val="2"/>
          </rPr>
          <t>÷</t>
        </r>
        <r>
          <rPr>
            <b/>
            <sz val="10.199999999999999"/>
            <color indexed="81"/>
            <rFont val="Tahoma"/>
            <family val="2"/>
          </rPr>
          <t xml:space="preserve">  Massflow
(Function 1 of formulae)
</t>
        </r>
        <r>
          <rPr>
            <sz val="10.199999999999999"/>
            <color indexed="81"/>
            <rFont val="Tahoma"/>
            <family val="2"/>
          </rPr>
          <t xml:space="preserve">Formula correct </t>
        </r>
        <r>
          <rPr>
            <sz val="10.199999999999999"/>
            <color indexed="10"/>
            <rFont val="Tahoma"/>
            <family val="2"/>
          </rPr>
          <t>5 Nov 2010</t>
        </r>
      </text>
    </comment>
    <comment ref="R32" authorId="0" shapeId="0">
      <text>
        <r>
          <rPr>
            <b/>
            <sz val="10"/>
            <color indexed="81"/>
            <rFont val="Tahoma"/>
            <family val="2"/>
          </rPr>
          <t>(((Dist from #-1000)x((2.3xVRT)-59.5)/2500)+((6.833xVRT)-178))
Manupulated of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H Nourse J v Sittert
</t>
        </r>
      </text>
    </comment>
    <comment ref="S32" authorId="1" shapeId="0">
      <text>
        <r>
          <rPr>
            <b/>
            <sz val="12"/>
            <color indexed="81"/>
            <rFont val="Tahoma"/>
            <family val="2"/>
          </rPr>
          <t xml:space="preserve">3xHPR (Kw) - 3xTot Refr Avail (Kw) </t>
        </r>
        <r>
          <rPr>
            <b/>
            <sz val="12"/>
            <color indexed="81"/>
            <rFont val="Arial"/>
            <family val="2"/>
          </rPr>
          <t>÷</t>
        </r>
        <r>
          <rPr>
            <b/>
            <sz val="10.199999999999999"/>
            <color indexed="81"/>
            <rFont val="Tahoma"/>
            <family val="2"/>
          </rPr>
          <t xml:space="preserve">  Massflow
(Function 1 of formulae)
</t>
        </r>
        <r>
          <rPr>
            <sz val="10.199999999999999"/>
            <color indexed="81"/>
            <rFont val="Tahoma"/>
            <family val="2"/>
          </rPr>
          <t xml:space="preserve">Formula correct </t>
        </r>
        <r>
          <rPr>
            <sz val="10.199999999999999"/>
            <color indexed="10"/>
            <rFont val="Tahoma"/>
            <family val="2"/>
          </rPr>
          <t>5 Nov 2010</t>
        </r>
      </text>
    </comment>
    <comment ref="T32" authorId="0" shapeId="0">
      <text>
        <r>
          <rPr>
            <b/>
            <sz val="10"/>
            <color indexed="81"/>
            <rFont val="Tahoma"/>
            <family val="2"/>
          </rPr>
          <t>(((Dist from #-1000)x((2.3xVRT)-59.5)/2500)+((6.833xVRT)-178))
Manupulated of Gebler Graph "y=mx+c"
MSymons:</t>
        </r>
        <r>
          <rPr>
            <sz val="10"/>
            <color indexed="81"/>
            <rFont val="Tahoma"/>
            <family val="2"/>
          </rPr>
          <t xml:space="preserve">
Formula correct </t>
        </r>
        <r>
          <rPr>
            <sz val="10"/>
            <color indexed="10"/>
            <rFont val="Tahoma"/>
            <family val="2"/>
          </rPr>
          <t>5 Nov 2010</t>
        </r>
        <r>
          <rPr>
            <sz val="10"/>
            <color indexed="81"/>
            <rFont val="Tahoma"/>
            <family val="2"/>
          </rPr>
          <t xml:space="preserve">
Checked H Nourse J v Sittert
</t>
        </r>
      </text>
    </comment>
    <comment ref="U32" authorId="1" shapeId="0">
      <text>
        <r>
          <rPr>
            <b/>
            <sz val="12"/>
            <color indexed="81"/>
            <rFont val="Tahoma"/>
            <family val="2"/>
          </rPr>
          <t xml:space="preserve">3xHPR (Kw) - 3xTot Refr Avail (Kw) </t>
        </r>
        <r>
          <rPr>
            <b/>
            <sz val="12"/>
            <color indexed="81"/>
            <rFont val="Arial"/>
            <family val="2"/>
          </rPr>
          <t>÷</t>
        </r>
        <r>
          <rPr>
            <b/>
            <sz val="10.199999999999999"/>
            <color indexed="81"/>
            <rFont val="Tahoma"/>
            <family val="2"/>
          </rPr>
          <t xml:space="preserve">  Massflow
(Function 1 of formulae)
</t>
        </r>
        <r>
          <rPr>
            <sz val="10.199999999999999"/>
            <color indexed="81"/>
            <rFont val="Tahoma"/>
            <family val="2"/>
          </rPr>
          <t xml:space="preserve">Formula correct </t>
        </r>
        <r>
          <rPr>
            <sz val="10.199999999999999"/>
            <color indexed="10"/>
            <rFont val="Tahoma"/>
            <family val="2"/>
          </rPr>
          <t>5 Nov 2010</t>
        </r>
      </text>
    </comment>
    <comment ref="D33" authorId="0"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J v Sittert
</t>
        </r>
      </text>
    </comment>
    <comment ref="E33" authorId="1" shapeId="0">
      <text>
        <r>
          <rPr>
            <b/>
            <sz val="12"/>
            <color indexed="81"/>
            <rFont val="Tahoma"/>
            <family val="2"/>
          </rPr>
          <t xml:space="preserve">0.0533 x Depth below surface - 174.5
(Function 2 of formulae)
</t>
        </r>
        <r>
          <rPr>
            <sz val="12"/>
            <color indexed="81"/>
            <rFont val="Tahoma"/>
            <family val="2"/>
          </rPr>
          <t xml:space="preserve">Formula correct </t>
        </r>
        <r>
          <rPr>
            <sz val="12"/>
            <color indexed="10"/>
            <rFont val="Tahoma"/>
            <family val="2"/>
          </rPr>
          <t>5 Nov 2010</t>
        </r>
      </text>
    </comment>
    <comment ref="F33" authorId="0"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H Nourse J v Sittert
</t>
        </r>
      </text>
    </comment>
    <comment ref="G33" authorId="1" shapeId="0">
      <text>
        <r>
          <rPr>
            <b/>
            <sz val="12"/>
            <color indexed="81"/>
            <rFont val="Tahoma"/>
            <family val="2"/>
          </rPr>
          <t xml:space="preserve">0.0533 x Depth below surface - 174.5
(Function 2 of formulae)
</t>
        </r>
        <r>
          <rPr>
            <sz val="12"/>
            <color indexed="81"/>
            <rFont val="Tahoma"/>
            <family val="2"/>
          </rPr>
          <t xml:space="preserve">Formula correct </t>
        </r>
        <r>
          <rPr>
            <sz val="12"/>
            <color indexed="10"/>
            <rFont val="Tahoma"/>
            <family val="2"/>
          </rPr>
          <t>5 Nov 2010</t>
        </r>
      </text>
    </comment>
    <comment ref="H33" authorId="0"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H Nourse J v Sittert
</t>
        </r>
      </text>
    </comment>
    <comment ref="I33" authorId="1" shapeId="0">
      <text>
        <r>
          <rPr>
            <b/>
            <sz val="12"/>
            <color indexed="81"/>
            <rFont val="Tahoma"/>
            <family val="2"/>
          </rPr>
          <t xml:space="preserve">0.0533 x Depth below surface - 174.5
(Function 2 of formulae)
</t>
        </r>
        <r>
          <rPr>
            <sz val="12"/>
            <color indexed="81"/>
            <rFont val="Tahoma"/>
            <family val="2"/>
          </rPr>
          <t xml:space="preserve">Formula correct </t>
        </r>
        <r>
          <rPr>
            <sz val="12"/>
            <color indexed="10"/>
            <rFont val="Tahoma"/>
            <family val="2"/>
          </rPr>
          <t>5 Nov 2010</t>
        </r>
      </text>
    </comment>
    <comment ref="J33" authorId="0"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J v Sittert
</t>
        </r>
      </text>
    </comment>
    <comment ref="K33" authorId="1" shapeId="0">
      <text>
        <r>
          <rPr>
            <b/>
            <sz val="12"/>
            <color indexed="81"/>
            <rFont val="Tahoma"/>
            <family val="2"/>
          </rPr>
          <t xml:space="preserve">0.0533 x Depth below surface - 174.5
(Function 2 of formulae)
</t>
        </r>
        <r>
          <rPr>
            <sz val="12"/>
            <color indexed="81"/>
            <rFont val="Tahoma"/>
            <family val="2"/>
          </rPr>
          <t xml:space="preserve">Formula correct </t>
        </r>
        <r>
          <rPr>
            <sz val="12"/>
            <color indexed="10"/>
            <rFont val="Tahoma"/>
            <family val="2"/>
          </rPr>
          <t>5 Nov 2010</t>
        </r>
      </text>
    </comment>
    <comment ref="L33" authorId="0"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H Nourse J v Sittert
</t>
        </r>
      </text>
    </comment>
    <comment ref="M33" authorId="1" shapeId="0">
      <text>
        <r>
          <rPr>
            <b/>
            <sz val="12"/>
            <color indexed="81"/>
            <rFont val="Tahoma"/>
            <family val="2"/>
          </rPr>
          <t xml:space="preserve">0.0533 x Depth below surface - 174.5
(Function 2 of formulae)
</t>
        </r>
        <r>
          <rPr>
            <sz val="12"/>
            <color indexed="81"/>
            <rFont val="Tahoma"/>
            <family val="2"/>
          </rPr>
          <t xml:space="preserve">Formula correct </t>
        </r>
        <r>
          <rPr>
            <sz val="12"/>
            <color indexed="10"/>
            <rFont val="Tahoma"/>
            <family val="2"/>
          </rPr>
          <t>5 Nov 2010</t>
        </r>
      </text>
    </comment>
    <comment ref="N33" authorId="0"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H Nourse J v Sittert
</t>
        </r>
      </text>
    </comment>
    <comment ref="O33" authorId="1" shapeId="0">
      <text>
        <r>
          <rPr>
            <b/>
            <sz val="12"/>
            <color indexed="81"/>
            <rFont val="Tahoma"/>
            <family val="2"/>
          </rPr>
          <t xml:space="preserve">0.0533 x Depth below surface - 174.5
(Function 2 of formulae)
</t>
        </r>
        <r>
          <rPr>
            <sz val="12"/>
            <color indexed="81"/>
            <rFont val="Tahoma"/>
            <family val="2"/>
          </rPr>
          <t xml:space="preserve">Formula correct </t>
        </r>
        <r>
          <rPr>
            <sz val="12"/>
            <color indexed="10"/>
            <rFont val="Tahoma"/>
            <family val="2"/>
          </rPr>
          <t>5 Nov 2010</t>
        </r>
      </text>
    </comment>
    <comment ref="P33" authorId="0"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J v Sittert
</t>
        </r>
      </text>
    </comment>
    <comment ref="Q33" authorId="1" shapeId="0">
      <text>
        <r>
          <rPr>
            <b/>
            <sz val="12"/>
            <color indexed="81"/>
            <rFont val="Tahoma"/>
            <family val="2"/>
          </rPr>
          <t xml:space="preserve">0.0533 x Depth below surface - 174.5
(Function 2 of formulae)
</t>
        </r>
        <r>
          <rPr>
            <sz val="12"/>
            <color indexed="81"/>
            <rFont val="Tahoma"/>
            <family val="2"/>
          </rPr>
          <t xml:space="preserve">Formula correct </t>
        </r>
        <r>
          <rPr>
            <sz val="12"/>
            <color indexed="10"/>
            <rFont val="Tahoma"/>
            <family val="2"/>
          </rPr>
          <t>5 Nov 2010</t>
        </r>
      </text>
    </comment>
    <comment ref="R33" authorId="0"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H Nourse J v Sittert
</t>
        </r>
      </text>
    </comment>
    <comment ref="S33" authorId="1" shapeId="0">
      <text>
        <r>
          <rPr>
            <b/>
            <sz val="12"/>
            <color indexed="81"/>
            <rFont val="Tahoma"/>
            <family val="2"/>
          </rPr>
          <t xml:space="preserve">0.0533 x Depth below surface - 174.5
(Function 2 of formulae)
</t>
        </r>
        <r>
          <rPr>
            <sz val="12"/>
            <color indexed="81"/>
            <rFont val="Tahoma"/>
            <family val="2"/>
          </rPr>
          <t xml:space="preserve">Formula correct </t>
        </r>
        <r>
          <rPr>
            <sz val="12"/>
            <color indexed="10"/>
            <rFont val="Tahoma"/>
            <family val="2"/>
          </rPr>
          <t>5 Nov 2010</t>
        </r>
      </text>
    </comment>
    <comment ref="T33" authorId="0" shapeId="0">
      <text>
        <r>
          <rPr>
            <b/>
            <sz val="10"/>
            <color indexed="81"/>
            <rFont val="Tahoma"/>
            <family val="2"/>
          </rPr>
          <t xml:space="preserve"> =(-4*D28+120)/100
Manupulated of Gebler Graph Temp corection "y=mx+c"
MSymons:
</t>
        </r>
        <r>
          <rPr>
            <sz val="10"/>
            <color indexed="81"/>
            <rFont val="Tahoma"/>
            <family val="2"/>
          </rPr>
          <t xml:space="preserve">Formula correct </t>
        </r>
        <r>
          <rPr>
            <sz val="10"/>
            <color indexed="10"/>
            <rFont val="Tahoma"/>
            <family val="2"/>
          </rPr>
          <t>5 Nov 2010</t>
        </r>
        <r>
          <rPr>
            <sz val="10"/>
            <color indexed="81"/>
            <rFont val="Tahoma"/>
            <family val="2"/>
          </rPr>
          <t xml:space="preserve">
Checked H Nourse J v Sittert
</t>
        </r>
      </text>
    </comment>
    <comment ref="U33" authorId="1" shapeId="0">
      <text>
        <r>
          <rPr>
            <b/>
            <sz val="12"/>
            <color indexed="81"/>
            <rFont val="Tahoma"/>
            <family val="2"/>
          </rPr>
          <t xml:space="preserve">0.0533 x Depth below surface - 174.5
(Function 2 of formulae)
</t>
        </r>
        <r>
          <rPr>
            <sz val="12"/>
            <color indexed="81"/>
            <rFont val="Tahoma"/>
            <family val="2"/>
          </rPr>
          <t xml:space="preserve">Formula correct </t>
        </r>
        <r>
          <rPr>
            <sz val="12"/>
            <color indexed="10"/>
            <rFont val="Tahoma"/>
            <family val="2"/>
          </rPr>
          <t>5 Nov 2010</t>
        </r>
      </text>
    </comment>
    <comment ref="D34" authorId="0" shapeId="0">
      <text>
        <r>
          <rPr>
            <b/>
            <sz val="10"/>
            <color indexed="81"/>
            <rFont val="Tahoma"/>
            <family val="2"/>
          </rPr>
          <t xml:space="preserve"> MSymons:
</t>
        </r>
        <r>
          <rPr>
            <sz val="10"/>
            <color indexed="81"/>
            <rFont val="Tahoma"/>
            <family val="2"/>
          </rPr>
          <t>formula correct
Checked H Nourse J v Sittert</t>
        </r>
      </text>
    </comment>
    <comment ref="E34" authorId="1" shapeId="0">
      <text>
        <r>
          <rPr>
            <b/>
            <sz val="12"/>
            <color indexed="81"/>
            <rFont val="Tahoma"/>
            <family val="2"/>
          </rPr>
          <t xml:space="preserve">-0.00125 x Depth below surface + 15.25
(Function 3 of formulae)
</t>
        </r>
        <r>
          <rPr>
            <sz val="12"/>
            <color indexed="81"/>
            <rFont val="Tahoma"/>
            <family val="2"/>
          </rPr>
          <t xml:space="preserve">Formula correct </t>
        </r>
        <r>
          <rPr>
            <sz val="12"/>
            <color indexed="10"/>
            <rFont val="Tahoma"/>
            <family val="2"/>
          </rPr>
          <t>5 Nov 2010</t>
        </r>
      </text>
    </comment>
    <comment ref="F34" authorId="0" shapeId="0">
      <text>
        <r>
          <rPr>
            <b/>
            <sz val="10"/>
            <color indexed="81"/>
            <rFont val="Tahoma"/>
            <family val="2"/>
          </rPr>
          <t xml:space="preserve"> MSymons:
</t>
        </r>
        <r>
          <rPr>
            <sz val="10"/>
            <color indexed="81"/>
            <rFont val="Tahoma"/>
            <family val="2"/>
          </rPr>
          <t>formula correct
Checked H Nourse J v Sittert</t>
        </r>
      </text>
    </comment>
    <comment ref="G34" authorId="1" shapeId="0">
      <text>
        <r>
          <rPr>
            <b/>
            <sz val="12"/>
            <color indexed="81"/>
            <rFont val="Tahoma"/>
            <family val="2"/>
          </rPr>
          <t xml:space="preserve">-0.00125 x Depth below surface + 15.25
(Function 3 of formulae)
</t>
        </r>
        <r>
          <rPr>
            <sz val="12"/>
            <color indexed="81"/>
            <rFont val="Tahoma"/>
            <family val="2"/>
          </rPr>
          <t xml:space="preserve">Formula correct </t>
        </r>
        <r>
          <rPr>
            <sz val="12"/>
            <color indexed="10"/>
            <rFont val="Tahoma"/>
            <family val="2"/>
          </rPr>
          <t>5 Nov 2010</t>
        </r>
      </text>
    </comment>
    <comment ref="H34" authorId="0" shapeId="0">
      <text>
        <r>
          <rPr>
            <b/>
            <sz val="10"/>
            <color indexed="81"/>
            <rFont val="Tahoma"/>
            <family val="2"/>
          </rPr>
          <t xml:space="preserve"> MSymons:
</t>
        </r>
        <r>
          <rPr>
            <sz val="10"/>
            <color indexed="81"/>
            <rFont val="Tahoma"/>
            <family val="2"/>
          </rPr>
          <t>formula correct
Checked H Nourse J v Sittert</t>
        </r>
      </text>
    </comment>
    <comment ref="I34" authorId="1" shapeId="0">
      <text>
        <r>
          <rPr>
            <b/>
            <sz val="12"/>
            <color indexed="81"/>
            <rFont val="Tahoma"/>
            <family val="2"/>
          </rPr>
          <t xml:space="preserve">-0.00125 x Depth below surface + 15.25
(Function 3 of formulae)
</t>
        </r>
        <r>
          <rPr>
            <sz val="12"/>
            <color indexed="81"/>
            <rFont val="Tahoma"/>
            <family val="2"/>
          </rPr>
          <t xml:space="preserve">Formula correct </t>
        </r>
        <r>
          <rPr>
            <sz val="12"/>
            <color indexed="10"/>
            <rFont val="Tahoma"/>
            <family val="2"/>
          </rPr>
          <t>5 Nov 2010</t>
        </r>
      </text>
    </comment>
    <comment ref="J34" authorId="0" shapeId="0">
      <text>
        <r>
          <rPr>
            <b/>
            <sz val="10"/>
            <color indexed="81"/>
            <rFont val="Tahoma"/>
            <family val="2"/>
          </rPr>
          <t xml:space="preserve"> MSymons:
</t>
        </r>
        <r>
          <rPr>
            <sz val="10"/>
            <color indexed="81"/>
            <rFont val="Tahoma"/>
            <family val="2"/>
          </rPr>
          <t>formula correct
Checked H Nourse J v Sittert</t>
        </r>
      </text>
    </comment>
    <comment ref="K34" authorId="1" shapeId="0">
      <text>
        <r>
          <rPr>
            <b/>
            <sz val="12"/>
            <color indexed="81"/>
            <rFont val="Tahoma"/>
            <family val="2"/>
          </rPr>
          <t xml:space="preserve">-0.00125 x Depth below surface + 15.25
(Function 3 of formulae)
</t>
        </r>
        <r>
          <rPr>
            <sz val="12"/>
            <color indexed="81"/>
            <rFont val="Tahoma"/>
            <family val="2"/>
          </rPr>
          <t xml:space="preserve">Formula correct </t>
        </r>
        <r>
          <rPr>
            <sz val="12"/>
            <color indexed="10"/>
            <rFont val="Tahoma"/>
            <family val="2"/>
          </rPr>
          <t>5 Nov 2010</t>
        </r>
      </text>
    </comment>
    <comment ref="L34" authorId="0" shapeId="0">
      <text>
        <r>
          <rPr>
            <b/>
            <sz val="10"/>
            <color indexed="81"/>
            <rFont val="Tahoma"/>
            <family val="2"/>
          </rPr>
          <t xml:space="preserve"> MSymons:
</t>
        </r>
        <r>
          <rPr>
            <sz val="10"/>
            <color indexed="81"/>
            <rFont val="Tahoma"/>
            <family val="2"/>
          </rPr>
          <t>formula correct
Checked H Nourse J v Sittert</t>
        </r>
      </text>
    </comment>
    <comment ref="M34" authorId="1" shapeId="0">
      <text>
        <r>
          <rPr>
            <b/>
            <sz val="12"/>
            <color indexed="81"/>
            <rFont val="Tahoma"/>
            <family val="2"/>
          </rPr>
          <t xml:space="preserve">-0.00125 x Depth below surface + 15.25
(Function 3 of formulae)
</t>
        </r>
        <r>
          <rPr>
            <sz val="12"/>
            <color indexed="81"/>
            <rFont val="Tahoma"/>
            <family val="2"/>
          </rPr>
          <t xml:space="preserve">Formula correct </t>
        </r>
        <r>
          <rPr>
            <sz val="12"/>
            <color indexed="10"/>
            <rFont val="Tahoma"/>
            <family val="2"/>
          </rPr>
          <t>5 Nov 2010</t>
        </r>
      </text>
    </comment>
    <comment ref="N34" authorId="0" shapeId="0">
      <text>
        <r>
          <rPr>
            <b/>
            <sz val="10"/>
            <color indexed="81"/>
            <rFont val="Tahoma"/>
            <family val="2"/>
          </rPr>
          <t xml:space="preserve"> MSymons:
</t>
        </r>
        <r>
          <rPr>
            <sz val="10"/>
            <color indexed="81"/>
            <rFont val="Tahoma"/>
            <family val="2"/>
          </rPr>
          <t>formula correct
Checked H Nourse J v Sittert</t>
        </r>
      </text>
    </comment>
    <comment ref="O34" authorId="1" shapeId="0">
      <text>
        <r>
          <rPr>
            <b/>
            <sz val="12"/>
            <color indexed="81"/>
            <rFont val="Tahoma"/>
            <family val="2"/>
          </rPr>
          <t xml:space="preserve">-0.00125 x Depth below surface + 15.25
(Function 3 of formulae)
</t>
        </r>
        <r>
          <rPr>
            <sz val="12"/>
            <color indexed="81"/>
            <rFont val="Tahoma"/>
            <family val="2"/>
          </rPr>
          <t xml:space="preserve">Formula correct </t>
        </r>
        <r>
          <rPr>
            <sz val="12"/>
            <color indexed="10"/>
            <rFont val="Tahoma"/>
            <family val="2"/>
          </rPr>
          <t>5 Nov 2010</t>
        </r>
      </text>
    </comment>
    <comment ref="P34" authorId="0" shapeId="0">
      <text>
        <r>
          <rPr>
            <b/>
            <sz val="10"/>
            <color indexed="81"/>
            <rFont val="Tahoma"/>
            <family val="2"/>
          </rPr>
          <t xml:space="preserve"> MSymons:
</t>
        </r>
        <r>
          <rPr>
            <sz val="10"/>
            <color indexed="81"/>
            <rFont val="Tahoma"/>
            <family val="2"/>
          </rPr>
          <t>formula correct
Checked H Nourse J v Sittert</t>
        </r>
      </text>
    </comment>
    <comment ref="Q34" authorId="1" shapeId="0">
      <text>
        <r>
          <rPr>
            <b/>
            <sz val="12"/>
            <color indexed="81"/>
            <rFont val="Tahoma"/>
            <family val="2"/>
          </rPr>
          <t xml:space="preserve">-0.00125 x Depth below surface + 15.25
(Function 3 of formulae)
</t>
        </r>
        <r>
          <rPr>
            <sz val="12"/>
            <color indexed="81"/>
            <rFont val="Tahoma"/>
            <family val="2"/>
          </rPr>
          <t xml:space="preserve">Formula correct </t>
        </r>
        <r>
          <rPr>
            <sz val="12"/>
            <color indexed="10"/>
            <rFont val="Tahoma"/>
            <family val="2"/>
          </rPr>
          <t>5 Nov 2010</t>
        </r>
      </text>
    </comment>
    <comment ref="R34" authorId="0" shapeId="0">
      <text>
        <r>
          <rPr>
            <b/>
            <sz val="10"/>
            <color indexed="81"/>
            <rFont val="Tahoma"/>
            <family val="2"/>
          </rPr>
          <t xml:space="preserve"> MSymons:
</t>
        </r>
        <r>
          <rPr>
            <sz val="10"/>
            <color indexed="81"/>
            <rFont val="Tahoma"/>
            <family val="2"/>
          </rPr>
          <t>formula correct
Checked H Nourse J v Sittert</t>
        </r>
      </text>
    </comment>
    <comment ref="S34" authorId="1" shapeId="0">
      <text>
        <r>
          <rPr>
            <b/>
            <sz val="12"/>
            <color indexed="81"/>
            <rFont val="Tahoma"/>
            <family val="2"/>
          </rPr>
          <t xml:space="preserve">-0.00125 x Depth below surface + 15.25
(Function 3 of formulae)
</t>
        </r>
        <r>
          <rPr>
            <sz val="12"/>
            <color indexed="81"/>
            <rFont val="Tahoma"/>
            <family val="2"/>
          </rPr>
          <t xml:space="preserve">Formula correct </t>
        </r>
        <r>
          <rPr>
            <sz val="12"/>
            <color indexed="10"/>
            <rFont val="Tahoma"/>
            <family val="2"/>
          </rPr>
          <t>5 Nov 2010</t>
        </r>
      </text>
    </comment>
    <comment ref="T34" authorId="0" shapeId="0">
      <text>
        <r>
          <rPr>
            <b/>
            <sz val="10"/>
            <color indexed="81"/>
            <rFont val="Tahoma"/>
            <family val="2"/>
          </rPr>
          <t xml:space="preserve"> MSymons:
</t>
        </r>
        <r>
          <rPr>
            <sz val="10"/>
            <color indexed="81"/>
            <rFont val="Tahoma"/>
            <family val="2"/>
          </rPr>
          <t>formula correct
Checked H Nourse J v Sittert</t>
        </r>
      </text>
    </comment>
    <comment ref="U34" authorId="1" shapeId="0">
      <text>
        <r>
          <rPr>
            <b/>
            <sz val="12"/>
            <color indexed="81"/>
            <rFont val="Tahoma"/>
            <family val="2"/>
          </rPr>
          <t xml:space="preserve">-0.00125 x Depth below surface + 15.25
(Function 3 of formulae)
</t>
        </r>
        <r>
          <rPr>
            <sz val="12"/>
            <color indexed="81"/>
            <rFont val="Tahoma"/>
            <family val="2"/>
          </rPr>
          <t xml:space="preserve">Formula correct </t>
        </r>
        <r>
          <rPr>
            <sz val="12"/>
            <color indexed="10"/>
            <rFont val="Tahoma"/>
            <family val="2"/>
          </rPr>
          <t>5 Nov 2010</t>
        </r>
      </text>
    </comment>
    <comment ref="D35" authorId="1" shapeId="0">
      <text>
        <r>
          <rPr>
            <b/>
            <sz val="8"/>
            <color indexed="81"/>
            <rFont val="Tahoma"/>
            <family val="2"/>
          </rPr>
          <t xml:space="preserve"> MSymons:
</t>
        </r>
        <r>
          <rPr>
            <sz val="8"/>
            <color indexed="81"/>
            <rFont val="Tahoma"/>
            <family val="2"/>
          </rPr>
          <t>formula correct
Checked H Nourse J v Sittert</t>
        </r>
      </text>
    </comment>
    <comment ref="F35" authorId="1" shapeId="0">
      <text>
        <r>
          <rPr>
            <b/>
            <sz val="8"/>
            <color indexed="81"/>
            <rFont val="Tahoma"/>
            <family val="2"/>
          </rPr>
          <t xml:space="preserve"> MSymons:
</t>
        </r>
        <r>
          <rPr>
            <sz val="8"/>
            <color indexed="81"/>
            <rFont val="Tahoma"/>
            <family val="2"/>
          </rPr>
          <t>formula correct
Checked H Nourse J v Sittert</t>
        </r>
      </text>
    </comment>
    <comment ref="H35" authorId="1" shapeId="0">
      <text>
        <r>
          <rPr>
            <b/>
            <sz val="8"/>
            <color indexed="81"/>
            <rFont val="Tahoma"/>
            <family val="2"/>
          </rPr>
          <t xml:space="preserve"> MSymons:
</t>
        </r>
        <r>
          <rPr>
            <sz val="8"/>
            <color indexed="81"/>
            <rFont val="Tahoma"/>
            <family val="2"/>
          </rPr>
          <t>formula correct
Checked H Nourse J v Sittert</t>
        </r>
      </text>
    </comment>
    <comment ref="J35" authorId="1" shapeId="0">
      <text>
        <r>
          <rPr>
            <b/>
            <sz val="8"/>
            <color indexed="81"/>
            <rFont val="Tahoma"/>
            <family val="2"/>
          </rPr>
          <t xml:space="preserve"> MSymons:
</t>
        </r>
        <r>
          <rPr>
            <sz val="8"/>
            <color indexed="81"/>
            <rFont val="Tahoma"/>
            <family val="2"/>
          </rPr>
          <t>formula correct
Checked H Nourse J v Sittert</t>
        </r>
      </text>
    </comment>
    <comment ref="L35" authorId="1" shapeId="0">
      <text>
        <r>
          <rPr>
            <b/>
            <sz val="8"/>
            <color indexed="81"/>
            <rFont val="Tahoma"/>
            <family val="2"/>
          </rPr>
          <t xml:space="preserve"> MSymons:
</t>
        </r>
        <r>
          <rPr>
            <sz val="8"/>
            <color indexed="81"/>
            <rFont val="Tahoma"/>
            <family val="2"/>
          </rPr>
          <t>formula correct
Checked H Nourse J v Sittert</t>
        </r>
      </text>
    </comment>
    <comment ref="N35" authorId="1" shapeId="0">
      <text>
        <r>
          <rPr>
            <b/>
            <sz val="8"/>
            <color indexed="81"/>
            <rFont val="Tahoma"/>
            <family val="2"/>
          </rPr>
          <t xml:space="preserve"> MSymons:
</t>
        </r>
        <r>
          <rPr>
            <sz val="8"/>
            <color indexed="81"/>
            <rFont val="Tahoma"/>
            <family val="2"/>
          </rPr>
          <t>formula correct
Checked H Nourse J v Sittert</t>
        </r>
      </text>
    </comment>
    <comment ref="P35" authorId="1" shapeId="0">
      <text>
        <r>
          <rPr>
            <b/>
            <sz val="8"/>
            <color indexed="81"/>
            <rFont val="Tahoma"/>
            <family val="2"/>
          </rPr>
          <t xml:space="preserve"> MSymons:
</t>
        </r>
        <r>
          <rPr>
            <sz val="8"/>
            <color indexed="81"/>
            <rFont val="Tahoma"/>
            <family val="2"/>
          </rPr>
          <t>formula correct
Checked H Nourse J v Sittert</t>
        </r>
      </text>
    </comment>
    <comment ref="R35" authorId="1" shapeId="0">
      <text>
        <r>
          <rPr>
            <b/>
            <sz val="8"/>
            <color indexed="81"/>
            <rFont val="Tahoma"/>
            <family val="2"/>
          </rPr>
          <t xml:space="preserve"> MSymons:
</t>
        </r>
        <r>
          <rPr>
            <sz val="8"/>
            <color indexed="81"/>
            <rFont val="Tahoma"/>
            <family val="2"/>
          </rPr>
          <t>formula correct
Checked H Nourse J v Sittert</t>
        </r>
      </text>
    </comment>
    <comment ref="T35" authorId="1" shapeId="0">
      <text>
        <r>
          <rPr>
            <b/>
            <sz val="8"/>
            <color indexed="81"/>
            <rFont val="Tahoma"/>
            <family val="2"/>
          </rPr>
          <t xml:space="preserve"> MSymons:
</t>
        </r>
        <r>
          <rPr>
            <sz val="8"/>
            <color indexed="81"/>
            <rFont val="Tahoma"/>
            <family val="2"/>
          </rPr>
          <t>formula correct
Checked H Nourse J v Sittert</t>
        </r>
      </text>
    </comment>
    <comment ref="D36" authorId="0" shapeId="0">
      <text>
        <r>
          <rPr>
            <b/>
            <sz val="10"/>
            <color indexed="81"/>
            <rFont val="Tahoma"/>
            <family val="2"/>
          </rPr>
          <t xml:space="preserve"> MSymons:
</t>
        </r>
        <r>
          <rPr>
            <sz val="10"/>
            <color indexed="81"/>
            <rFont val="Tahoma"/>
            <family val="2"/>
          </rPr>
          <t>formula correct
Checked H Nourse J v Sittert</t>
        </r>
      </text>
    </comment>
    <comment ref="F36" authorId="0" shapeId="0">
      <text>
        <r>
          <rPr>
            <b/>
            <sz val="10"/>
            <color indexed="81"/>
            <rFont val="Tahoma"/>
            <family val="2"/>
          </rPr>
          <t xml:space="preserve"> MSymons:
</t>
        </r>
        <r>
          <rPr>
            <sz val="10"/>
            <color indexed="81"/>
            <rFont val="Tahoma"/>
            <family val="2"/>
          </rPr>
          <t>formula correct
Checked H Nourse J v Sittert</t>
        </r>
      </text>
    </comment>
    <comment ref="H36" authorId="0" shapeId="0">
      <text>
        <r>
          <rPr>
            <b/>
            <sz val="10"/>
            <color indexed="81"/>
            <rFont val="Tahoma"/>
            <family val="2"/>
          </rPr>
          <t xml:space="preserve"> MSymons:
</t>
        </r>
        <r>
          <rPr>
            <sz val="10"/>
            <color indexed="81"/>
            <rFont val="Tahoma"/>
            <family val="2"/>
          </rPr>
          <t>formula correct
Checked H Nourse J v Sittert</t>
        </r>
      </text>
    </comment>
    <comment ref="J36" authorId="0" shapeId="0">
      <text>
        <r>
          <rPr>
            <b/>
            <sz val="10"/>
            <color indexed="81"/>
            <rFont val="Tahoma"/>
            <family val="2"/>
          </rPr>
          <t xml:space="preserve"> MSymons:
</t>
        </r>
        <r>
          <rPr>
            <sz val="10"/>
            <color indexed="81"/>
            <rFont val="Tahoma"/>
            <family val="2"/>
          </rPr>
          <t>formula correct
Checked H Nourse J v Sittert</t>
        </r>
      </text>
    </comment>
    <comment ref="L36" authorId="0" shapeId="0">
      <text>
        <r>
          <rPr>
            <b/>
            <sz val="10"/>
            <color indexed="81"/>
            <rFont val="Tahoma"/>
            <family val="2"/>
          </rPr>
          <t xml:space="preserve"> MSymons:
</t>
        </r>
        <r>
          <rPr>
            <sz val="10"/>
            <color indexed="81"/>
            <rFont val="Tahoma"/>
            <family val="2"/>
          </rPr>
          <t>formula correct
Checked H Nourse J v Sittert</t>
        </r>
      </text>
    </comment>
    <comment ref="N36" authorId="0" shapeId="0">
      <text>
        <r>
          <rPr>
            <b/>
            <sz val="10"/>
            <color indexed="81"/>
            <rFont val="Tahoma"/>
            <family val="2"/>
          </rPr>
          <t xml:space="preserve"> MSymons:
</t>
        </r>
        <r>
          <rPr>
            <sz val="10"/>
            <color indexed="81"/>
            <rFont val="Tahoma"/>
            <family val="2"/>
          </rPr>
          <t>formula correct
Checked H Nourse J v Sittert</t>
        </r>
      </text>
    </comment>
    <comment ref="P36" authorId="0" shapeId="0">
      <text>
        <r>
          <rPr>
            <b/>
            <sz val="10"/>
            <color indexed="81"/>
            <rFont val="Tahoma"/>
            <family val="2"/>
          </rPr>
          <t xml:space="preserve"> MSymons:
</t>
        </r>
        <r>
          <rPr>
            <sz val="10"/>
            <color indexed="81"/>
            <rFont val="Tahoma"/>
            <family val="2"/>
          </rPr>
          <t>formula correct
Checked H Nourse J v Sittert</t>
        </r>
      </text>
    </comment>
    <comment ref="R36" authorId="0" shapeId="0">
      <text>
        <r>
          <rPr>
            <b/>
            <sz val="10"/>
            <color indexed="81"/>
            <rFont val="Tahoma"/>
            <family val="2"/>
          </rPr>
          <t xml:space="preserve"> MSymons:
</t>
        </r>
        <r>
          <rPr>
            <sz val="10"/>
            <color indexed="81"/>
            <rFont val="Tahoma"/>
            <family val="2"/>
          </rPr>
          <t>formula correct
Checked H Nourse J v Sittert</t>
        </r>
      </text>
    </comment>
    <comment ref="T36" authorId="0" shapeId="0">
      <text>
        <r>
          <rPr>
            <b/>
            <sz val="10"/>
            <color indexed="81"/>
            <rFont val="Tahoma"/>
            <family val="2"/>
          </rPr>
          <t xml:space="preserve"> MSymons:
</t>
        </r>
        <r>
          <rPr>
            <sz val="10"/>
            <color indexed="81"/>
            <rFont val="Tahoma"/>
            <family val="2"/>
          </rPr>
          <t>formula correct
Checked H Nourse J v Sittert</t>
        </r>
      </text>
    </comment>
    <comment ref="D37" authorId="0" shapeId="0">
      <text>
        <r>
          <rPr>
            <b/>
            <sz val="10"/>
            <color indexed="81"/>
            <rFont val="Tahoma"/>
            <family val="2"/>
          </rPr>
          <t xml:space="preserve"> MSymons:
</t>
        </r>
        <r>
          <rPr>
            <sz val="10"/>
            <color indexed="81"/>
            <rFont val="Tahoma"/>
            <family val="2"/>
          </rPr>
          <t>formula correct
Checked H Nourse J v Sittert</t>
        </r>
      </text>
    </comment>
    <comment ref="F37" authorId="0" shapeId="0">
      <text>
        <r>
          <rPr>
            <b/>
            <sz val="10"/>
            <color indexed="81"/>
            <rFont val="Tahoma"/>
            <family val="2"/>
          </rPr>
          <t xml:space="preserve"> MSymons:
</t>
        </r>
        <r>
          <rPr>
            <sz val="10"/>
            <color indexed="81"/>
            <rFont val="Tahoma"/>
            <family val="2"/>
          </rPr>
          <t>formula correct
Checked H Nourse J v Sittert</t>
        </r>
      </text>
    </comment>
    <comment ref="H37" authorId="0" shapeId="0">
      <text>
        <r>
          <rPr>
            <b/>
            <sz val="10"/>
            <color indexed="81"/>
            <rFont val="Tahoma"/>
            <family val="2"/>
          </rPr>
          <t xml:space="preserve"> MSymons:
</t>
        </r>
        <r>
          <rPr>
            <sz val="10"/>
            <color indexed="81"/>
            <rFont val="Tahoma"/>
            <family val="2"/>
          </rPr>
          <t>formula correct
Checked H Nourse J v Sittert</t>
        </r>
      </text>
    </comment>
    <comment ref="J37" authorId="0" shapeId="0">
      <text>
        <r>
          <rPr>
            <b/>
            <sz val="10"/>
            <color indexed="81"/>
            <rFont val="Tahoma"/>
            <family val="2"/>
          </rPr>
          <t xml:space="preserve"> MSymons:
</t>
        </r>
        <r>
          <rPr>
            <sz val="10"/>
            <color indexed="81"/>
            <rFont val="Tahoma"/>
            <family val="2"/>
          </rPr>
          <t>formula correct
Checked H Nourse J v Sittert</t>
        </r>
      </text>
    </comment>
    <comment ref="L37" authorId="0" shapeId="0">
      <text>
        <r>
          <rPr>
            <b/>
            <sz val="10"/>
            <color indexed="81"/>
            <rFont val="Tahoma"/>
            <family val="2"/>
          </rPr>
          <t xml:space="preserve"> MSymons:
</t>
        </r>
        <r>
          <rPr>
            <sz val="10"/>
            <color indexed="81"/>
            <rFont val="Tahoma"/>
            <family val="2"/>
          </rPr>
          <t>formula correct
Checked H Nourse J v Sittert</t>
        </r>
      </text>
    </comment>
    <comment ref="N37" authorId="0" shapeId="0">
      <text>
        <r>
          <rPr>
            <b/>
            <sz val="10"/>
            <color indexed="81"/>
            <rFont val="Tahoma"/>
            <family val="2"/>
          </rPr>
          <t xml:space="preserve"> MSymons:
</t>
        </r>
        <r>
          <rPr>
            <sz val="10"/>
            <color indexed="81"/>
            <rFont val="Tahoma"/>
            <family val="2"/>
          </rPr>
          <t>formula correct
Checked H Nourse J v Sittert</t>
        </r>
      </text>
    </comment>
    <comment ref="P37" authorId="0" shapeId="0">
      <text>
        <r>
          <rPr>
            <b/>
            <sz val="10"/>
            <color indexed="81"/>
            <rFont val="Tahoma"/>
            <family val="2"/>
          </rPr>
          <t xml:space="preserve"> MSymons:
</t>
        </r>
        <r>
          <rPr>
            <sz val="10"/>
            <color indexed="81"/>
            <rFont val="Tahoma"/>
            <family val="2"/>
          </rPr>
          <t>formula correct
Checked H Nourse J v Sittert</t>
        </r>
      </text>
    </comment>
    <comment ref="R37" authorId="0" shapeId="0">
      <text>
        <r>
          <rPr>
            <b/>
            <sz val="10"/>
            <color indexed="81"/>
            <rFont val="Tahoma"/>
            <family val="2"/>
          </rPr>
          <t xml:space="preserve"> MSymons:
</t>
        </r>
        <r>
          <rPr>
            <sz val="10"/>
            <color indexed="81"/>
            <rFont val="Tahoma"/>
            <family val="2"/>
          </rPr>
          <t>formula correct
Checked H Nourse J v Sittert</t>
        </r>
      </text>
    </comment>
    <comment ref="T37" authorId="0" shapeId="0">
      <text>
        <r>
          <rPr>
            <b/>
            <sz val="10"/>
            <color indexed="81"/>
            <rFont val="Tahoma"/>
            <family val="2"/>
          </rPr>
          <t xml:space="preserve"> MSymons:
</t>
        </r>
        <r>
          <rPr>
            <sz val="10"/>
            <color indexed="81"/>
            <rFont val="Tahoma"/>
            <family val="2"/>
          </rPr>
          <t>formula correct
Checked H Nourse J v Sittert</t>
        </r>
      </text>
    </comment>
    <comment ref="E38" authorId="1" shapeId="0">
      <text>
        <r>
          <rPr>
            <sz val="10"/>
            <color indexed="81"/>
            <rFont val="Tahoma"/>
            <family val="2"/>
          </rPr>
          <t xml:space="preserve">Heat Removal Capacity of air </t>
        </r>
        <r>
          <rPr>
            <b/>
            <sz val="10"/>
            <color indexed="17"/>
            <rFont val="Tahoma"/>
            <family val="2"/>
          </rPr>
          <t xml:space="preserve"> (WITH BAC Operating)</t>
        </r>
        <r>
          <rPr>
            <sz val="10"/>
            <color indexed="81"/>
            <rFont val="Tahoma"/>
            <family val="2"/>
          </rPr>
          <t xml:space="preserve">
</t>
        </r>
        <r>
          <rPr>
            <b/>
            <sz val="10"/>
            <color indexed="81"/>
            <rFont val="Tahoma"/>
            <family val="2"/>
          </rPr>
          <t>=(Design Reject -26)x(-0.00125xDepth below surface+15.25)/3-0.01775xDepth below surface+58.25</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 xml:space="preserve">Formula correct </t>
        </r>
        <r>
          <rPr>
            <sz val="10"/>
            <color indexed="10"/>
            <rFont val="Tahoma"/>
            <family val="2"/>
          </rPr>
          <t>5 Nov 2010</t>
        </r>
        <r>
          <rPr>
            <b/>
            <sz val="10"/>
            <color indexed="81"/>
            <rFont val="Tahoma"/>
            <family val="2"/>
          </rPr>
          <t xml:space="preserve">
MSymons:
</t>
        </r>
        <r>
          <rPr>
            <sz val="10"/>
            <color indexed="81"/>
            <rFont val="Tahoma"/>
            <family val="2"/>
          </rPr>
          <t xml:space="preserve">formula correct
Checked J v Sittert
</t>
        </r>
      </text>
    </comment>
    <comment ref="G38" authorId="1" shapeId="0">
      <text>
        <r>
          <rPr>
            <sz val="10"/>
            <color indexed="81"/>
            <rFont val="Tahoma"/>
            <family val="2"/>
          </rPr>
          <t xml:space="preserve">Heat Removal Capacity of air </t>
        </r>
        <r>
          <rPr>
            <b/>
            <sz val="10"/>
            <color indexed="17"/>
            <rFont val="Tahoma"/>
            <family val="2"/>
          </rPr>
          <t xml:space="preserve"> (WITH BAC Operating)</t>
        </r>
        <r>
          <rPr>
            <sz val="10"/>
            <color indexed="81"/>
            <rFont val="Tahoma"/>
            <family val="2"/>
          </rPr>
          <t xml:space="preserve">
</t>
        </r>
        <r>
          <rPr>
            <b/>
            <sz val="10"/>
            <color indexed="81"/>
            <rFont val="Tahoma"/>
            <family val="2"/>
          </rPr>
          <t>=(Design Reject -26)x(-0.00125xDepth below surface+15.25)/3-0.01775xDepth below surface+58.25</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 xml:space="preserve">Formula correct </t>
        </r>
        <r>
          <rPr>
            <sz val="10"/>
            <color indexed="10"/>
            <rFont val="Tahoma"/>
            <family val="2"/>
          </rPr>
          <t>5 Nov 2010</t>
        </r>
        <r>
          <rPr>
            <b/>
            <sz val="10"/>
            <color indexed="81"/>
            <rFont val="Tahoma"/>
            <family val="2"/>
          </rPr>
          <t xml:space="preserve">
MSymons:
</t>
        </r>
        <r>
          <rPr>
            <sz val="10"/>
            <color indexed="81"/>
            <rFont val="Tahoma"/>
            <family val="2"/>
          </rPr>
          <t xml:space="preserve">formula correct
Checked J v Sittert
</t>
        </r>
      </text>
    </comment>
    <comment ref="I38" authorId="1" shapeId="0">
      <text>
        <r>
          <rPr>
            <sz val="10"/>
            <color indexed="81"/>
            <rFont val="Tahoma"/>
            <family val="2"/>
          </rPr>
          <t xml:space="preserve">Heat Removal Capacity of air </t>
        </r>
        <r>
          <rPr>
            <b/>
            <sz val="10"/>
            <color indexed="17"/>
            <rFont val="Tahoma"/>
            <family val="2"/>
          </rPr>
          <t xml:space="preserve"> (WITH BAC Operating)</t>
        </r>
        <r>
          <rPr>
            <sz val="10"/>
            <color indexed="81"/>
            <rFont val="Tahoma"/>
            <family val="2"/>
          </rPr>
          <t xml:space="preserve">
</t>
        </r>
        <r>
          <rPr>
            <b/>
            <sz val="10"/>
            <color indexed="81"/>
            <rFont val="Tahoma"/>
            <family val="2"/>
          </rPr>
          <t>=(Design Reject -26)x(-0.00125xDepth below surface+15.25)/3-0.01775xDepth below surface+58.25</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 xml:space="preserve">Formula correct </t>
        </r>
        <r>
          <rPr>
            <sz val="10"/>
            <color indexed="10"/>
            <rFont val="Tahoma"/>
            <family val="2"/>
          </rPr>
          <t>5 Nov 2010</t>
        </r>
        <r>
          <rPr>
            <b/>
            <sz val="10"/>
            <color indexed="81"/>
            <rFont val="Tahoma"/>
            <family val="2"/>
          </rPr>
          <t xml:space="preserve">
MSymons:
</t>
        </r>
        <r>
          <rPr>
            <sz val="10"/>
            <color indexed="81"/>
            <rFont val="Tahoma"/>
            <family val="2"/>
          </rPr>
          <t xml:space="preserve">formula correct
Checked J v Sittert
</t>
        </r>
      </text>
    </comment>
    <comment ref="K38" authorId="1" shapeId="0">
      <text>
        <r>
          <rPr>
            <sz val="10"/>
            <color indexed="81"/>
            <rFont val="Tahoma"/>
            <family val="2"/>
          </rPr>
          <t xml:space="preserve">Heat Removal Capacity of air </t>
        </r>
        <r>
          <rPr>
            <b/>
            <sz val="10"/>
            <color indexed="17"/>
            <rFont val="Tahoma"/>
            <family val="2"/>
          </rPr>
          <t xml:space="preserve"> (WITH BAC Operating)</t>
        </r>
        <r>
          <rPr>
            <sz val="10"/>
            <color indexed="81"/>
            <rFont val="Tahoma"/>
            <family val="2"/>
          </rPr>
          <t xml:space="preserve">
</t>
        </r>
        <r>
          <rPr>
            <b/>
            <sz val="10"/>
            <color indexed="81"/>
            <rFont val="Tahoma"/>
            <family val="2"/>
          </rPr>
          <t>=(Design Reject -26)x(-0.00125xDepth below surface+15.25)/3-0.01775xDepth below surface+58.25</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 xml:space="preserve">Formula correct </t>
        </r>
        <r>
          <rPr>
            <sz val="10"/>
            <color indexed="10"/>
            <rFont val="Tahoma"/>
            <family val="2"/>
          </rPr>
          <t>5 Nov 2010</t>
        </r>
        <r>
          <rPr>
            <b/>
            <sz val="10"/>
            <color indexed="81"/>
            <rFont val="Tahoma"/>
            <family val="2"/>
          </rPr>
          <t xml:space="preserve">
MSymons:
</t>
        </r>
        <r>
          <rPr>
            <sz val="10"/>
            <color indexed="81"/>
            <rFont val="Tahoma"/>
            <family val="2"/>
          </rPr>
          <t xml:space="preserve">formula correct
Checked J v Sittert
</t>
        </r>
      </text>
    </comment>
    <comment ref="M38" authorId="1" shapeId="0">
      <text>
        <r>
          <rPr>
            <sz val="10"/>
            <color indexed="81"/>
            <rFont val="Tahoma"/>
            <family val="2"/>
          </rPr>
          <t xml:space="preserve">Heat Removal Capacity of air </t>
        </r>
        <r>
          <rPr>
            <b/>
            <sz val="10"/>
            <color indexed="17"/>
            <rFont val="Tahoma"/>
            <family val="2"/>
          </rPr>
          <t xml:space="preserve"> (WITH BAC Operating)</t>
        </r>
        <r>
          <rPr>
            <sz val="10"/>
            <color indexed="81"/>
            <rFont val="Tahoma"/>
            <family val="2"/>
          </rPr>
          <t xml:space="preserve">
</t>
        </r>
        <r>
          <rPr>
            <b/>
            <sz val="10"/>
            <color indexed="81"/>
            <rFont val="Tahoma"/>
            <family val="2"/>
          </rPr>
          <t>=(Design Reject -26)x(-0.00125xDepth below surface+15.25)/3-0.01775xDepth below surface+58.25</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 xml:space="preserve">Formula correct </t>
        </r>
        <r>
          <rPr>
            <sz val="10"/>
            <color indexed="10"/>
            <rFont val="Tahoma"/>
            <family val="2"/>
          </rPr>
          <t>5 Nov 2010</t>
        </r>
        <r>
          <rPr>
            <b/>
            <sz val="10"/>
            <color indexed="81"/>
            <rFont val="Tahoma"/>
            <family val="2"/>
          </rPr>
          <t xml:space="preserve">
MSymons:
</t>
        </r>
        <r>
          <rPr>
            <sz val="10"/>
            <color indexed="81"/>
            <rFont val="Tahoma"/>
            <family val="2"/>
          </rPr>
          <t xml:space="preserve">formula correct
Checked J v Sittert
</t>
        </r>
      </text>
    </comment>
    <comment ref="O38" authorId="1" shapeId="0">
      <text>
        <r>
          <rPr>
            <sz val="10"/>
            <color indexed="81"/>
            <rFont val="Tahoma"/>
            <family val="2"/>
          </rPr>
          <t xml:space="preserve">Heat Removal Capacity of air </t>
        </r>
        <r>
          <rPr>
            <b/>
            <sz val="10"/>
            <color indexed="17"/>
            <rFont val="Tahoma"/>
            <family val="2"/>
          </rPr>
          <t xml:space="preserve"> (WITH BAC Operating)</t>
        </r>
        <r>
          <rPr>
            <sz val="10"/>
            <color indexed="81"/>
            <rFont val="Tahoma"/>
            <family val="2"/>
          </rPr>
          <t xml:space="preserve">
</t>
        </r>
        <r>
          <rPr>
            <b/>
            <sz val="10"/>
            <color indexed="81"/>
            <rFont val="Tahoma"/>
            <family val="2"/>
          </rPr>
          <t>=(Design Reject -26)x(-0.00125xDepth below surface+15.25)/3-0.01775xDepth below surface+58.25</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 xml:space="preserve">Formula correct </t>
        </r>
        <r>
          <rPr>
            <sz val="10"/>
            <color indexed="10"/>
            <rFont val="Tahoma"/>
            <family val="2"/>
          </rPr>
          <t>5 Nov 2010</t>
        </r>
        <r>
          <rPr>
            <b/>
            <sz val="10"/>
            <color indexed="81"/>
            <rFont val="Tahoma"/>
            <family val="2"/>
          </rPr>
          <t xml:space="preserve">
MSymons:
</t>
        </r>
        <r>
          <rPr>
            <sz val="10"/>
            <color indexed="81"/>
            <rFont val="Tahoma"/>
            <family val="2"/>
          </rPr>
          <t xml:space="preserve">formula correct
Checked J v Sittert
</t>
        </r>
      </text>
    </comment>
    <comment ref="Q38" authorId="1" shapeId="0">
      <text>
        <r>
          <rPr>
            <sz val="10"/>
            <color indexed="81"/>
            <rFont val="Tahoma"/>
            <family val="2"/>
          </rPr>
          <t xml:space="preserve">Heat Removal Capacity of air </t>
        </r>
        <r>
          <rPr>
            <b/>
            <sz val="10"/>
            <color indexed="17"/>
            <rFont val="Tahoma"/>
            <family val="2"/>
          </rPr>
          <t xml:space="preserve"> (WITH BAC Operating)</t>
        </r>
        <r>
          <rPr>
            <sz val="10"/>
            <color indexed="81"/>
            <rFont val="Tahoma"/>
            <family val="2"/>
          </rPr>
          <t xml:space="preserve">
</t>
        </r>
        <r>
          <rPr>
            <b/>
            <sz val="10"/>
            <color indexed="81"/>
            <rFont val="Tahoma"/>
            <family val="2"/>
          </rPr>
          <t>=(Design Reject -26)x(-0.00125xDepth below surface+15.25)/3-0.01775xDepth below surface+58.25</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 xml:space="preserve">Formula correct </t>
        </r>
        <r>
          <rPr>
            <sz val="10"/>
            <color indexed="10"/>
            <rFont val="Tahoma"/>
            <family val="2"/>
          </rPr>
          <t>5 Nov 2010</t>
        </r>
        <r>
          <rPr>
            <b/>
            <sz val="10"/>
            <color indexed="81"/>
            <rFont val="Tahoma"/>
            <family val="2"/>
          </rPr>
          <t xml:space="preserve">
MSymons:
</t>
        </r>
        <r>
          <rPr>
            <sz val="10"/>
            <color indexed="81"/>
            <rFont val="Tahoma"/>
            <family val="2"/>
          </rPr>
          <t xml:space="preserve">formula correct
Checked J v Sittert
</t>
        </r>
      </text>
    </comment>
    <comment ref="S38" authorId="1" shapeId="0">
      <text>
        <r>
          <rPr>
            <sz val="10"/>
            <color indexed="81"/>
            <rFont val="Tahoma"/>
            <family val="2"/>
          </rPr>
          <t xml:space="preserve">Heat Removal Capacity of air </t>
        </r>
        <r>
          <rPr>
            <b/>
            <sz val="10"/>
            <color indexed="17"/>
            <rFont val="Tahoma"/>
            <family val="2"/>
          </rPr>
          <t xml:space="preserve"> (WITH BAC Operating)</t>
        </r>
        <r>
          <rPr>
            <sz val="10"/>
            <color indexed="81"/>
            <rFont val="Tahoma"/>
            <family val="2"/>
          </rPr>
          <t xml:space="preserve">
</t>
        </r>
        <r>
          <rPr>
            <b/>
            <sz val="10"/>
            <color indexed="81"/>
            <rFont val="Tahoma"/>
            <family val="2"/>
          </rPr>
          <t>=(Design Reject -26)x(-0.00125xDepth below surface+15.25)/3-0.01775xDepth below surface+58.25</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 xml:space="preserve">Formula correct </t>
        </r>
        <r>
          <rPr>
            <sz val="10"/>
            <color indexed="10"/>
            <rFont val="Tahoma"/>
            <family val="2"/>
          </rPr>
          <t>5 Nov 2010</t>
        </r>
        <r>
          <rPr>
            <b/>
            <sz val="10"/>
            <color indexed="81"/>
            <rFont val="Tahoma"/>
            <family val="2"/>
          </rPr>
          <t xml:space="preserve">
MSymons:
</t>
        </r>
        <r>
          <rPr>
            <sz val="10"/>
            <color indexed="81"/>
            <rFont val="Tahoma"/>
            <family val="2"/>
          </rPr>
          <t xml:space="preserve">formula correct
Checked J v Sittert
</t>
        </r>
      </text>
    </comment>
    <comment ref="U38" authorId="1" shapeId="0">
      <text>
        <r>
          <rPr>
            <sz val="10"/>
            <color indexed="81"/>
            <rFont val="Tahoma"/>
            <family val="2"/>
          </rPr>
          <t xml:space="preserve">Heat Removal Capacity of air </t>
        </r>
        <r>
          <rPr>
            <b/>
            <sz val="10"/>
            <color indexed="17"/>
            <rFont val="Tahoma"/>
            <family val="2"/>
          </rPr>
          <t xml:space="preserve"> (WITH BAC Operating)</t>
        </r>
        <r>
          <rPr>
            <sz val="10"/>
            <color indexed="81"/>
            <rFont val="Tahoma"/>
            <family val="2"/>
          </rPr>
          <t xml:space="preserve">
</t>
        </r>
        <r>
          <rPr>
            <b/>
            <sz val="10"/>
            <color indexed="81"/>
            <rFont val="Tahoma"/>
            <family val="2"/>
          </rPr>
          <t>=(Design Reject -26)x(-0.00125xDepth below surface+15.25)/3-0.01775xDepth below surface+58.25</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 xml:space="preserve">Formula correct </t>
        </r>
        <r>
          <rPr>
            <sz val="10"/>
            <color indexed="10"/>
            <rFont val="Tahoma"/>
            <family val="2"/>
          </rPr>
          <t>5 Nov 2010</t>
        </r>
        <r>
          <rPr>
            <b/>
            <sz val="10"/>
            <color indexed="81"/>
            <rFont val="Tahoma"/>
            <family val="2"/>
          </rPr>
          <t xml:space="preserve">
MSymons:
</t>
        </r>
        <r>
          <rPr>
            <sz val="10"/>
            <color indexed="81"/>
            <rFont val="Tahoma"/>
            <family val="2"/>
          </rPr>
          <t xml:space="preserve">formula correct
Checked J v Sittert
</t>
        </r>
      </text>
    </comment>
    <comment ref="E39" authorId="1" shapeId="0">
      <text>
        <r>
          <rPr>
            <sz val="10"/>
            <color indexed="81"/>
            <rFont val="Tahoma"/>
            <family val="2"/>
          </rPr>
          <t>Heat Removal Capacity of air</t>
        </r>
        <r>
          <rPr>
            <b/>
            <sz val="10"/>
            <color indexed="10"/>
            <rFont val="Tahoma"/>
            <family val="2"/>
          </rPr>
          <t xml:space="preserve"> (WITHOUT BAC Operating)</t>
        </r>
        <r>
          <rPr>
            <sz val="10"/>
            <color indexed="81"/>
            <rFont val="Tahoma"/>
            <family val="2"/>
          </rPr>
          <t xml:space="preserve">
</t>
        </r>
        <r>
          <rPr>
            <b/>
            <sz val="10"/>
            <color indexed="81"/>
            <rFont val="Tahoma"/>
            <family val="2"/>
          </rPr>
          <t xml:space="preserve">=(Design Reject -26)x(-0.0026xDepth below surface+20.1)/3-0.015xDepth below surface+30 </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Formula correct</t>
        </r>
        <r>
          <rPr>
            <sz val="10"/>
            <color indexed="10"/>
            <rFont val="Tahoma"/>
            <family val="2"/>
          </rPr>
          <t xml:space="preserve"> 8 Nov 2010</t>
        </r>
        <r>
          <rPr>
            <b/>
            <sz val="10"/>
            <color indexed="81"/>
            <rFont val="Tahoma"/>
            <family val="2"/>
          </rPr>
          <t xml:space="preserve">
MSymons:
</t>
        </r>
        <r>
          <rPr>
            <sz val="10"/>
            <color indexed="81"/>
            <rFont val="Tahoma"/>
            <family val="2"/>
          </rPr>
          <t xml:space="preserve">formula correct
Checked J v Sittert
</t>
        </r>
      </text>
    </comment>
    <comment ref="G39" authorId="1" shapeId="0">
      <text>
        <r>
          <rPr>
            <sz val="10"/>
            <color indexed="81"/>
            <rFont val="Tahoma"/>
            <family val="2"/>
          </rPr>
          <t>Heat Removal Capacity of air</t>
        </r>
        <r>
          <rPr>
            <b/>
            <sz val="10"/>
            <color indexed="10"/>
            <rFont val="Tahoma"/>
            <family val="2"/>
          </rPr>
          <t xml:space="preserve"> (WITHOUT BAC Operating)</t>
        </r>
        <r>
          <rPr>
            <sz val="10"/>
            <color indexed="81"/>
            <rFont val="Tahoma"/>
            <family val="2"/>
          </rPr>
          <t xml:space="preserve">
</t>
        </r>
        <r>
          <rPr>
            <b/>
            <sz val="10"/>
            <color indexed="81"/>
            <rFont val="Tahoma"/>
            <family val="2"/>
          </rPr>
          <t xml:space="preserve">=(Design Reject -26)x(-0.0026xDepth below surface+20.1)/3-0.015xDepth below surface+30 </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Formula correct</t>
        </r>
        <r>
          <rPr>
            <sz val="10"/>
            <color indexed="10"/>
            <rFont val="Tahoma"/>
            <family val="2"/>
          </rPr>
          <t xml:space="preserve"> 8 Nov 2010</t>
        </r>
        <r>
          <rPr>
            <b/>
            <sz val="10"/>
            <color indexed="81"/>
            <rFont val="Tahoma"/>
            <family val="2"/>
          </rPr>
          <t xml:space="preserve">
MSymons:
</t>
        </r>
        <r>
          <rPr>
            <sz val="10"/>
            <color indexed="81"/>
            <rFont val="Tahoma"/>
            <family val="2"/>
          </rPr>
          <t xml:space="preserve">formula correct
Checked J v Sittert
</t>
        </r>
      </text>
    </comment>
    <comment ref="I39" authorId="1" shapeId="0">
      <text>
        <r>
          <rPr>
            <sz val="10"/>
            <color indexed="81"/>
            <rFont val="Tahoma"/>
            <family val="2"/>
          </rPr>
          <t>Heat Removal Capacity of air</t>
        </r>
        <r>
          <rPr>
            <b/>
            <sz val="10"/>
            <color indexed="10"/>
            <rFont val="Tahoma"/>
            <family val="2"/>
          </rPr>
          <t xml:space="preserve"> (WITHOUT BAC Operating)</t>
        </r>
        <r>
          <rPr>
            <sz val="10"/>
            <color indexed="81"/>
            <rFont val="Tahoma"/>
            <family val="2"/>
          </rPr>
          <t xml:space="preserve">
</t>
        </r>
        <r>
          <rPr>
            <b/>
            <sz val="10"/>
            <color indexed="81"/>
            <rFont val="Tahoma"/>
            <family val="2"/>
          </rPr>
          <t xml:space="preserve">=(Design Reject -26)x(-0.0026xDepth below surface+20.1)/3-0.015xDepth below surface+30 </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Formula correct</t>
        </r>
        <r>
          <rPr>
            <sz val="10"/>
            <color indexed="10"/>
            <rFont val="Tahoma"/>
            <family val="2"/>
          </rPr>
          <t xml:space="preserve"> 8 Nov 2010</t>
        </r>
        <r>
          <rPr>
            <b/>
            <sz val="10"/>
            <color indexed="81"/>
            <rFont val="Tahoma"/>
            <family val="2"/>
          </rPr>
          <t xml:space="preserve">
MSymons:
</t>
        </r>
        <r>
          <rPr>
            <sz val="10"/>
            <color indexed="81"/>
            <rFont val="Tahoma"/>
            <family val="2"/>
          </rPr>
          <t xml:space="preserve">formula correct
Checked J v Sittert
</t>
        </r>
      </text>
    </comment>
    <comment ref="K39" authorId="1" shapeId="0">
      <text>
        <r>
          <rPr>
            <sz val="10"/>
            <color indexed="81"/>
            <rFont val="Tahoma"/>
            <family val="2"/>
          </rPr>
          <t>Heat Removal Capacity of air</t>
        </r>
        <r>
          <rPr>
            <b/>
            <sz val="10"/>
            <color indexed="10"/>
            <rFont val="Tahoma"/>
            <family val="2"/>
          </rPr>
          <t xml:space="preserve"> (WITHOUT BAC Operating)</t>
        </r>
        <r>
          <rPr>
            <sz val="10"/>
            <color indexed="81"/>
            <rFont val="Tahoma"/>
            <family val="2"/>
          </rPr>
          <t xml:space="preserve">
</t>
        </r>
        <r>
          <rPr>
            <b/>
            <sz val="10"/>
            <color indexed="81"/>
            <rFont val="Tahoma"/>
            <family val="2"/>
          </rPr>
          <t xml:space="preserve">=(Design Reject -26)x(-0.0026xDepth below surface+20.1)/3-0.015xDepth below surface+30 </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Formula correct</t>
        </r>
        <r>
          <rPr>
            <sz val="10"/>
            <color indexed="10"/>
            <rFont val="Tahoma"/>
            <family val="2"/>
          </rPr>
          <t xml:space="preserve"> 8 Nov 2010</t>
        </r>
        <r>
          <rPr>
            <b/>
            <sz val="10"/>
            <color indexed="81"/>
            <rFont val="Tahoma"/>
            <family val="2"/>
          </rPr>
          <t xml:space="preserve">
MSymons:
</t>
        </r>
        <r>
          <rPr>
            <sz val="10"/>
            <color indexed="81"/>
            <rFont val="Tahoma"/>
            <family val="2"/>
          </rPr>
          <t xml:space="preserve">formula correct
Checked J v Sittert
</t>
        </r>
      </text>
    </comment>
    <comment ref="M39" authorId="1" shapeId="0">
      <text>
        <r>
          <rPr>
            <sz val="10"/>
            <color indexed="81"/>
            <rFont val="Tahoma"/>
            <family val="2"/>
          </rPr>
          <t>Heat Removal Capacity of air</t>
        </r>
        <r>
          <rPr>
            <b/>
            <sz val="10"/>
            <color indexed="10"/>
            <rFont val="Tahoma"/>
            <family val="2"/>
          </rPr>
          <t xml:space="preserve"> (WITHOUT BAC Operating)</t>
        </r>
        <r>
          <rPr>
            <sz val="10"/>
            <color indexed="81"/>
            <rFont val="Tahoma"/>
            <family val="2"/>
          </rPr>
          <t xml:space="preserve">
</t>
        </r>
        <r>
          <rPr>
            <b/>
            <sz val="10"/>
            <color indexed="81"/>
            <rFont val="Tahoma"/>
            <family val="2"/>
          </rPr>
          <t xml:space="preserve">=(Design Reject -26)x(-0.0026xDepth below surface+20.1)/3-0.015xDepth below surface+30 </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Formula correct</t>
        </r>
        <r>
          <rPr>
            <sz val="10"/>
            <color indexed="10"/>
            <rFont val="Tahoma"/>
            <family val="2"/>
          </rPr>
          <t xml:space="preserve"> 8 Nov 2010</t>
        </r>
        <r>
          <rPr>
            <b/>
            <sz val="10"/>
            <color indexed="81"/>
            <rFont val="Tahoma"/>
            <family val="2"/>
          </rPr>
          <t xml:space="preserve">
MSymons:
</t>
        </r>
        <r>
          <rPr>
            <sz val="10"/>
            <color indexed="81"/>
            <rFont val="Tahoma"/>
            <family val="2"/>
          </rPr>
          <t xml:space="preserve">formula correct
Checked J v Sittert
</t>
        </r>
      </text>
    </comment>
    <comment ref="O39" authorId="1" shapeId="0">
      <text>
        <r>
          <rPr>
            <sz val="10"/>
            <color indexed="81"/>
            <rFont val="Tahoma"/>
            <family val="2"/>
          </rPr>
          <t>Heat Removal Capacity of air</t>
        </r>
        <r>
          <rPr>
            <b/>
            <sz val="10"/>
            <color indexed="10"/>
            <rFont val="Tahoma"/>
            <family val="2"/>
          </rPr>
          <t xml:space="preserve"> (WITHOUT BAC Operating)</t>
        </r>
        <r>
          <rPr>
            <sz val="10"/>
            <color indexed="81"/>
            <rFont val="Tahoma"/>
            <family val="2"/>
          </rPr>
          <t xml:space="preserve">
</t>
        </r>
        <r>
          <rPr>
            <b/>
            <sz val="10"/>
            <color indexed="81"/>
            <rFont val="Tahoma"/>
            <family val="2"/>
          </rPr>
          <t xml:space="preserve">=(Design Reject -26)x(-0.0026xDepth below surface+20.1)/3-0.015xDepth below surface+30 </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Formula correct</t>
        </r>
        <r>
          <rPr>
            <sz val="10"/>
            <color indexed="10"/>
            <rFont val="Tahoma"/>
            <family val="2"/>
          </rPr>
          <t xml:space="preserve"> 8 Nov 2010</t>
        </r>
        <r>
          <rPr>
            <b/>
            <sz val="10"/>
            <color indexed="81"/>
            <rFont val="Tahoma"/>
            <family val="2"/>
          </rPr>
          <t xml:space="preserve">
MSymons:
</t>
        </r>
        <r>
          <rPr>
            <sz val="10"/>
            <color indexed="81"/>
            <rFont val="Tahoma"/>
            <family val="2"/>
          </rPr>
          <t xml:space="preserve">formula correct
Checked J v Sittert
</t>
        </r>
      </text>
    </comment>
    <comment ref="Q39" authorId="1" shapeId="0">
      <text>
        <r>
          <rPr>
            <sz val="10"/>
            <color indexed="81"/>
            <rFont val="Tahoma"/>
            <family val="2"/>
          </rPr>
          <t>Heat Removal Capacity of air</t>
        </r>
        <r>
          <rPr>
            <b/>
            <sz val="10"/>
            <color indexed="10"/>
            <rFont val="Tahoma"/>
            <family val="2"/>
          </rPr>
          <t xml:space="preserve"> (WITHOUT BAC Operating)</t>
        </r>
        <r>
          <rPr>
            <sz val="10"/>
            <color indexed="81"/>
            <rFont val="Tahoma"/>
            <family val="2"/>
          </rPr>
          <t xml:space="preserve">
</t>
        </r>
        <r>
          <rPr>
            <b/>
            <sz val="10"/>
            <color indexed="81"/>
            <rFont val="Tahoma"/>
            <family val="2"/>
          </rPr>
          <t xml:space="preserve">=(Design Reject -26)x(-0.0026xDepth below surface+20.1)/3-0.015xDepth below surface+30 </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Formula correct</t>
        </r>
        <r>
          <rPr>
            <sz val="10"/>
            <color indexed="10"/>
            <rFont val="Tahoma"/>
            <family val="2"/>
          </rPr>
          <t xml:space="preserve"> 8 Nov 2010</t>
        </r>
        <r>
          <rPr>
            <b/>
            <sz val="10"/>
            <color indexed="81"/>
            <rFont val="Tahoma"/>
            <family val="2"/>
          </rPr>
          <t xml:space="preserve">
MSymons:
</t>
        </r>
        <r>
          <rPr>
            <sz val="10"/>
            <color indexed="81"/>
            <rFont val="Tahoma"/>
            <family val="2"/>
          </rPr>
          <t xml:space="preserve">formula correct
Checked J v Sittert
</t>
        </r>
      </text>
    </comment>
    <comment ref="S39" authorId="1" shapeId="0">
      <text>
        <r>
          <rPr>
            <sz val="10"/>
            <color indexed="81"/>
            <rFont val="Tahoma"/>
            <family val="2"/>
          </rPr>
          <t>Heat Removal Capacity of air</t>
        </r>
        <r>
          <rPr>
            <b/>
            <sz val="10"/>
            <color indexed="10"/>
            <rFont val="Tahoma"/>
            <family val="2"/>
          </rPr>
          <t xml:space="preserve"> (WITHOUT BAC Operating)</t>
        </r>
        <r>
          <rPr>
            <sz val="10"/>
            <color indexed="81"/>
            <rFont val="Tahoma"/>
            <family val="2"/>
          </rPr>
          <t xml:space="preserve">
</t>
        </r>
        <r>
          <rPr>
            <b/>
            <sz val="10"/>
            <color indexed="81"/>
            <rFont val="Tahoma"/>
            <family val="2"/>
          </rPr>
          <t xml:space="preserve">=(Design Reject -26)x(-0.0026xDepth below surface+20.1)/3-0.015xDepth below surface+30 </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Formula correct</t>
        </r>
        <r>
          <rPr>
            <sz val="10"/>
            <color indexed="10"/>
            <rFont val="Tahoma"/>
            <family val="2"/>
          </rPr>
          <t xml:space="preserve"> 8 Nov 2010</t>
        </r>
        <r>
          <rPr>
            <b/>
            <sz val="10"/>
            <color indexed="81"/>
            <rFont val="Tahoma"/>
            <family val="2"/>
          </rPr>
          <t xml:space="preserve">
MSymons:
</t>
        </r>
        <r>
          <rPr>
            <sz val="10"/>
            <color indexed="81"/>
            <rFont val="Tahoma"/>
            <family val="2"/>
          </rPr>
          <t xml:space="preserve">formula correct
Checked J v Sittert
</t>
        </r>
      </text>
    </comment>
    <comment ref="U39" authorId="1" shapeId="0">
      <text>
        <r>
          <rPr>
            <sz val="10"/>
            <color indexed="81"/>
            <rFont val="Tahoma"/>
            <family val="2"/>
          </rPr>
          <t>Heat Removal Capacity of air</t>
        </r>
        <r>
          <rPr>
            <b/>
            <sz val="10"/>
            <color indexed="10"/>
            <rFont val="Tahoma"/>
            <family val="2"/>
          </rPr>
          <t xml:space="preserve"> (WITHOUT BAC Operating)</t>
        </r>
        <r>
          <rPr>
            <sz val="10"/>
            <color indexed="81"/>
            <rFont val="Tahoma"/>
            <family val="2"/>
          </rPr>
          <t xml:space="preserve">
</t>
        </r>
        <r>
          <rPr>
            <b/>
            <sz val="10"/>
            <color indexed="81"/>
            <rFont val="Tahoma"/>
            <family val="2"/>
          </rPr>
          <t xml:space="preserve">=(Design Reject -26)x(-0.0026xDepth below surface+20.1)/3-0.015xDepth below surface+30 </t>
        </r>
        <r>
          <rPr>
            <sz val="10"/>
            <color indexed="81"/>
            <rFont val="Tahoma"/>
            <family val="2"/>
          </rPr>
          <t xml:space="preserve">
Manupulated from Heat Removal Graph "y=mx+c" </t>
        </r>
        <r>
          <rPr>
            <b/>
            <sz val="10"/>
            <color indexed="81"/>
            <rFont val="Tahoma"/>
            <family val="2"/>
          </rPr>
          <t xml:space="preserve"> 
</t>
        </r>
        <r>
          <rPr>
            <sz val="10"/>
            <color indexed="81"/>
            <rFont val="Tahoma"/>
            <family val="2"/>
          </rPr>
          <t>Formula correct</t>
        </r>
        <r>
          <rPr>
            <sz val="10"/>
            <color indexed="10"/>
            <rFont val="Tahoma"/>
            <family val="2"/>
          </rPr>
          <t xml:space="preserve"> 8 Nov 2010</t>
        </r>
        <r>
          <rPr>
            <b/>
            <sz val="10"/>
            <color indexed="81"/>
            <rFont val="Tahoma"/>
            <family val="2"/>
          </rPr>
          <t xml:space="preserve">
MSymons:
</t>
        </r>
        <r>
          <rPr>
            <sz val="10"/>
            <color indexed="81"/>
            <rFont val="Tahoma"/>
            <family val="2"/>
          </rPr>
          <t xml:space="preserve">formula correct
Checked J v Sittert
</t>
        </r>
      </text>
    </comment>
    <comment ref="D40" authorId="1" shapeId="0">
      <text>
        <r>
          <rPr>
            <b/>
            <sz val="8"/>
            <color indexed="81"/>
            <rFont val="Tahoma"/>
            <family val="2"/>
          </rPr>
          <t xml:space="preserve">Formula correct
</t>
        </r>
        <r>
          <rPr>
            <sz val="8"/>
            <color indexed="81"/>
            <rFont val="Tahoma"/>
            <family val="2"/>
          </rPr>
          <t xml:space="preserve">Checked H Nourse J v Sittert
</t>
        </r>
      </text>
    </comment>
    <comment ref="E40" authorId="1" shapeId="0">
      <text>
        <r>
          <rPr>
            <b/>
            <sz val="8"/>
            <color indexed="81"/>
            <rFont val="Tahoma"/>
            <family val="2"/>
          </rPr>
          <t>To get to 1000 / sec</t>
        </r>
        <r>
          <rPr>
            <sz val="8"/>
            <color indexed="81"/>
            <rFont val="Tahoma"/>
            <family val="2"/>
          </rPr>
          <t xml:space="preserve">
per 24 shifts</t>
        </r>
      </text>
    </comment>
    <comment ref="F40" authorId="1" shapeId="0">
      <text>
        <r>
          <rPr>
            <b/>
            <sz val="8"/>
            <color indexed="81"/>
            <rFont val="Tahoma"/>
            <family val="2"/>
          </rPr>
          <t xml:space="preserve">Formula correct
</t>
        </r>
        <r>
          <rPr>
            <sz val="8"/>
            <color indexed="81"/>
            <rFont val="Tahoma"/>
            <family val="2"/>
          </rPr>
          <t xml:space="preserve">Checked H Nourse J v Sittert
</t>
        </r>
      </text>
    </comment>
    <comment ref="G40" authorId="1" shapeId="0">
      <text>
        <r>
          <rPr>
            <b/>
            <sz val="8"/>
            <color indexed="81"/>
            <rFont val="Tahoma"/>
            <family val="2"/>
          </rPr>
          <t>To get to 1000 / sec</t>
        </r>
        <r>
          <rPr>
            <sz val="8"/>
            <color indexed="81"/>
            <rFont val="Tahoma"/>
            <family val="2"/>
          </rPr>
          <t xml:space="preserve">
per 24 shifts</t>
        </r>
      </text>
    </comment>
    <comment ref="H40" authorId="1" shapeId="0">
      <text>
        <r>
          <rPr>
            <b/>
            <sz val="8"/>
            <color indexed="81"/>
            <rFont val="Tahoma"/>
            <family val="2"/>
          </rPr>
          <t xml:space="preserve">Formula correct
</t>
        </r>
        <r>
          <rPr>
            <sz val="8"/>
            <color indexed="81"/>
            <rFont val="Tahoma"/>
            <family val="2"/>
          </rPr>
          <t xml:space="preserve">Checked H Nourse J v Sittert
</t>
        </r>
      </text>
    </comment>
    <comment ref="I40" authorId="1" shapeId="0">
      <text>
        <r>
          <rPr>
            <b/>
            <sz val="8"/>
            <color indexed="81"/>
            <rFont val="Tahoma"/>
            <family val="2"/>
          </rPr>
          <t>To get to 1000 / sec</t>
        </r>
        <r>
          <rPr>
            <sz val="8"/>
            <color indexed="81"/>
            <rFont val="Tahoma"/>
            <family val="2"/>
          </rPr>
          <t xml:space="preserve">
per 24 shifts</t>
        </r>
      </text>
    </comment>
    <comment ref="J40" authorId="1" shapeId="0">
      <text>
        <r>
          <rPr>
            <b/>
            <sz val="8"/>
            <color indexed="81"/>
            <rFont val="Tahoma"/>
            <family val="2"/>
          </rPr>
          <t xml:space="preserve">Formula correct
</t>
        </r>
        <r>
          <rPr>
            <sz val="8"/>
            <color indexed="81"/>
            <rFont val="Tahoma"/>
            <family val="2"/>
          </rPr>
          <t xml:space="preserve">Checked H Nourse J v Sittert
</t>
        </r>
      </text>
    </comment>
    <comment ref="K40" authorId="1" shapeId="0">
      <text>
        <r>
          <rPr>
            <b/>
            <sz val="8"/>
            <color indexed="81"/>
            <rFont val="Tahoma"/>
            <family val="2"/>
          </rPr>
          <t>To get to 1000 / sec</t>
        </r>
        <r>
          <rPr>
            <sz val="8"/>
            <color indexed="81"/>
            <rFont val="Tahoma"/>
            <family val="2"/>
          </rPr>
          <t xml:space="preserve">
per 24 shifts</t>
        </r>
      </text>
    </comment>
    <comment ref="L40" authorId="1" shapeId="0">
      <text>
        <r>
          <rPr>
            <b/>
            <sz val="8"/>
            <color indexed="81"/>
            <rFont val="Tahoma"/>
            <family val="2"/>
          </rPr>
          <t xml:space="preserve">Formula correct
</t>
        </r>
        <r>
          <rPr>
            <sz val="8"/>
            <color indexed="81"/>
            <rFont val="Tahoma"/>
            <family val="2"/>
          </rPr>
          <t xml:space="preserve">Checked H Nourse J v Sittert
</t>
        </r>
      </text>
    </comment>
    <comment ref="M40" authorId="1" shapeId="0">
      <text>
        <r>
          <rPr>
            <b/>
            <sz val="8"/>
            <color indexed="81"/>
            <rFont val="Tahoma"/>
            <family val="2"/>
          </rPr>
          <t>To get to 1000 / sec</t>
        </r>
        <r>
          <rPr>
            <sz val="8"/>
            <color indexed="81"/>
            <rFont val="Tahoma"/>
            <family val="2"/>
          </rPr>
          <t xml:space="preserve">
per 24 shifts</t>
        </r>
      </text>
    </comment>
    <comment ref="N40" authorId="1" shapeId="0">
      <text>
        <r>
          <rPr>
            <b/>
            <sz val="8"/>
            <color indexed="81"/>
            <rFont val="Tahoma"/>
            <family val="2"/>
          </rPr>
          <t xml:space="preserve">Formula correct
</t>
        </r>
        <r>
          <rPr>
            <sz val="8"/>
            <color indexed="81"/>
            <rFont val="Tahoma"/>
            <family val="2"/>
          </rPr>
          <t xml:space="preserve">Checked H Nourse J v Sittert
</t>
        </r>
      </text>
    </comment>
    <comment ref="O40" authorId="1" shapeId="0">
      <text>
        <r>
          <rPr>
            <b/>
            <sz val="8"/>
            <color indexed="81"/>
            <rFont val="Tahoma"/>
            <family val="2"/>
          </rPr>
          <t>To get to 1000 / sec</t>
        </r>
        <r>
          <rPr>
            <sz val="8"/>
            <color indexed="81"/>
            <rFont val="Tahoma"/>
            <family val="2"/>
          </rPr>
          <t xml:space="preserve">
per 24 shifts</t>
        </r>
      </text>
    </comment>
    <comment ref="P40" authorId="1" shapeId="0">
      <text>
        <r>
          <rPr>
            <b/>
            <sz val="8"/>
            <color indexed="81"/>
            <rFont val="Tahoma"/>
            <family val="2"/>
          </rPr>
          <t xml:space="preserve">Formula correct
</t>
        </r>
        <r>
          <rPr>
            <sz val="8"/>
            <color indexed="81"/>
            <rFont val="Tahoma"/>
            <family val="2"/>
          </rPr>
          <t xml:space="preserve">Checked H Nourse J v Sittert
</t>
        </r>
      </text>
    </comment>
    <comment ref="Q40" authorId="1" shapeId="0">
      <text>
        <r>
          <rPr>
            <b/>
            <sz val="8"/>
            <color indexed="81"/>
            <rFont val="Tahoma"/>
            <family val="2"/>
          </rPr>
          <t>To get to 1000 / sec</t>
        </r>
        <r>
          <rPr>
            <sz val="8"/>
            <color indexed="81"/>
            <rFont val="Tahoma"/>
            <family val="2"/>
          </rPr>
          <t xml:space="preserve">
per 24 shifts</t>
        </r>
      </text>
    </comment>
    <comment ref="R40" authorId="1" shapeId="0">
      <text>
        <r>
          <rPr>
            <b/>
            <sz val="8"/>
            <color indexed="81"/>
            <rFont val="Tahoma"/>
            <family val="2"/>
          </rPr>
          <t xml:space="preserve">Formula correct
</t>
        </r>
        <r>
          <rPr>
            <sz val="8"/>
            <color indexed="81"/>
            <rFont val="Tahoma"/>
            <family val="2"/>
          </rPr>
          <t xml:space="preserve">Checked H Nourse J v Sittert
</t>
        </r>
      </text>
    </comment>
    <comment ref="S40" authorId="1" shapeId="0">
      <text>
        <r>
          <rPr>
            <b/>
            <sz val="8"/>
            <color indexed="81"/>
            <rFont val="Tahoma"/>
            <family val="2"/>
          </rPr>
          <t>To get to 1000 / sec</t>
        </r>
        <r>
          <rPr>
            <sz val="8"/>
            <color indexed="81"/>
            <rFont val="Tahoma"/>
            <family val="2"/>
          </rPr>
          <t xml:space="preserve">
per 24 shifts</t>
        </r>
      </text>
    </comment>
    <comment ref="T40" authorId="1" shapeId="0">
      <text>
        <r>
          <rPr>
            <b/>
            <sz val="8"/>
            <color indexed="81"/>
            <rFont val="Tahoma"/>
            <family val="2"/>
          </rPr>
          <t xml:space="preserve">Formula correct
</t>
        </r>
        <r>
          <rPr>
            <sz val="8"/>
            <color indexed="81"/>
            <rFont val="Tahoma"/>
            <family val="2"/>
          </rPr>
          <t xml:space="preserve">Checked H Nourse J v Sittert
</t>
        </r>
      </text>
    </comment>
    <comment ref="U40" authorId="1" shapeId="0">
      <text>
        <r>
          <rPr>
            <b/>
            <sz val="8"/>
            <color indexed="81"/>
            <rFont val="Tahoma"/>
            <family val="2"/>
          </rPr>
          <t>To get to 1000 / sec</t>
        </r>
        <r>
          <rPr>
            <sz val="8"/>
            <color indexed="81"/>
            <rFont val="Tahoma"/>
            <family val="2"/>
          </rPr>
          <t xml:space="preserve">
per 24 shifts</t>
        </r>
      </text>
    </comment>
    <comment ref="D42" authorId="1" shapeId="0">
      <text>
        <r>
          <rPr>
            <b/>
            <sz val="8"/>
            <color indexed="81"/>
            <rFont val="Tahoma"/>
            <family val="2"/>
          </rPr>
          <t xml:space="preserve">Formula correct
</t>
        </r>
        <r>
          <rPr>
            <sz val="8"/>
            <color indexed="81"/>
            <rFont val="Tahoma"/>
            <family val="2"/>
          </rPr>
          <t>Checked H Nourse J v Sittert</t>
        </r>
      </text>
    </comment>
    <comment ref="F42" authorId="1" shapeId="0">
      <text>
        <r>
          <rPr>
            <b/>
            <sz val="8"/>
            <color indexed="81"/>
            <rFont val="Tahoma"/>
            <family val="2"/>
          </rPr>
          <t xml:space="preserve">Formula correct
</t>
        </r>
        <r>
          <rPr>
            <sz val="8"/>
            <color indexed="81"/>
            <rFont val="Tahoma"/>
            <family val="2"/>
          </rPr>
          <t>Checked H Nourse J v Sittert</t>
        </r>
      </text>
    </comment>
    <comment ref="H42" authorId="1" shapeId="0">
      <text>
        <r>
          <rPr>
            <b/>
            <sz val="8"/>
            <color indexed="81"/>
            <rFont val="Tahoma"/>
            <family val="2"/>
          </rPr>
          <t xml:space="preserve">Formula correct
</t>
        </r>
        <r>
          <rPr>
            <sz val="8"/>
            <color indexed="81"/>
            <rFont val="Tahoma"/>
            <family val="2"/>
          </rPr>
          <t>Checked H Nourse J v Sittert</t>
        </r>
      </text>
    </comment>
    <comment ref="J42" authorId="1" shapeId="0">
      <text>
        <r>
          <rPr>
            <b/>
            <sz val="8"/>
            <color indexed="81"/>
            <rFont val="Tahoma"/>
            <family val="2"/>
          </rPr>
          <t xml:space="preserve">Formula correct
</t>
        </r>
        <r>
          <rPr>
            <sz val="8"/>
            <color indexed="81"/>
            <rFont val="Tahoma"/>
            <family val="2"/>
          </rPr>
          <t>Checked H Nourse J v Sittert</t>
        </r>
      </text>
    </comment>
    <comment ref="L42" authorId="1" shapeId="0">
      <text>
        <r>
          <rPr>
            <b/>
            <sz val="8"/>
            <color indexed="81"/>
            <rFont val="Tahoma"/>
            <family val="2"/>
          </rPr>
          <t xml:space="preserve">Formula correct
</t>
        </r>
        <r>
          <rPr>
            <sz val="8"/>
            <color indexed="81"/>
            <rFont val="Tahoma"/>
            <family val="2"/>
          </rPr>
          <t>Checked H Nourse J v Sittert</t>
        </r>
      </text>
    </comment>
    <comment ref="N42" authorId="1" shapeId="0">
      <text>
        <r>
          <rPr>
            <b/>
            <sz val="8"/>
            <color indexed="81"/>
            <rFont val="Tahoma"/>
            <family val="2"/>
          </rPr>
          <t xml:space="preserve">Formula correct
</t>
        </r>
        <r>
          <rPr>
            <sz val="8"/>
            <color indexed="81"/>
            <rFont val="Tahoma"/>
            <family val="2"/>
          </rPr>
          <t>Checked H Nourse J v Sittert</t>
        </r>
      </text>
    </comment>
    <comment ref="P42" authorId="1" shapeId="0">
      <text>
        <r>
          <rPr>
            <b/>
            <sz val="8"/>
            <color indexed="81"/>
            <rFont val="Tahoma"/>
            <family val="2"/>
          </rPr>
          <t xml:space="preserve">Formula correct
</t>
        </r>
        <r>
          <rPr>
            <sz val="8"/>
            <color indexed="81"/>
            <rFont val="Tahoma"/>
            <family val="2"/>
          </rPr>
          <t>Checked H Nourse J v Sittert</t>
        </r>
      </text>
    </comment>
    <comment ref="R42" authorId="1" shapeId="0">
      <text>
        <r>
          <rPr>
            <b/>
            <sz val="8"/>
            <color indexed="81"/>
            <rFont val="Tahoma"/>
            <family val="2"/>
          </rPr>
          <t xml:space="preserve">Formula correct
</t>
        </r>
        <r>
          <rPr>
            <sz val="8"/>
            <color indexed="81"/>
            <rFont val="Tahoma"/>
            <family val="2"/>
          </rPr>
          <t>Checked H Nourse J v Sittert</t>
        </r>
      </text>
    </comment>
    <comment ref="T42" authorId="1" shapeId="0">
      <text>
        <r>
          <rPr>
            <b/>
            <sz val="8"/>
            <color indexed="81"/>
            <rFont val="Tahoma"/>
            <family val="2"/>
          </rPr>
          <t xml:space="preserve">Formula correct
</t>
        </r>
        <r>
          <rPr>
            <sz val="8"/>
            <color indexed="81"/>
            <rFont val="Tahoma"/>
            <family val="2"/>
          </rPr>
          <t>Checked H Nourse J v Sittert</t>
        </r>
      </text>
    </comment>
    <comment ref="D43" authorId="1" shapeId="0">
      <text>
        <r>
          <rPr>
            <b/>
            <sz val="8"/>
            <color indexed="81"/>
            <rFont val="Tahoma"/>
            <family val="2"/>
          </rPr>
          <t xml:space="preserve">Formula correct
</t>
        </r>
        <r>
          <rPr>
            <sz val="8"/>
            <color indexed="81"/>
            <rFont val="Tahoma"/>
            <family val="2"/>
          </rPr>
          <t>Checked H Nourse J v Sittert</t>
        </r>
      </text>
    </comment>
    <comment ref="E43" authorId="1" shapeId="0">
      <text>
        <r>
          <rPr>
            <b/>
            <sz val="10"/>
            <color indexed="81"/>
            <rFont val="Tahoma"/>
            <family val="2"/>
          </rPr>
          <t xml:space="preserve">0.045 x Depth below surface-90
(Function 2 of formulae </t>
        </r>
        <r>
          <rPr>
            <b/>
            <sz val="10"/>
            <color indexed="10"/>
            <rFont val="Tahoma"/>
            <family val="2"/>
          </rPr>
          <t>NO BAC)</t>
        </r>
        <r>
          <rPr>
            <b/>
            <sz val="10"/>
            <color indexed="81"/>
            <rFont val="Tahoma"/>
            <family val="2"/>
          </rPr>
          <t xml:space="preserve">
Formula correct </t>
        </r>
        <r>
          <rPr>
            <b/>
            <sz val="10"/>
            <color indexed="10"/>
            <rFont val="Tahoma"/>
            <family val="2"/>
          </rPr>
          <t>8 Nov 2010</t>
        </r>
      </text>
    </comment>
    <comment ref="F43" authorId="1" shapeId="0">
      <text>
        <r>
          <rPr>
            <b/>
            <sz val="8"/>
            <color indexed="81"/>
            <rFont val="Tahoma"/>
            <family val="2"/>
          </rPr>
          <t xml:space="preserve">Formula correct
</t>
        </r>
        <r>
          <rPr>
            <sz val="8"/>
            <color indexed="81"/>
            <rFont val="Tahoma"/>
            <family val="2"/>
          </rPr>
          <t>Checked H Nourse J v Sittert</t>
        </r>
      </text>
    </comment>
    <comment ref="G43" authorId="1" shapeId="0">
      <text>
        <r>
          <rPr>
            <b/>
            <sz val="10"/>
            <color indexed="81"/>
            <rFont val="Tahoma"/>
            <family val="2"/>
          </rPr>
          <t xml:space="preserve">0.045 x Depth below surface-90
(Function 2 of formulae NO BAC)
Formula correct </t>
        </r>
        <r>
          <rPr>
            <b/>
            <sz val="10"/>
            <color indexed="10"/>
            <rFont val="Tahoma"/>
            <family val="2"/>
          </rPr>
          <t>8 Nov 2010</t>
        </r>
      </text>
    </comment>
    <comment ref="H43" authorId="1" shapeId="0">
      <text>
        <r>
          <rPr>
            <b/>
            <sz val="8"/>
            <color indexed="81"/>
            <rFont val="Tahoma"/>
            <family val="2"/>
          </rPr>
          <t xml:space="preserve">Formula correct
</t>
        </r>
        <r>
          <rPr>
            <sz val="8"/>
            <color indexed="81"/>
            <rFont val="Tahoma"/>
            <family val="2"/>
          </rPr>
          <t>Checked H Nourse J v Sittert</t>
        </r>
      </text>
    </comment>
    <comment ref="I43" authorId="1" shapeId="0">
      <text>
        <r>
          <rPr>
            <b/>
            <sz val="10"/>
            <color indexed="81"/>
            <rFont val="Tahoma"/>
            <family val="2"/>
          </rPr>
          <t xml:space="preserve">0.045 x Depth below surface-90
(Function 2 of formulae NO BAC)
Formula correct </t>
        </r>
        <r>
          <rPr>
            <b/>
            <sz val="10"/>
            <color indexed="10"/>
            <rFont val="Tahoma"/>
            <family val="2"/>
          </rPr>
          <t>8 Nov 2010</t>
        </r>
      </text>
    </comment>
    <comment ref="J43" authorId="1" shapeId="0">
      <text>
        <r>
          <rPr>
            <b/>
            <sz val="8"/>
            <color indexed="81"/>
            <rFont val="Tahoma"/>
            <family val="2"/>
          </rPr>
          <t xml:space="preserve">Formula correct
</t>
        </r>
        <r>
          <rPr>
            <sz val="8"/>
            <color indexed="81"/>
            <rFont val="Tahoma"/>
            <family val="2"/>
          </rPr>
          <t>Checked H Nourse J v Sittert</t>
        </r>
      </text>
    </comment>
    <comment ref="K43" authorId="1" shapeId="0">
      <text>
        <r>
          <rPr>
            <b/>
            <sz val="10"/>
            <color indexed="81"/>
            <rFont val="Tahoma"/>
            <family val="2"/>
          </rPr>
          <t xml:space="preserve">0.045 x Depth below surface-90
(Function 2 of formulae NO BAC)
Formula correct </t>
        </r>
        <r>
          <rPr>
            <b/>
            <sz val="10"/>
            <color indexed="10"/>
            <rFont val="Tahoma"/>
            <family val="2"/>
          </rPr>
          <t>8 Nov 2010</t>
        </r>
      </text>
    </comment>
    <comment ref="L43" authorId="1" shapeId="0">
      <text>
        <r>
          <rPr>
            <b/>
            <sz val="8"/>
            <color indexed="81"/>
            <rFont val="Tahoma"/>
            <family val="2"/>
          </rPr>
          <t xml:space="preserve">Formula correct
</t>
        </r>
        <r>
          <rPr>
            <sz val="8"/>
            <color indexed="81"/>
            <rFont val="Tahoma"/>
            <family val="2"/>
          </rPr>
          <t>Checked H Nourse J v Sittert</t>
        </r>
      </text>
    </comment>
    <comment ref="M43" authorId="1" shapeId="0">
      <text>
        <r>
          <rPr>
            <b/>
            <sz val="10"/>
            <color indexed="81"/>
            <rFont val="Tahoma"/>
            <family val="2"/>
          </rPr>
          <t xml:space="preserve">0.045 x Depth below surface-90
(Function 2 of formulae NO BAC)
Formula correct </t>
        </r>
        <r>
          <rPr>
            <b/>
            <sz val="10"/>
            <color indexed="10"/>
            <rFont val="Tahoma"/>
            <family val="2"/>
          </rPr>
          <t>8 Nov 2010</t>
        </r>
      </text>
    </comment>
    <comment ref="N43" authorId="1" shapeId="0">
      <text>
        <r>
          <rPr>
            <b/>
            <sz val="8"/>
            <color indexed="81"/>
            <rFont val="Tahoma"/>
            <family val="2"/>
          </rPr>
          <t xml:space="preserve">Formula correct
</t>
        </r>
        <r>
          <rPr>
            <sz val="8"/>
            <color indexed="81"/>
            <rFont val="Tahoma"/>
            <family val="2"/>
          </rPr>
          <t>Checked H Nourse J v Sittert</t>
        </r>
      </text>
    </comment>
    <comment ref="O43" authorId="1" shapeId="0">
      <text>
        <r>
          <rPr>
            <b/>
            <sz val="10"/>
            <color indexed="81"/>
            <rFont val="Tahoma"/>
            <family val="2"/>
          </rPr>
          <t xml:space="preserve">0.045 x Depth below surface-90
(Function 2 of formulae NO BAC)
Formula correct </t>
        </r>
        <r>
          <rPr>
            <b/>
            <sz val="10"/>
            <color indexed="10"/>
            <rFont val="Tahoma"/>
            <family val="2"/>
          </rPr>
          <t>8 Nov 2010</t>
        </r>
      </text>
    </comment>
    <comment ref="P43" authorId="1" shapeId="0">
      <text>
        <r>
          <rPr>
            <b/>
            <sz val="8"/>
            <color indexed="81"/>
            <rFont val="Tahoma"/>
            <family val="2"/>
          </rPr>
          <t xml:space="preserve">Formula correct
</t>
        </r>
        <r>
          <rPr>
            <sz val="8"/>
            <color indexed="81"/>
            <rFont val="Tahoma"/>
            <family val="2"/>
          </rPr>
          <t>Checked H Nourse J v Sittert</t>
        </r>
      </text>
    </comment>
    <comment ref="Q43" authorId="1" shapeId="0">
      <text>
        <r>
          <rPr>
            <b/>
            <sz val="10"/>
            <color indexed="81"/>
            <rFont val="Tahoma"/>
            <family val="2"/>
          </rPr>
          <t xml:space="preserve">0.045 x Depth below surface-90
(Function 2 of formulae NO BAC)
Formula correct </t>
        </r>
        <r>
          <rPr>
            <b/>
            <sz val="10"/>
            <color indexed="10"/>
            <rFont val="Tahoma"/>
            <family val="2"/>
          </rPr>
          <t>8 Nov 2010</t>
        </r>
      </text>
    </comment>
    <comment ref="R43" authorId="1" shapeId="0">
      <text>
        <r>
          <rPr>
            <b/>
            <sz val="8"/>
            <color indexed="81"/>
            <rFont val="Tahoma"/>
            <family val="2"/>
          </rPr>
          <t xml:space="preserve">Formula correct
</t>
        </r>
        <r>
          <rPr>
            <sz val="8"/>
            <color indexed="81"/>
            <rFont val="Tahoma"/>
            <family val="2"/>
          </rPr>
          <t>Checked H Nourse J v Sittert</t>
        </r>
      </text>
    </comment>
    <comment ref="S43" authorId="1" shapeId="0">
      <text>
        <r>
          <rPr>
            <b/>
            <sz val="10"/>
            <color indexed="81"/>
            <rFont val="Tahoma"/>
            <family val="2"/>
          </rPr>
          <t xml:space="preserve">0.045 x Depth below surface-90
(Function 2 of formulae NO BAC)
Formula correct </t>
        </r>
        <r>
          <rPr>
            <b/>
            <sz val="10"/>
            <color indexed="10"/>
            <rFont val="Tahoma"/>
            <family val="2"/>
          </rPr>
          <t>8 Nov 2010</t>
        </r>
      </text>
    </comment>
    <comment ref="T43" authorId="1" shapeId="0">
      <text>
        <r>
          <rPr>
            <b/>
            <sz val="8"/>
            <color indexed="81"/>
            <rFont val="Tahoma"/>
            <family val="2"/>
          </rPr>
          <t xml:space="preserve">Formula correct
</t>
        </r>
        <r>
          <rPr>
            <sz val="8"/>
            <color indexed="81"/>
            <rFont val="Tahoma"/>
            <family val="2"/>
          </rPr>
          <t>Checked H Nourse J v Sittert</t>
        </r>
      </text>
    </comment>
    <comment ref="U43" authorId="1" shapeId="0">
      <text>
        <r>
          <rPr>
            <b/>
            <sz val="10"/>
            <color indexed="81"/>
            <rFont val="Tahoma"/>
            <family val="2"/>
          </rPr>
          <t xml:space="preserve">0.045 x Depth below surface-90
(Function 2 of formulae NO BAC)
Formula correct </t>
        </r>
        <r>
          <rPr>
            <b/>
            <sz val="10"/>
            <color indexed="10"/>
            <rFont val="Tahoma"/>
            <family val="2"/>
          </rPr>
          <t>8 Nov 2010</t>
        </r>
      </text>
    </comment>
    <comment ref="D44" authorId="1" shapeId="0">
      <text>
        <r>
          <rPr>
            <b/>
            <sz val="8"/>
            <color indexed="81"/>
            <rFont val="Tahoma"/>
            <family val="2"/>
          </rPr>
          <t xml:space="preserve">Formula correct
</t>
        </r>
        <r>
          <rPr>
            <sz val="8"/>
            <color indexed="81"/>
            <rFont val="Tahoma"/>
            <family val="2"/>
          </rPr>
          <t>Checked H Nourse J v Sittert</t>
        </r>
      </text>
    </comment>
    <comment ref="E44" authorId="1" shapeId="0">
      <text>
        <r>
          <rPr>
            <b/>
            <sz val="10"/>
            <color indexed="81"/>
            <rFont val="Tahoma"/>
            <family val="2"/>
          </rPr>
          <t xml:space="preserve">=-0.0026 x Depth below surface+20.1
(Function 2 of formulae </t>
        </r>
        <r>
          <rPr>
            <b/>
            <sz val="10"/>
            <color indexed="10"/>
            <rFont val="Tahoma"/>
            <family val="2"/>
          </rPr>
          <t>NO BAC</t>
        </r>
        <r>
          <rPr>
            <b/>
            <sz val="10"/>
            <color indexed="81"/>
            <rFont val="Tahoma"/>
            <family val="2"/>
          </rPr>
          <t xml:space="preserve">)
Formula correct </t>
        </r>
        <r>
          <rPr>
            <b/>
            <sz val="10"/>
            <color indexed="10"/>
            <rFont val="Tahoma"/>
            <family val="2"/>
          </rPr>
          <t>8 Nov 2010</t>
        </r>
      </text>
    </comment>
    <comment ref="F44" authorId="1" shapeId="0">
      <text>
        <r>
          <rPr>
            <b/>
            <sz val="8"/>
            <color indexed="81"/>
            <rFont val="Tahoma"/>
            <family val="2"/>
          </rPr>
          <t xml:space="preserve">Formula correct
</t>
        </r>
        <r>
          <rPr>
            <sz val="8"/>
            <color indexed="81"/>
            <rFont val="Tahoma"/>
            <family val="2"/>
          </rPr>
          <t>Checked H Nourse J v Sittert</t>
        </r>
      </text>
    </comment>
    <comment ref="G44" authorId="1" shapeId="0">
      <text>
        <r>
          <rPr>
            <b/>
            <sz val="10"/>
            <color indexed="81"/>
            <rFont val="Tahoma"/>
            <family val="2"/>
          </rPr>
          <t xml:space="preserve">=-0.0026 x Depth below surface+20.1
(Function 2 of formulae NO BAC)
Formula correct </t>
        </r>
        <r>
          <rPr>
            <b/>
            <sz val="10"/>
            <color indexed="10"/>
            <rFont val="Tahoma"/>
            <family val="2"/>
          </rPr>
          <t>8 Nov 2010</t>
        </r>
      </text>
    </comment>
    <comment ref="H44" authorId="1" shapeId="0">
      <text>
        <r>
          <rPr>
            <b/>
            <sz val="8"/>
            <color indexed="81"/>
            <rFont val="Tahoma"/>
            <family val="2"/>
          </rPr>
          <t xml:space="preserve">Formula correct
</t>
        </r>
        <r>
          <rPr>
            <sz val="8"/>
            <color indexed="81"/>
            <rFont val="Tahoma"/>
            <family val="2"/>
          </rPr>
          <t>Checked H Nourse J v Sittert</t>
        </r>
      </text>
    </comment>
    <comment ref="I44" authorId="1" shapeId="0">
      <text>
        <r>
          <rPr>
            <b/>
            <sz val="10"/>
            <color indexed="81"/>
            <rFont val="Tahoma"/>
            <family val="2"/>
          </rPr>
          <t xml:space="preserve">=-0.0026 x Depth below surface+20.1
(Function 2 of formulae NO BAC)
Formula correct </t>
        </r>
        <r>
          <rPr>
            <b/>
            <sz val="10"/>
            <color indexed="10"/>
            <rFont val="Tahoma"/>
            <family val="2"/>
          </rPr>
          <t>8 Nov 2010</t>
        </r>
      </text>
    </comment>
    <comment ref="J44" authorId="1" shapeId="0">
      <text>
        <r>
          <rPr>
            <b/>
            <sz val="8"/>
            <color indexed="81"/>
            <rFont val="Tahoma"/>
            <family val="2"/>
          </rPr>
          <t xml:space="preserve">Formula correct
</t>
        </r>
        <r>
          <rPr>
            <sz val="8"/>
            <color indexed="81"/>
            <rFont val="Tahoma"/>
            <family val="2"/>
          </rPr>
          <t>Checked H Nourse J v Sittert</t>
        </r>
      </text>
    </comment>
    <comment ref="K44" authorId="1" shapeId="0">
      <text>
        <r>
          <rPr>
            <b/>
            <sz val="10"/>
            <color indexed="81"/>
            <rFont val="Tahoma"/>
            <family val="2"/>
          </rPr>
          <t xml:space="preserve">=-0.0026 x Depth below surface+20.1
(Function 2 of formulae NO BAC)
Formula correct </t>
        </r>
        <r>
          <rPr>
            <b/>
            <sz val="10"/>
            <color indexed="10"/>
            <rFont val="Tahoma"/>
            <family val="2"/>
          </rPr>
          <t>8 Nov 2010</t>
        </r>
      </text>
    </comment>
    <comment ref="L44" authorId="1" shapeId="0">
      <text>
        <r>
          <rPr>
            <b/>
            <sz val="8"/>
            <color indexed="81"/>
            <rFont val="Tahoma"/>
            <family val="2"/>
          </rPr>
          <t xml:space="preserve">Formula correct
</t>
        </r>
        <r>
          <rPr>
            <sz val="8"/>
            <color indexed="81"/>
            <rFont val="Tahoma"/>
            <family val="2"/>
          </rPr>
          <t>Checked H Nourse J v Sittert</t>
        </r>
      </text>
    </comment>
    <comment ref="M44" authorId="1" shapeId="0">
      <text>
        <r>
          <rPr>
            <b/>
            <sz val="10"/>
            <color indexed="81"/>
            <rFont val="Tahoma"/>
            <family val="2"/>
          </rPr>
          <t xml:space="preserve">=-0.0026 x Depth below surface+20.1
(Function 2 of formulae NO BAC)
Formula correct </t>
        </r>
        <r>
          <rPr>
            <b/>
            <sz val="10"/>
            <color indexed="10"/>
            <rFont val="Tahoma"/>
            <family val="2"/>
          </rPr>
          <t>8 Nov 2010</t>
        </r>
      </text>
    </comment>
    <comment ref="N44" authorId="1" shapeId="0">
      <text>
        <r>
          <rPr>
            <b/>
            <sz val="8"/>
            <color indexed="81"/>
            <rFont val="Tahoma"/>
            <family val="2"/>
          </rPr>
          <t xml:space="preserve">Formula correct
</t>
        </r>
        <r>
          <rPr>
            <sz val="8"/>
            <color indexed="81"/>
            <rFont val="Tahoma"/>
            <family val="2"/>
          </rPr>
          <t>Checked H Nourse J v Sittert</t>
        </r>
      </text>
    </comment>
    <comment ref="O44" authorId="1" shapeId="0">
      <text>
        <r>
          <rPr>
            <b/>
            <sz val="10"/>
            <color indexed="81"/>
            <rFont val="Tahoma"/>
            <family val="2"/>
          </rPr>
          <t xml:space="preserve">=-0.0026 x Depth below surface+20.1
(Function 2 of formulae NO BAC)
Formula correct </t>
        </r>
        <r>
          <rPr>
            <b/>
            <sz val="10"/>
            <color indexed="10"/>
            <rFont val="Tahoma"/>
            <family val="2"/>
          </rPr>
          <t>8 Nov 2010</t>
        </r>
      </text>
    </comment>
    <comment ref="P44" authorId="1" shapeId="0">
      <text>
        <r>
          <rPr>
            <b/>
            <sz val="8"/>
            <color indexed="81"/>
            <rFont val="Tahoma"/>
            <family val="2"/>
          </rPr>
          <t xml:space="preserve">Formula correct
</t>
        </r>
        <r>
          <rPr>
            <sz val="8"/>
            <color indexed="81"/>
            <rFont val="Tahoma"/>
            <family val="2"/>
          </rPr>
          <t>Checked H Nourse J v Sittert</t>
        </r>
      </text>
    </comment>
    <comment ref="Q44" authorId="1" shapeId="0">
      <text>
        <r>
          <rPr>
            <b/>
            <sz val="10"/>
            <color indexed="81"/>
            <rFont val="Tahoma"/>
            <family val="2"/>
          </rPr>
          <t xml:space="preserve">=-0.0026 x Depth below surface+20.1
(Function 2 of formulae NO BAC)
Formula correct </t>
        </r>
        <r>
          <rPr>
            <b/>
            <sz val="10"/>
            <color indexed="10"/>
            <rFont val="Tahoma"/>
            <family val="2"/>
          </rPr>
          <t>8 Nov 2010</t>
        </r>
      </text>
    </comment>
    <comment ref="R44" authorId="1" shapeId="0">
      <text>
        <r>
          <rPr>
            <b/>
            <sz val="8"/>
            <color indexed="81"/>
            <rFont val="Tahoma"/>
            <family val="2"/>
          </rPr>
          <t xml:space="preserve">Formula correct
</t>
        </r>
        <r>
          <rPr>
            <sz val="8"/>
            <color indexed="81"/>
            <rFont val="Tahoma"/>
            <family val="2"/>
          </rPr>
          <t>Checked H Nourse J v Sittert</t>
        </r>
      </text>
    </comment>
    <comment ref="S44" authorId="1" shapeId="0">
      <text>
        <r>
          <rPr>
            <b/>
            <sz val="10"/>
            <color indexed="81"/>
            <rFont val="Tahoma"/>
            <family val="2"/>
          </rPr>
          <t xml:space="preserve">=-0.0026 x Depth below surface+20.1
(Function 2 of formulae NO BAC)
Formula correct </t>
        </r>
        <r>
          <rPr>
            <b/>
            <sz val="10"/>
            <color indexed="10"/>
            <rFont val="Tahoma"/>
            <family val="2"/>
          </rPr>
          <t>8 Nov 2010</t>
        </r>
      </text>
    </comment>
    <comment ref="T44" authorId="1" shapeId="0">
      <text>
        <r>
          <rPr>
            <b/>
            <sz val="8"/>
            <color indexed="81"/>
            <rFont val="Tahoma"/>
            <family val="2"/>
          </rPr>
          <t xml:space="preserve">Formula correct
</t>
        </r>
        <r>
          <rPr>
            <sz val="8"/>
            <color indexed="81"/>
            <rFont val="Tahoma"/>
            <family val="2"/>
          </rPr>
          <t>Checked H Nourse J v Sittert</t>
        </r>
      </text>
    </comment>
    <comment ref="U44" authorId="1" shapeId="0">
      <text>
        <r>
          <rPr>
            <b/>
            <sz val="10"/>
            <color indexed="81"/>
            <rFont val="Tahoma"/>
            <family val="2"/>
          </rPr>
          <t xml:space="preserve">=-0.0026 x Depth below surface+20.1
(Function 2 of formulae NO BAC)
Formula correct </t>
        </r>
        <r>
          <rPr>
            <b/>
            <sz val="10"/>
            <color indexed="10"/>
            <rFont val="Tahoma"/>
            <family val="2"/>
          </rPr>
          <t>8 Nov 2010</t>
        </r>
      </text>
    </comment>
    <comment ref="E49" authorId="1" shapeId="0">
      <text>
        <r>
          <rPr>
            <b/>
            <sz val="8"/>
            <color indexed="81"/>
            <rFont val="Tahoma"/>
            <family val="2"/>
          </rPr>
          <t xml:space="preserve">Formula correct Density of air
</t>
        </r>
        <r>
          <rPr>
            <sz val="8"/>
            <color indexed="81"/>
            <rFont val="Tahoma"/>
            <family val="2"/>
          </rPr>
          <t>Checked H Nourse J v Sittert</t>
        </r>
      </text>
    </comment>
    <comment ref="G49" authorId="1" shapeId="0">
      <text>
        <r>
          <rPr>
            <b/>
            <sz val="8"/>
            <color indexed="81"/>
            <rFont val="Tahoma"/>
            <family val="2"/>
          </rPr>
          <t xml:space="preserve">Formula correct Density of air
</t>
        </r>
        <r>
          <rPr>
            <sz val="8"/>
            <color indexed="81"/>
            <rFont val="Tahoma"/>
            <family val="2"/>
          </rPr>
          <t>Checked H Nourse J v Sittert</t>
        </r>
      </text>
    </comment>
    <comment ref="I49" authorId="1" shapeId="0">
      <text>
        <r>
          <rPr>
            <b/>
            <sz val="8"/>
            <color indexed="81"/>
            <rFont val="Tahoma"/>
            <family val="2"/>
          </rPr>
          <t xml:space="preserve">Formula correct Density of air
</t>
        </r>
        <r>
          <rPr>
            <sz val="8"/>
            <color indexed="81"/>
            <rFont val="Tahoma"/>
            <family val="2"/>
          </rPr>
          <t>Checked H Nourse J v Sittert</t>
        </r>
      </text>
    </comment>
    <comment ref="K49" authorId="1" shapeId="0">
      <text>
        <r>
          <rPr>
            <b/>
            <sz val="8"/>
            <color indexed="81"/>
            <rFont val="Tahoma"/>
            <family val="2"/>
          </rPr>
          <t xml:space="preserve">Formula correct Density of air
</t>
        </r>
        <r>
          <rPr>
            <sz val="8"/>
            <color indexed="81"/>
            <rFont val="Tahoma"/>
            <family val="2"/>
          </rPr>
          <t>Checked H Nourse J v Sittert</t>
        </r>
      </text>
    </comment>
    <comment ref="M49" authorId="1" shapeId="0">
      <text>
        <r>
          <rPr>
            <b/>
            <sz val="8"/>
            <color indexed="81"/>
            <rFont val="Tahoma"/>
            <family val="2"/>
          </rPr>
          <t xml:space="preserve">Formula correct Density of air
</t>
        </r>
        <r>
          <rPr>
            <sz val="8"/>
            <color indexed="81"/>
            <rFont val="Tahoma"/>
            <family val="2"/>
          </rPr>
          <t>Checked H Nourse J v Sittert</t>
        </r>
      </text>
    </comment>
    <comment ref="O49" authorId="1" shapeId="0">
      <text>
        <r>
          <rPr>
            <b/>
            <sz val="8"/>
            <color indexed="81"/>
            <rFont val="Tahoma"/>
            <family val="2"/>
          </rPr>
          <t xml:space="preserve">Formula correct Density of air
</t>
        </r>
        <r>
          <rPr>
            <sz val="8"/>
            <color indexed="81"/>
            <rFont val="Tahoma"/>
            <family val="2"/>
          </rPr>
          <t>Checked H Nourse J v Sittert</t>
        </r>
      </text>
    </comment>
    <comment ref="Q49" authorId="1" shapeId="0">
      <text>
        <r>
          <rPr>
            <b/>
            <sz val="8"/>
            <color indexed="81"/>
            <rFont val="Tahoma"/>
            <family val="2"/>
          </rPr>
          <t xml:space="preserve">Formula correct Density of air
</t>
        </r>
        <r>
          <rPr>
            <sz val="8"/>
            <color indexed="81"/>
            <rFont val="Tahoma"/>
            <family val="2"/>
          </rPr>
          <t>Checked H Nourse J v Sittert</t>
        </r>
      </text>
    </comment>
    <comment ref="S49" authorId="1" shapeId="0">
      <text>
        <r>
          <rPr>
            <b/>
            <sz val="8"/>
            <color indexed="81"/>
            <rFont val="Tahoma"/>
            <family val="2"/>
          </rPr>
          <t xml:space="preserve">Formula correct Density of air
</t>
        </r>
        <r>
          <rPr>
            <sz val="8"/>
            <color indexed="81"/>
            <rFont val="Tahoma"/>
            <family val="2"/>
          </rPr>
          <t>Checked H Nourse J v Sittert</t>
        </r>
      </text>
    </comment>
    <comment ref="U49" authorId="1" shapeId="0">
      <text>
        <r>
          <rPr>
            <b/>
            <sz val="8"/>
            <color indexed="81"/>
            <rFont val="Tahoma"/>
            <family val="2"/>
          </rPr>
          <t xml:space="preserve">Formula correct Density of air
</t>
        </r>
        <r>
          <rPr>
            <sz val="8"/>
            <color indexed="81"/>
            <rFont val="Tahoma"/>
            <family val="2"/>
          </rPr>
          <t>Checked H Nourse J v Sittert</t>
        </r>
      </text>
    </comment>
    <comment ref="D52" authorId="1" shapeId="0">
      <text>
        <r>
          <rPr>
            <b/>
            <sz val="10"/>
            <color indexed="81"/>
            <rFont val="Tahoma"/>
            <family val="2"/>
          </rPr>
          <t xml:space="preserve">((3xHPRKw - 3xTot Refr AvailKw)) ÷  Massflow) + (0.0533 x Depth below surface - 174.5) ÷ ((-0.00125xDepth below surface)+15.25) + 26
</t>
        </r>
        <r>
          <rPr>
            <sz val="10"/>
            <color indexed="10"/>
            <rFont val="Tahoma"/>
            <family val="2"/>
          </rPr>
          <t xml:space="preserve">
</t>
        </r>
        <r>
          <rPr>
            <sz val="10"/>
            <color indexed="81"/>
            <rFont val="Tahoma"/>
            <family val="2"/>
          </rPr>
          <t xml:space="preserve">Formula correct </t>
        </r>
        <r>
          <rPr>
            <sz val="10"/>
            <color indexed="10"/>
            <rFont val="Tahoma"/>
            <family val="2"/>
          </rPr>
          <t>5 Nov 2010</t>
        </r>
      </text>
    </comment>
    <comment ref="F52" authorId="1" shapeId="0">
      <text>
        <r>
          <rPr>
            <b/>
            <sz val="10"/>
            <color indexed="81"/>
            <rFont val="Tahoma"/>
            <family val="2"/>
          </rPr>
          <t xml:space="preserve">((3xHPRKw - 3xTot Refr AvailKw)) ÷  Massflow) + (0.0533 x Depth below surface - 174.5) ÷ ((-0.00125xDepth below surface)+15.25) + 26
</t>
        </r>
        <r>
          <rPr>
            <sz val="10"/>
            <color indexed="10"/>
            <rFont val="Tahoma"/>
            <family val="2"/>
          </rPr>
          <t xml:space="preserve">
</t>
        </r>
        <r>
          <rPr>
            <sz val="10"/>
            <color indexed="81"/>
            <rFont val="Tahoma"/>
            <family val="2"/>
          </rPr>
          <t xml:space="preserve">Formula correct </t>
        </r>
        <r>
          <rPr>
            <sz val="10"/>
            <color indexed="10"/>
            <rFont val="Tahoma"/>
            <family val="2"/>
          </rPr>
          <t>5 Nov 2010</t>
        </r>
      </text>
    </comment>
    <comment ref="H52" authorId="1" shapeId="0">
      <text>
        <r>
          <rPr>
            <b/>
            <sz val="10"/>
            <color indexed="81"/>
            <rFont val="Tahoma"/>
            <family val="2"/>
          </rPr>
          <t xml:space="preserve">((3xHPRKw - 3xTot Refr AvailKw)) ÷  Massflow) + (0.0533 x Depth below surface - 174.5) ÷ ((-0.00125xDepth below surface)+15.25) + 26
</t>
        </r>
        <r>
          <rPr>
            <sz val="10"/>
            <color indexed="10"/>
            <rFont val="Tahoma"/>
            <family val="2"/>
          </rPr>
          <t xml:space="preserve">
</t>
        </r>
        <r>
          <rPr>
            <sz val="10"/>
            <color indexed="81"/>
            <rFont val="Tahoma"/>
            <family val="2"/>
          </rPr>
          <t xml:space="preserve">Formula correct </t>
        </r>
        <r>
          <rPr>
            <sz val="10"/>
            <color indexed="10"/>
            <rFont val="Tahoma"/>
            <family val="2"/>
          </rPr>
          <t>5 Nov 2010</t>
        </r>
      </text>
    </comment>
    <comment ref="J52" authorId="1" shapeId="0">
      <text>
        <r>
          <rPr>
            <b/>
            <sz val="10"/>
            <color indexed="81"/>
            <rFont val="Tahoma"/>
            <family val="2"/>
          </rPr>
          <t xml:space="preserve">((3xHPRKw - 3xTot Refr AvailKw)) ÷  Massflow) + (0.0533 x Depth below surface - 174.5) ÷ ((-0.00125xDepth below surface)+15.25) + 26
</t>
        </r>
        <r>
          <rPr>
            <sz val="10"/>
            <color indexed="10"/>
            <rFont val="Tahoma"/>
            <family val="2"/>
          </rPr>
          <t xml:space="preserve">
</t>
        </r>
        <r>
          <rPr>
            <sz val="10"/>
            <color indexed="81"/>
            <rFont val="Tahoma"/>
            <family val="2"/>
          </rPr>
          <t xml:space="preserve">Formula correct </t>
        </r>
        <r>
          <rPr>
            <sz val="10"/>
            <color indexed="10"/>
            <rFont val="Tahoma"/>
            <family val="2"/>
          </rPr>
          <t>5 Nov 2010</t>
        </r>
      </text>
    </comment>
    <comment ref="L52" authorId="1" shapeId="0">
      <text>
        <r>
          <rPr>
            <b/>
            <sz val="10"/>
            <color indexed="81"/>
            <rFont val="Tahoma"/>
            <family val="2"/>
          </rPr>
          <t xml:space="preserve">((3xHPRKw - 3xTot Refr AvailKw)) ÷  Massflow) + (0.0533 x Depth below surface - 174.5) ÷ ((-0.00125xDepth below surface)+15.25) + 26
</t>
        </r>
        <r>
          <rPr>
            <sz val="10"/>
            <color indexed="10"/>
            <rFont val="Tahoma"/>
            <family val="2"/>
          </rPr>
          <t xml:space="preserve">
</t>
        </r>
        <r>
          <rPr>
            <sz val="10"/>
            <color indexed="81"/>
            <rFont val="Tahoma"/>
            <family val="2"/>
          </rPr>
          <t xml:space="preserve">Formula correct </t>
        </r>
        <r>
          <rPr>
            <sz val="10"/>
            <color indexed="10"/>
            <rFont val="Tahoma"/>
            <family val="2"/>
          </rPr>
          <t>5 Nov 2010</t>
        </r>
      </text>
    </comment>
    <comment ref="N52" authorId="1" shapeId="0">
      <text>
        <r>
          <rPr>
            <b/>
            <sz val="10"/>
            <color indexed="81"/>
            <rFont val="Tahoma"/>
            <family val="2"/>
          </rPr>
          <t xml:space="preserve">((3xHPRKw - 3xTot Refr AvailKw)) ÷  Massflow) + (0.0533 x Depth below surface - 174.5) ÷ ((-0.00125xDepth below surface)+15.25) + 26
</t>
        </r>
        <r>
          <rPr>
            <sz val="10"/>
            <color indexed="10"/>
            <rFont val="Tahoma"/>
            <family val="2"/>
          </rPr>
          <t xml:space="preserve">
</t>
        </r>
        <r>
          <rPr>
            <sz val="10"/>
            <color indexed="81"/>
            <rFont val="Tahoma"/>
            <family val="2"/>
          </rPr>
          <t xml:space="preserve">Formula correct </t>
        </r>
        <r>
          <rPr>
            <sz val="10"/>
            <color indexed="10"/>
            <rFont val="Tahoma"/>
            <family val="2"/>
          </rPr>
          <t>5 Nov 2010</t>
        </r>
      </text>
    </comment>
    <comment ref="P52" authorId="1" shapeId="0">
      <text>
        <r>
          <rPr>
            <b/>
            <sz val="10"/>
            <color indexed="81"/>
            <rFont val="Tahoma"/>
            <family val="2"/>
          </rPr>
          <t xml:space="preserve">((3xHPRKw - 3xTot Refr AvailKw)) ÷  Massflow) + (0.0533 x Depth below surface - 174.5) ÷ ((-0.00125xDepth below surface)+15.25) + 26
</t>
        </r>
        <r>
          <rPr>
            <sz val="10"/>
            <color indexed="10"/>
            <rFont val="Tahoma"/>
            <family val="2"/>
          </rPr>
          <t xml:space="preserve">
</t>
        </r>
        <r>
          <rPr>
            <sz val="10"/>
            <color indexed="81"/>
            <rFont val="Tahoma"/>
            <family val="2"/>
          </rPr>
          <t xml:space="preserve">Formula correct </t>
        </r>
        <r>
          <rPr>
            <sz val="10"/>
            <color indexed="10"/>
            <rFont val="Tahoma"/>
            <family val="2"/>
          </rPr>
          <t>5 Nov 2010</t>
        </r>
      </text>
    </comment>
    <comment ref="R52" authorId="1" shapeId="0">
      <text>
        <r>
          <rPr>
            <b/>
            <sz val="10"/>
            <color indexed="81"/>
            <rFont val="Tahoma"/>
            <family val="2"/>
          </rPr>
          <t xml:space="preserve">((3xHPRKw - 3xTot Refr AvailKw)) ÷  Massflow) + (0.0533 x Depth below surface - 174.5) ÷ ((-0.00125xDepth below surface)+15.25) + 26
</t>
        </r>
        <r>
          <rPr>
            <sz val="10"/>
            <color indexed="10"/>
            <rFont val="Tahoma"/>
            <family val="2"/>
          </rPr>
          <t xml:space="preserve">
</t>
        </r>
        <r>
          <rPr>
            <sz val="10"/>
            <color indexed="81"/>
            <rFont val="Tahoma"/>
            <family val="2"/>
          </rPr>
          <t xml:space="preserve">Formula correct </t>
        </r>
        <r>
          <rPr>
            <sz val="10"/>
            <color indexed="10"/>
            <rFont val="Tahoma"/>
            <family val="2"/>
          </rPr>
          <t>5 Nov 2010</t>
        </r>
      </text>
    </comment>
    <comment ref="T52" authorId="1" shapeId="0">
      <text>
        <r>
          <rPr>
            <b/>
            <sz val="10"/>
            <color indexed="81"/>
            <rFont val="Tahoma"/>
            <family val="2"/>
          </rPr>
          <t xml:space="preserve">((3xHPRKw - 3xTot Refr AvailKw)) ÷  Massflow) + (0.0533 x Depth below surface - 174.5) ÷ ((-0.00125xDepth below surface)+15.25) + 26
</t>
        </r>
        <r>
          <rPr>
            <sz val="10"/>
            <color indexed="10"/>
            <rFont val="Tahoma"/>
            <family val="2"/>
          </rPr>
          <t xml:space="preserve">
</t>
        </r>
        <r>
          <rPr>
            <sz val="10"/>
            <color indexed="81"/>
            <rFont val="Tahoma"/>
            <family val="2"/>
          </rPr>
          <t xml:space="preserve">Formula correct </t>
        </r>
        <r>
          <rPr>
            <sz val="10"/>
            <color indexed="10"/>
            <rFont val="Tahoma"/>
            <family val="2"/>
          </rPr>
          <t>5 Nov 2010</t>
        </r>
      </text>
    </comment>
    <comment ref="D54" authorId="1" shapeId="0">
      <text>
        <r>
          <rPr>
            <b/>
            <sz val="10"/>
            <color indexed="81"/>
            <rFont val="Tahoma"/>
            <family val="2"/>
          </rPr>
          <t xml:space="preserve">((3xHPRKw - 3xTot Refr AvailKw)) ÷  Massflow) + (0.045 x Depth below surface - 90) ÷ ((-0.0026xDepth below surface)-20.1) + 26
</t>
        </r>
        <r>
          <rPr>
            <sz val="10"/>
            <color indexed="10"/>
            <rFont val="Tahoma"/>
            <family val="2"/>
          </rPr>
          <t xml:space="preserve">
</t>
        </r>
        <r>
          <rPr>
            <sz val="10"/>
            <color indexed="81"/>
            <rFont val="Tahoma"/>
            <family val="2"/>
          </rPr>
          <t xml:space="preserve">Formula correct </t>
        </r>
        <r>
          <rPr>
            <sz val="10"/>
            <color indexed="10"/>
            <rFont val="Tahoma"/>
            <family val="2"/>
          </rPr>
          <t xml:space="preserve"> 8 Nov 2010</t>
        </r>
      </text>
    </comment>
    <comment ref="F54" authorId="1" shapeId="0">
      <text>
        <r>
          <rPr>
            <b/>
            <sz val="10"/>
            <color indexed="81"/>
            <rFont val="Tahoma"/>
            <family val="2"/>
          </rPr>
          <t xml:space="preserve">((3xHPRKw - 3xTot Refr AvailKw)) ÷  Massflow) + (0.045 x Depth below surface - 90) ÷ ((-0.0026xDepth below surface)-20.1) + 26
</t>
        </r>
        <r>
          <rPr>
            <sz val="10"/>
            <color indexed="10"/>
            <rFont val="Tahoma"/>
            <family val="2"/>
          </rPr>
          <t xml:space="preserve">
</t>
        </r>
        <r>
          <rPr>
            <sz val="10"/>
            <color indexed="81"/>
            <rFont val="Tahoma"/>
            <family val="2"/>
          </rPr>
          <t xml:space="preserve">Formula correct </t>
        </r>
        <r>
          <rPr>
            <sz val="10"/>
            <color indexed="10"/>
            <rFont val="Tahoma"/>
            <family val="2"/>
          </rPr>
          <t xml:space="preserve"> 8 Nov 2010</t>
        </r>
      </text>
    </comment>
    <comment ref="H54" authorId="1" shapeId="0">
      <text>
        <r>
          <rPr>
            <b/>
            <sz val="10"/>
            <color indexed="81"/>
            <rFont val="Tahoma"/>
            <family val="2"/>
          </rPr>
          <t xml:space="preserve">((3xHPRKw - 3xTot Refr AvailKw)) ÷  Massflow) + (0.045 x Depth below surface - 90) ÷ ((-0.0026xDepth below surface)-20.1) + 26
</t>
        </r>
        <r>
          <rPr>
            <sz val="10"/>
            <color indexed="10"/>
            <rFont val="Tahoma"/>
            <family val="2"/>
          </rPr>
          <t xml:space="preserve">
</t>
        </r>
        <r>
          <rPr>
            <sz val="10"/>
            <color indexed="81"/>
            <rFont val="Tahoma"/>
            <family val="2"/>
          </rPr>
          <t xml:space="preserve">Formula correct </t>
        </r>
        <r>
          <rPr>
            <sz val="10"/>
            <color indexed="10"/>
            <rFont val="Tahoma"/>
            <family val="2"/>
          </rPr>
          <t xml:space="preserve"> 8 Nov 2010</t>
        </r>
      </text>
    </comment>
    <comment ref="J54" authorId="1" shapeId="0">
      <text>
        <r>
          <rPr>
            <b/>
            <sz val="10"/>
            <color indexed="81"/>
            <rFont val="Tahoma"/>
            <family val="2"/>
          </rPr>
          <t xml:space="preserve">((3xHPRKw - 3xTot Refr AvailKw)) ÷  Massflow) + (0.045 x Depth below surface - 90) ÷ ((-0.0026xDepth below surface)-20.1) + 26
</t>
        </r>
        <r>
          <rPr>
            <sz val="10"/>
            <color indexed="10"/>
            <rFont val="Tahoma"/>
            <family val="2"/>
          </rPr>
          <t xml:space="preserve">
</t>
        </r>
        <r>
          <rPr>
            <sz val="10"/>
            <color indexed="81"/>
            <rFont val="Tahoma"/>
            <family val="2"/>
          </rPr>
          <t xml:space="preserve">Formula correct </t>
        </r>
        <r>
          <rPr>
            <sz val="10"/>
            <color indexed="10"/>
            <rFont val="Tahoma"/>
            <family val="2"/>
          </rPr>
          <t xml:space="preserve"> 8 Nov 2010</t>
        </r>
      </text>
    </comment>
    <comment ref="L54" authorId="1" shapeId="0">
      <text>
        <r>
          <rPr>
            <b/>
            <sz val="10"/>
            <color indexed="81"/>
            <rFont val="Tahoma"/>
            <family val="2"/>
          </rPr>
          <t xml:space="preserve">((3xHPRKw - 3xTot Refr AvailKw)) ÷  Massflow) + (0.045 x Depth below surface - 90) ÷ ((-0.0026xDepth below surface)-20.1) + 26
</t>
        </r>
        <r>
          <rPr>
            <sz val="10"/>
            <color indexed="10"/>
            <rFont val="Tahoma"/>
            <family val="2"/>
          </rPr>
          <t xml:space="preserve">
</t>
        </r>
        <r>
          <rPr>
            <sz val="10"/>
            <color indexed="81"/>
            <rFont val="Tahoma"/>
            <family val="2"/>
          </rPr>
          <t xml:space="preserve">Formula correct </t>
        </r>
        <r>
          <rPr>
            <sz val="10"/>
            <color indexed="10"/>
            <rFont val="Tahoma"/>
            <family val="2"/>
          </rPr>
          <t xml:space="preserve"> 8 Nov 2010</t>
        </r>
      </text>
    </comment>
    <comment ref="N54" authorId="1" shapeId="0">
      <text>
        <r>
          <rPr>
            <b/>
            <sz val="10"/>
            <color indexed="81"/>
            <rFont val="Tahoma"/>
            <family val="2"/>
          </rPr>
          <t xml:space="preserve">((3xHPRKw - 3xTot Refr AvailKw)) ÷  Massflow) + (0.045 x Depth below surface - 90) ÷ ((-0.0026xDepth below surface)-20.1) + 26
</t>
        </r>
        <r>
          <rPr>
            <sz val="10"/>
            <color indexed="10"/>
            <rFont val="Tahoma"/>
            <family val="2"/>
          </rPr>
          <t xml:space="preserve">
</t>
        </r>
        <r>
          <rPr>
            <sz val="10"/>
            <color indexed="81"/>
            <rFont val="Tahoma"/>
            <family val="2"/>
          </rPr>
          <t xml:space="preserve">Formula correct </t>
        </r>
        <r>
          <rPr>
            <sz val="10"/>
            <color indexed="10"/>
            <rFont val="Tahoma"/>
            <family val="2"/>
          </rPr>
          <t xml:space="preserve"> 8 Nov 2010</t>
        </r>
      </text>
    </comment>
    <comment ref="P54" authorId="1" shapeId="0">
      <text>
        <r>
          <rPr>
            <b/>
            <sz val="10"/>
            <color indexed="81"/>
            <rFont val="Tahoma"/>
            <family val="2"/>
          </rPr>
          <t xml:space="preserve">((3xHPRKw - 3xTot Refr AvailKw)) ÷  Massflow) + (0.045 x Depth below surface - 90) ÷ ((-0.0026xDepth below surface)-20.1) + 26
</t>
        </r>
        <r>
          <rPr>
            <sz val="10"/>
            <color indexed="10"/>
            <rFont val="Tahoma"/>
            <family val="2"/>
          </rPr>
          <t xml:space="preserve">
</t>
        </r>
        <r>
          <rPr>
            <sz val="10"/>
            <color indexed="81"/>
            <rFont val="Tahoma"/>
            <family val="2"/>
          </rPr>
          <t xml:space="preserve">Formula correct </t>
        </r>
        <r>
          <rPr>
            <sz val="10"/>
            <color indexed="10"/>
            <rFont val="Tahoma"/>
            <family val="2"/>
          </rPr>
          <t xml:space="preserve"> 8 Nov 2010</t>
        </r>
      </text>
    </comment>
    <comment ref="R54" authorId="1" shapeId="0">
      <text>
        <r>
          <rPr>
            <b/>
            <sz val="10"/>
            <color indexed="81"/>
            <rFont val="Tahoma"/>
            <family val="2"/>
          </rPr>
          <t xml:space="preserve">((3xHPRKw - 3xTot Refr AvailKw)) ÷  Massflow) + (0.045 x Depth below surface - 90) ÷ ((-0.0026xDepth below surface)-20.1) + 26
</t>
        </r>
        <r>
          <rPr>
            <sz val="10"/>
            <color indexed="10"/>
            <rFont val="Tahoma"/>
            <family val="2"/>
          </rPr>
          <t xml:space="preserve">
</t>
        </r>
        <r>
          <rPr>
            <sz val="10"/>
            <color indexed="81"/>
            <rFont val="Tahoma"/>
            <family val="2"/>
          </rPr>
          <t xml:space="preserve">Formula correct </t>
        </r>
        <r>
          <rPr>
            <sz val="10"/>
            <color indexed="10"/>
            <rFont val="Tahoma"/>
            <family val="2"/>
          </rPr>
          <t xml:space="preserve"> 8 Nov 2010</t>
        </r>
      </text>
    </comment>
    <comment ref="T54" authorId="1" shapeId="0">
      <text>
        <r>
          <rPr>
            <b/>
            <sz val="10"/>
            <color indexed="81"/>
            <rFont val="Tahoma"/>
            <family val="2"/>
          </rPr>
          <t xml:space="preserve">((3xHPRKw - 3xTot Refr AvailKw)) ÷  Massflow) + (0.045 x Depth below surface - 90) ÷ ((-0.0026xDepth below surface)-20.1) + 26
</t>
        </r>
        <r>
          <rPr>
            <sz val="10"/>
            <color indexed="10"/>
            <rFont val="Tahoma"/>
            <family val="2"/>
          </rPr>
          <t xml:space="preserve">
</t>
        </r>
        <r>
          <rPr>
            <sz val="10"/>
            <color indexed="81"/>
            <rFont val="Tahoma"/>
            <family val="2"/>
          </rPr>
          <t xml:space="preserve">Formula correct </t>
        </r>
        <r>
          <rPr>
            <sz val="10"/>
            <color indexed="10"/>
            <rFont val="Tahoma"/>
            <family val="2"/>
          </rPr>
          <t xml:space="preserve"> 8 Nov 2010</t>
        </r>
      </text>
    </comment>
  </commentList>
</comments>
</file>

<file path=xl/sharedStrings.xml><?xml version="1.0" encoding="utf-8"?>
<sst xmlns="http://schemas.openxmlformats.org/spreadsheetml/2006/main" count="4778" uniqueCount="2184">
  <si>
    <t>Component</t>
  </si>
  <si>
    <t>Resistance</t>
  </si>
  <si>
    <t>R</t>
  </si>
  <si>
    <r>
      <t>Ns</t>
    </r>
    <r>
      <rPr>
        <vertAlign val="superscript"/>
        <sz val="10"/>
        <color theme="0"/>
        <rFont val="Trebuchet MS"/>
        <family val="2"/>
      </rPr>
      <t>2</t>
    </r>
    <r>
      <rPr>
        <sz val="10"/>
        <color theme="0"/>
        <rFont val="Trebuchet MS"/>
        <family val="2"/>
      </rPr>
      <t>/m</t>
    </r>
    <r>
      <rPr>
        <vertAlign val="superscript"/>
        <sz val="10"/>
        <color theme="0"/>
        <rFont val="Trebuchet MS"/>
        <family val="2"/>
      </rPr>
      <t>8</t>
    </r>
  </si>
  <si>
    <t>Ø305 Straight Duct (0.5m lengths)</t>
  </si>
  <si>
    <t>Ø305 Straight Duct (1.0m lengths)</t>
  </si>
  <si>
    <t>Ø305 Straight Duct (1.5m lengths)</t>
  </si>
  <si>
    <t>Ø305 Straight Duct (2.0m lengths)</t>
  </si>
  <si>
    <t>Ø305 Straight Duct (2.5m lengths)</t>
  </si>
  <si>
    <t>Ø305 Straight Duct (3.0m lengths)</t>
  </si>
  <si>
    <t>Ø305 Bend (5⁰)</t>
  </si>
  <si>
    <t>Ø305 Bend (10⁰)</t>
  </si>
  <si>
    <t>Ø305 Bend (15⁰)</t>
  </si>
  <si>
    <t>Ø305 Bend (20⁰)</t>
  </si>
  <si>
    <t>Ø305 Bend (25⁰)</t>
  </si>
  <si>
    <t>Ø305 Bend (30⁰)</t>
  </si>
  <si>
    <t>Ø305 Bend (35⁰)</t>
  </si>
  <si>
    <t>Ø305 Bend (40⁰)</t>
  </si>
  <si>
    <t>Ø305 Bend (45⁰)</t>
  </si>
  <si>
    <t>Ø305 Bend (50⁰)</t>
  </si>
  <si>
    <t>Ø305 Bend (55⁰)</t>
  </si>
  <si>
    <t>Ø305 Bend (60⁰)</t>
  </si>
  <si>
    <t>Ø305 Bend (65⁰)</t>
  </si>
  <si>
    <t>Ø305 Bend (70⁰)</t>
  </si>
  <si>
    <t>Ø305 Bend (75⁰)</t>
  </si>
  <si>
    <t>Ø305 Bend (80⁰)</t>
  </si>
  <si>
    <t>Ø305 Bend (85⁰)</t>
  </si>
  <si>
    <t>Ø305 Bend (90⁰)</t>
  </si>
  <si>
    <t>Ø305 T-Piece</t>
  </si>
  <si>
    <t>Ø305 Y-Piece</t>
  </si>
  <si>
    <t>Ø305 Screen</t>
  </si>
  <si>
    <t>Ø305 Flat Nose Cone</t>
  </si>
  <si>
    <t>Ø305 Sharp Nose Cone</t>
  </si>
  <si>
    <t>Ø305 to Ø380 Evaseé</t>
  </si>
  <si>
    <t>Ø305 to Ø405 Evaseé</t>
  </si>
  <si>
    <t>Ø305 to Ø570 Evaseé</t>
  </si>
  <si>
    <t>Ø305 to Ø760 Evaseé</t>
  </si>
  <si>
    <t>Ø305 to Ø1015 Evaseé</t>
  </si>
  <si>
    <t>Ø380 T-Piece</t>
  </si>
  <si>
    <t>Ø380 Y-Piece</t>
  </si>
  <si>
    <t>Ø380 to Ø405 Evaseé</t>
  </si>
  <si>
    <t>Ø380 to Ø570 Evaseé</t>
  </si>
  <si>
    <t>Ø380 to Ø760 Evaseé</t>
  </si>
  <si>
    <t>Ø380 to Ø1015 Evaseé</t>
  </si>
  <si>
    <t>Ø405 Straight Duct (0.5m lengths)</t>
  </si>
  <si>
    <t>Ø405 Straight Duct (1.0m lengths)</t>
  </si>
  <si>
    <t>Ø405 Straight Duct (1.5m lengths)</t>
  </si>
  <si>
    <t>Ø405 Straight Duct (2.0m lengths)</t>
  </si>
  <si>
    <t>Ø405 Straight Duct (2.5m lengths)</t>
  </si>
  <si>
    <t>Ø405 Straight Duct (3.0m lengths)</t>
  </si>
  <si>
    <t>Ø405 Bend (5⁰)</t>
  </si>
  <si>
    <t>Ø405 Bend (10⁰)</t>
  </si>
  <si>
    <t>Ø405 Bend (15⁰)</t>
  </si>
  <si>
    <t>Ø405 Bend (20⁰)</t>
  </si>
  <si>
    <t>Ø405 Bend (25⁰)</t>
  </si>
  <si>
    <t>Ø405 Bend (30⁰)</t>
  </si>
  <si>
    <t>Ø405 Bend (35⁰)</t>
  </si>
  <si>
    <t>Ø405 Bend (40⁰)</t>
  </si>
  <si>
    <t>Ø405 Bend (45⁰)</t>
  </si>
  <si>
    <t>Ø405 Bend (50⁰)</t>
  </si>
  <si>
    <t>Ø405 Bend (55⁰)</t>
  </si>
  <si>
    <t>Ø405 Bend (60⁰)</t>
  </si>
  <si>
    <t>Ø405 Bend (65⁰)</t>
  </si>
  <si>
    <t>Ø405 Bend (70⁰)</t>
  </si>
  <si>
    <t>Ø405 Bend (75⁰)</t>
  </si>
  <si>
    <t>Ø405 Bend (80⁰)</t>
  </si>
  <si>
    <t>Ø405 Bend (85⁰)</t>
  </si>
  <si>
    <t>Ø405 Bend (90⁰)</t>
  </si>
  <si>
    <t>Ø405 T-Piece</t>
  </si>
  <si>
    <t>Ø405 Y-Piece</t>
  </si>
  <si>
    <t>Ø405 Screen</t>
  </si>
  <si>
    <t>Ø405 Flat Nose Cone</t>
  </si>
  <si>
    <t>Ø405 Sharp Nose Cone</t>
  </si>
  <si>
    <t>Ø405 to Ø305 Reducer</t>
  </si>
  <si>
    <t>Ø405 to Ø380 Reducer</t>
  </si>
  <si>
    <t>Ø405 to Ø570 Evaseé</t>
  </si>
  <si>
    <t>Ø405 to Ø760 Evaseé</t>
  </si>
  <si>
    <t>Ø405 to Ø1015 Evaseé</t>
  </si>
  <si>
    <t>Ø570 Straight Duct (0.5m lengths)</t>
  </si>
  <si>
    <t>Ø570 Straight Duct (1.0m lengths)</t>
  </si>
  <si>
    <t>Ø570 Straight Duct (1.5m lengths)</t>
  </si>
  <si>
    <t>Ø570 Straight Duct (2.0m lengths)</t>
  </si>
  <si>
    <t>Ø570 Straight Duct (2.5m lengths)</t>
  </si>
  <si>
    <t>Ø570 Straight Duct (3.0m lengths)</t>
  </si>
  <si>
    <t>Ø570 Bend (5⁰)</t>
  </si>
  <si>
    <t>Ø570 Bend (10⁰)</t>
  </si>
  <si>
    <t>Ø570 Bend (15⁰)</t>
  </si>
  <si>
    <t>Ø570 Bend (20⁰)</t>
  </si>
  <si>
    <t>Ø570 Bend (25⁰)</t>
  </si>
  <si>
    <t>Ø570 Bend (30⁰)</t>
  </si>
  <si>
    <t>Ø570 Bend (35⁰)</t>
  </si>
  <si>
    <t>Ø570 Bend (40⁰)</t>
  </si>
  <si>
    <t>Ø570 Bend (45⁰)</t>
  </si>
  <si>
    <t>Ø570 Bend (50⁰)</t>
  </si>
  <si>
    <t>Ø570 Bend (55⁰)</t>
  </si>
  <si>
    <t>Ø570 Bend (60⁰)</t>
  </si>
  <si>
    <t>Ø570 Bend (65⁰)</t>
  </si>
  <si>
    <t>Ø570 Bend (70⁰)</t>
  </si>
  <si>
    <t>Ø570 Bend (75⁰)</t>
  </si>
  <si>
    <t>Ø570 Bend (80⁰)</t>
  </si>
  <si>
    <t>Ø570 Bend (85⁰)</t>
  </si>
  <si>
    <t>Ø570 Bend (90⁰)</t>
  </si>
  <si>
    <t>Ø570 T-Piece</t>
  </si>
  <si>
    <t>Ø570 Y-Piece</t>
  </si>
  <si>
    <t>Ø570 Screen</t>
  </si>
  <si>
    <t>Ø570 Flat Nose Cone</t>
  </si>
  <si>
    <t>Ø570 Sharp Nose Cone</t>
  </si>
  <si>
    <t>Ø570 to Ø305 Reducer</t>
  </si>
  <si>
    <t>Ø570 to Ø380 Reducer</t>
  </si>
  <si>
    <t>Ø570 to Ø405 Reducer</t>
  </si>
  <si>
    <t>Ø570 to Ø760 Evaseé</t>
  </si>
  <si>
    <t>Ø570 to Ø1015 Evaseé</t>
  </si>
  <si>
    <t>Ø760 Straight Duct (0.5m lengths)</t>
  </si>
  <si>
    <t>Ø760 Straight Duct (1.0m lengths)</t>
  </si>
  <si>
    <t>Ø760 Straight Duct (1.5m lengths)</t>
  </si>
  <si>
    <t>Ø760 Straight Duct (2.0m lengths)</t>
  </si>
  <si>
    <t>Ø760 Straight Duct (2.5m lengths)</t>
  </si>
  <si>
    <t>Ø760 Straight Duct (3.0m lengths)</t>
  </si>
  <si>
    <t>Ø760 Bend (5⁰)</t>
  </si>
  <si>
    <t>Ø760 Bend (10⁰)</t>
  </si>
  <si>
    <t>Ø760 Bend (15⁰)</t>
  </si>
  <si>
    <t>Ø760 Bend (20⁰)</t>
  </si>
  <si>
    <t>Ø760 Bend (25⁰)</t>
  </si>
  <si>
    <t>Ø760 Bend (30⁰)</t>
  </si>
  <si>
    <t>Ø760 Bend (35⁰)</t>
  </si>
  <si>
    <t>Ø760 Bend (40⁰)</t>
  </si>
  <si>
    <t>Ø760 Bend (45⁰)</t>
  </si>
  <si>
    <t>Ø760 Bend (50⁰)</t>
  </si>
  <si>
    <t>Ø760 Bend (55⁰)</t>
  </si>
  <si>
    <t>Ø760 Bend (60⁰)</t>
  </si>
  <si>
    <t>Ø760 Bend (65⁰)</t>
  </si>
  <si>
    <t>Ø760 Bend (70⁰)</t>
  </si>
  <si>
    <t>Ø760 Bend (75⁰)</t>
  </si>
  <si>
    <t>Ø760 Bend (80⁰)</t>
  </si>
  <si>
    <t>Ø760 Bend (85⁰)</t>
  </si>
  <si>
    <t>Ø760 Bend (90⁰)</t>
  </si>
  <si>
    <t>Ø760 T-Piece</t>
  </si>
  <si>
    <t>Ø760 Y-Piece</t>
  </si>
  <si>
    <t>Ø760 Screen</t>
  </si>
  <si>
    <t>Ø760 Flat Nose Cone</t>
  </si>
  <si>
    <t>Ø760 Sharp Nose Cone</t>
  </si>
  <si>
    <t>Ø760 to Ø305 Reducer</t>
  </si>
  <si>
    <t>Ø760 to Ø380 Reducer</t>
  </si>
  <si>
    <t>Ø760 to Ø405 Reducer</t>
  </si>
  <si>
    <t>Ø760 to Ø570 Reducer</t>
  </si>
  <si>
    <t>Ø760 to Ø1015 Evaseé</t>
  </si>
  <si>
    <t>Ø1015 Straight Duct (0.5m lengths)</t>
  </si>
  <si>
    <t>Ø1015 Straight Duct (1.0m lengths)</t>
  </si>
  <si>
    <t>Ø1015 Straight Duct (1.5m lengths)</t>
  </si>
  <si>
    <t>Ø1015 Straight Duct (2.0m lengths)</t>
  </si>
  <si>
    <t>Ø1015 Straight Duct (2.5m lengths)</t>
  </si>
  <si>
    <t>Ø1015 Straight Duct (3.0m lengths)</t>
  </si>
  <si>
    <t>Ø1015 Bend (5⁰)</t>
  </si>
  <si>
    <t>Ø1015 Bend (10⁰)</t>
  </si>
  <si>
    <t>Ø1015 Bend (15⁰)</t>
  </si>
  <si>
    <t>Ø1015 Bend (20⁰)</t>
  </si>
  <si>
    <t>Ø1015 Bend (25⁰)</t>
  </si>
  <si>
    <t>Ø1015 Bend (30⁰)</t>
  </si>
  <si>
    <t>Ø1015 Bend (35⁰)</t>
  </si>
  <si>
    <t>Ø1015 Bend (40⁰)</t>
  </si>
  <si>
    <t>Ø1015 Bend (45⁰)</t>
  </si>
  <si>
    <t>Ø1015 Bend (50⁰)</t>
  </si>
  <si>
    <t>Ø1015 Bend (55⁰)</t>
  </si>
  <si>
    <t>Ø1015 Bend (60⁰)</t>
  </si>
  <si>
    <t>Ø1015 Bend (65⁰)</t>
  </si>
  <si>
    <t>Ø1015 Bend (70⁰)</t>
  </si>
  <si>
    <t>Ø1015 Bend (75⁰)</t>
  </si>
  <si>
    <t>Ø1015 Bend (80⁰)</t>
  </si>
  <si>
    <t>Ø1015 Bend (85⁰)</t>
  </si>
  <si>
    <t>Ø1015 Bend (90⁰)</t>
  </si>
  <si>
    <t>Ø1015 T-Piece</t>
  </si>
  <si>
    <t>Ø1015 Y-Piece</t>
  </si>
  <si>
    <t>Ø1015 Screen</t>
  </si>
  <si>
    <t>Ø1015 Flat Nose Cone</t>
  </si>
  <si>
    <t>Ø1015 Sharp Nose Cone</t>
  </si>
  <si>
    <t>Ø1015 to Ø305 Reducer</t>
  </si>
  <si>
    <t>Ø1015 to Ø380 Reducer</t>
  </si>
  <si>
    <t>Ø1015 to Ø405 Reducer</t>
  </si>
  <si>
    <t>Ø1015 to Ø570 Reducer</t>
  </si>
  <si>
    <t>Ø1015 to Ø760 Reducer</t>
  </si>
  <si>
    <t>Air Quantity</t>
  </si>
  <si>
    <t xml:space="preserve"> Static Pressure</t>
  </si>
  <si>
    <t xml:space="preserve"> Input PWR</t>
  </si>
  <si>
    <t xml:space="preserve"> Eff%</t>
  </si>
  <si>
    <t>Measurement</t>
  </si>
  <si>
    <t>Symbol</t>
  </si>
  <si>
    <t>Unit</t>
  </si>
  <si>
    <t>Out</t>
  </si>
  <si>
    <t>Wet-Bulb Temperature</t>
  </si>
  <si>
    <t>Dry-Bulb Temperature</t>
  </si>
  <si>
    <t>Atmospheric Pressure</t>
  </si>
  <si>
    <t>P</t>
  </si>
  <si>
    <t>kPa</t>
  </si>
  <si>
    <t>Quantity</t>
  </si>
  <si>
    <t>Q</t>
  </si>
  <si>
    <t>Apparent Specific Humidity</t>
  </si>
  <si>
    <t>ASH</t>
  </si>
  <si>
    <t>kg/kg</t>
  </si>
  <si>
    <t>Vapour Pressure</t>
  </si>
  <si>
    <t>A</t>
  </si>
  <si>
    <t>Apparent Specific Volume</t>
  </si>
  <si>
    <t>v</t>
  </si>
  <si>
    <t>T</t>
  </si>
  <si>
    <t>K</t>
  </si>
  <si>
    <t>Density</t>
  </si>
  <si>
    <t>w</t>
  </si>
  <si>
    <t>Sigma Energy</t>
  </si>
  <si>
    <t>S</t>
  </si>
  <si>
    <t>kJ/kg</t>
  </si>
  <si>
    <t>Relative Humidity</t>
  </si>
  <si>
    <t>ϕ</t>
  </si>
  <si>
    <t>%</t>
  </si>
  <si>
    <t>Dew Point Temperature</t>
  </si>
  <si>
    <t>x</t>
  </si>
  <si>
    <t>Enthalpy</t>
  </si>
  <si>
    <t>H</t>
  </si>
  <si>
    <t>Massflow</t>
  </si>
  <si>
    <t>M</t>
  </si>
  <si>
    <t>kW</t>
  </si>
  <si>
    <t>-</t>
  </si>
  <si>
    <t>Pa</t>
  </si>
  <si>
    <t>W</t>
  </si>
  <si>
    <t>Eff</t>
  </si>
  <si>
    <r>
      <t>P</t>
    </r>
    <r>
      <rPr>
        <vertAlign val="subscript"/>
        <sz val="10"/>
        <color theme="0"/>
        <rFont val="Trebuchet MS"/>
        <family val="2"/>
      </rPr>
      <t>S</t>
    </r>
  </si>
  <si>
    <r>
      <t>kg/m</t>
    </r>
    <r>
      <rPr>
        <vertAlign val="superscript"/>
        <sz val="10"/>
        <color theme="0"/>
        <rFont val="Trebuchet MS"/>
        <family val="2"/>
      </rPr>
      <t>3</t>
    </r>
  </si>
  <si>
    <r>
      <t>m</t>
    </r>
    <r>
      <rPr>
        <vertAlign val="superscript"/>
        <sz val="10"/>
        <color theme="0"/>
        <rFont val="Trebuchet MS"/>
        <family val="2"/>
      </rPr>
      <t>3</t>
    </r>
    <r>
      <rPr>
        <sz val="10"/>
        <color theme="0"/>
        <rFont val="Trebuchet MS"/>
        <family val="2"/>
      </rPr>
      <t>/s</t>
    </r>
  </si>
  <si>
    <t>Fan Name</t>
  </si>
  <si>
    <t>Max Count</t>
  </si>
  <si>
    <t>Fan</t>
  </si>
  <si>
    <t>Fan No</t>
  </si>
  <si>
    <t>Selected Fan No</t>
  </si>
  <si>
    <t>Duct Components</t>
  </si>
  <si>
    <t>Fan Selection Lsit</t>
  </si>
  <si>
    <t>n</t>
  </si>
  <si>
    <t>Fan Stall Zone Starts at</t>
  </si>
  <si>
    <t>Stall Pressure</t>
  </si>
  <si>
    <t>Stall Quantity</t>
  </si>
  <si>
    <t>Unit Resistance</t>
  </si>
  <si>
    <t>System Resistance</t>
  </si>
  <si>
    <t>Stall Resistance</t>
  </si>
  <si>
    <r>
      <t>Resistance in Ns</t>
    </r>
    <r>
      <rPr>
        <vertAlign val="superscript"/>
        <sz val="10"/>
        <color theme="0"/>
        <rFont val="Trebuchet MS"/>
        <family val="2"/>
      </rPr>
      <t>2</t>
    </r>
    <r>
      <rPr>
        <sz val="10"/>
        <color theme="0"/>
        <rFont val="Trebuchet MS"/>
        <family val="2"/>
      </rPr>
      <t>/m</t>
    </r>
    <r>
      <rPr>
        <vertAlign val="superscript"/>
        <sz val="10"/>
        <color theme="0"/>
        <rFont val="Trebuchet MS"/>
        <family val="2"/>
      </rPr>
      <t>8</t>
    </r>
  </si>
  <si>
    <t>Known / Assumed Fan Inlet Conditions</t>
  </si>
  <si>
    <t>Duct &amp; Fan Selection Tool</t>
  </si>
  <si>
    <t>True Density</t>
  </si>
  <si>
    <t>ω</t>
  </si>
  <si>
    <t>Temperature List</t>
  </si>
  <si>
    <t>Pressure List</t>
  </si>
  <si>
    <t>Fan Inlet Components</t>
  </si>
  <si>
    <t>Fan Outlet Components</t>
  </si>
  <si>
    <t>Components that Split the Column</t>
  </si>
  <si>
    <t>Additional Outlet Components (Stream 2)</t>
  </si>
  <si>
    <t>Additional Outlet Components (Stream 1)</t>
  </si>
  <si>
    <t>Section Resistance</t>
  </si>
  <si>
    <t>Total System Resistance</t>
  </si>
  <si>
    <t>Parallel System Resistance</t>
  </si>
  <si>
    <t>New Density</t>
  </si>
  <si>
    <t>MAX</t>
  </si>
  <si>
    <t xml:space="preserve"> New Input PWR</t>
  </si>
  <si>
    <t>Fan Quantity</t>
  </si>
  <si>
    <t>Original Input Power</t>
  </si>
  <si>
    <t>Air Power</t>
  </si>
  <si>
    <t>Position</t>
  </si>
  <si>
    <t>Original Testing Density</t>
  </si>
  <si>
    <t>% Resistance from Stall Zone</t>
  </si>
  <si>
    <r>
      <t>Ns</t>
    </r>
    <r>
      <rPr>
        <vertAlign val="superscript"/>
        <sz val="10"/>
        <color theme="1"/>
        <rFont val="Trebuchet MS"/>
        <family val="2"/>
      </rPr>
      <t>2</t>
    </r>
    <r>
      <rPr>
        <sz val="10"/>
        <color theme="1"/>
        <rFont val="Trebuchet MS"/>
        <family val="2"/>
      </rPr>
      <t>/m</t>
    </r>
    <r>
      <rPr>
        <vertAlign val="superscript"/>
        <sz val="10"/>
        <color theme="1"/>
        <rFont val="Trebuchet MS"/>
        <family val="2"/>
      </rPr>
      <t>8</t>
    </r>
  </si>
  <si>
    <r>
      <t>H'</t>
    </r>
    <r>
      <rPr>
        <vertAlign val="subscript"/>
        <sz val="10"/>
        <color theme="1"/>
        <rFont val="Trebuchet MS"/>
        <family val="2"/>
      </rPr>
      <t>wl</t>
    </r>
  </si>
  <si>
    <r>
      <t>P"</t>
    </r>
    <r>
      <rPr>
        <vertAlign val="subscript"/>
        <sz val="10"/>
        <color theme="1"/>
        <rFont val="Trebuchet MS"/>
        <family val="2"/>
      </rPr>
      <t>s</t>
    </r>
  </si>
  <si>
    <r>
      <t>t</t>
    </r>
    <r>
      <rPr>
        <vertAlign val="subscript"/>
        <sz val="10"/>
        <color theme="1"/>
        <rFont val="Trebuchet MS"/>
        <family val="2"/>
      </rPr>
      <t>dp</t>
    </r>
  </si>
  <si>
    <r>
      <t>o</t>
    </r>
    <r>
      <rPr>
        <sz val="10"/>
        <color theme="1"/>
        <rFont val="Trebuchet MS"/>
        <family val="2"/>
      </rPr>
      <t>C</t>
    </r>
  </si>
  <si>
    <r>
      <t>H</t>
    </r>
    <r>
      <rPr>
        <vertAlign val="subscript"/>
        <sz val="10"/>
        <color theme="1"/>
        <rFont val="Trebuchet MS"/>
        <family val="2"/>
      </rPr>
      <t>a</t>
    </r>
  </si>
  <si>
    <r>
      <t>H'</t>
    </r>
    <r>
      <rPr>
        <vertAlign val="subscript"/>
        <sz val="10"/>
        <color theme="1"/>
        <rFont val="Trebuchet MS"/>
        <family val="2"/>
      </rPr>
      <t>w</t>
    </r>
  </si>
  <si>
    <r>
      <t>P</t>
    </r>
    <r>
      <rPr>
        <vertAlign val="subscript"/>
        <sz val="10"/>
        <color theme="1"/>
        <rFont val="Trebuchet MS"/>
        <family val="2"/>
      </rPr>
      <t>w</t>
    </r>
  </si>
  <si>
    <r>
      <t>P</t>
    </r>
    <r>
      <rPr>
        <vertAlign val="subscript"/>
        <sz val="10"/>
        <color theme="1"/>
        <rFont val="Trebuchet MS"/>
        <family val="2"/>
      </rPr>
      <t>s</t>
    </r>
  </si>
  <si>
    <r>
      <t>o</t>
    </r>
    <r>
      <rPr>
        <sz val="10"/>
        <color theme="1"/>
        <rFont val="Trebuchet MS"/>
        <family val="2"/>
      </rPr>
      <t>C</t>
    </r>
    <r>
      <rPr>
        <vertAlign val="superscript"/>
        <sz val="10"/>
        <color theme="1"/>
        <rFont val="Trebuchet MS"/>
        <family val="2"/>
      </rPr>
      <t>-1</t>
    </r>
  </si>
  <si>
    <r>
      <t>m</t>
    </r>
    <r>
      <rPr>
        <vertAlign val="superscript"/>
        <sz val="10"/>
        <color theme="1"/>
        <rFont val="Trebuchet MS"/>
        <family val="2"/>
      </rPr>
      <t>3</t>
    </r>
    <r>
      <rPr>
        <sz val="10"/>
        <color theme="1"/>
        <rFont val="Trebuchet MS"/>
        <family val="2"/>
      </rPr>
      <t>/kg</t>
    </r>
  </si>
  <si>
    <t>Stream 2</t>
  </si>
  <si>
    <t>Stream 1</t>
  </si>
  <si>
    <t>Straight Duct</t>
  </si>
  <si>
    <t>Bend (5⁰ to 90⁰)</t>
  </si>
  <si>
    <t>Sharp Nose Cones</t>
  </si>
  <si>
    <t>Flat Nose Cones</t>
  </si>
  <si>
    <t>Screens</t>
  </si>
  <si>
    <t>Picture</t>
  </si>
  <si>
    <t>T &amp; Y-Pieces</t>
  </si>
  <si>
    <t>Evaseés &amp; Reducers</t>
  </si>
  <si>
    <t>Diameter</t>
  </si>
  <si>
    <t>mm</t>
  </si>
  <si>
    <t>Ø</t>
  </si>
  <si>
    <t>Duty</t>
  </si>
  <si>
    <t>q</t>
  </si>
  <si>
    <t>Standard and Attenuated</t>
  </si>
  <si>
    <t>Motor Type</t>
  </si>
  <si>
    <t>4-Pole</t>
  </si>
  <si>
    <t>2-Pole</t>
  </si>
  <si>
    <t>Durafan</t>
  </si>
  <si>
    <t>Inline Centrifugal</t>
  </si>
  <si>
    <t>Double</t>
  </si>
  <si>
    <t>Stages</t>
  </si>
  <si>
    <t>Single</t>
  </si>
  <si>
    <t>Ø406mm, 4kW, 2-Pole Standard and Attenuated (Single Stage)</t>
  </si>
  <si>
    <t>Ø570mm, 7.5kW, 4-Pole Durafan (Single Stage)</t>
  </si>
  <si>
    <t>Ø570mm, 7.5kW, 2-Pole Standard and Attenuated (Single Stage)</t>
  </si>
  <si>
    <t>Ø570mm, 11kW, 4-Pole Durafan (Single Stage)</t>
  </si>
  <si>
    <t>Ø570mm, 11kW, 2-Pole Standard and Attenuated (Single Stage)</t>
  </si>
  <si>
    <t>Ø570mm, 15kW, 2-Pole Inline Centrifugal (Single Stage)</t>
  </si>
  <si>
    <t>Ø570mm, 15kW, 2-Pole Standard and Attenuated (Single Stage)</t>
  </si>
  <si>
    <t>Ø570mm, 15kW, 4-Pole Durafan (Single Stage)</t>
  </si>
  <si>
    <t>Ø570mm, 18.5kW, 2-Pole Standard and Attenuated (Single Stage)</t>
  </si>
  <si>
    <t>Ø760mm, 18.5kW, 2-Pole Standard and Attenuated (Single Stage)</t>
  </si>
  <si>
    <t>Ø570mm, 22kW, 2-Pole Standard and Attenuated (Single Stage)</t>
  </si>
  <si>
    <t>Ø760mm, 22kW, 2-Pole Standard and Attenuated (Single Stage)</t>
  </si>
  <si>
    <t>Ø760mm, 22kW, 4-Pole Durafan (Single Stage)</t>
  </si>
  <si>
    <t>Ø760mm, 22kW, 4-Pole Standard and Attenuated (Single Stage)</t>
  </si>
  <si>
    <t>Ø760mm, 30kW, 2-Pole Standard and Attenuated (Single Stage)</t>
  </si>
  <si>
    <t>Ø760mm, 37kW, 2-Pole Standard and Attenuated (Single Stage)</t>
  </si>
  <si>
    <t>Ø1220mm, 37kW, 4-Pole Standard and Attenuated (Double Stage)</t>
  </si>
  <si>
    <t>Ø1220mm, 37kW, 4-Pole Standard and Attenuated (Single Stage)</t>
  </si>
  <si>
    <t>Ø760mm, 45kW, 4-Pole Durafan (Single Stage)</t>
  </si>
  <si>
    <t>Ø760mm, 45kW, 2-Pole Standard and Attenuated (Single Stage)</t>
  </si>
  <si>
    <t>Ø1016mm, 75kW, 2-Pole Standard and Attenuated (Single Stage)</t>
  </si>
  <si>
    <t>Ø1220mm, 75kW, 4-Pole Standard and Attenuated (Single Stage)</t>
  </si>
  <si>
    <t>Maximum Qty</t>
  </si>
  <si>
    <t>Minimum Qty</t>
  </si>
  <si>
    <t>No of Samples</t>
  </si>
  <si>
    <t>Difference in Qty</t>
  </si>
  <si>
    <t>Interval Spacing</t>
  </si>
  <si>
    <t>Stall indicator</t>
  </si>
  <si>
    <t>END</t>
  </si>
  <si>
    <t>START</t>
  </si>
  <si>
    <t>Fan Stall Zone Ends At</t>
  </si>
  <si>
    <t>Fan Stall Zone Starts At</t>
  </si>
  <si>
    <t>Stall Zone</t>
  </si>
  <si>
    <t>Start</t>
  </si>
  <si>
    <t>End</t>
  </si>
  <si>
    <t>High Stall Point R</t>
  </si>
  <si>
    <t>Low Stall Point R</t>
  </si>
  <si>
    <r>
      <t>T</t>
    </r>
    <r>
      <rPr>
        <vertAlign val="subscript"/>
        <sz val="10"/>
        <color theme="1"/>
        <rFont val="Trebuchet MS"/>
        <family val="2"/>
      </rPr>
      <t>wb</t>
    </r>
  </si>
  <si>
    <r>
      <t>o</t>
    </r>
    <r>
      <rPr>
        <i/>
        <sz val="10"/>
        <color theme="1"/>
        <rFont val="Trebuchet MS"/>
        <family val="2"/>
      </rPr>
      <t>C</t>
    </r>
  </si>
  <si>
    <r>
      <t>T</t>
    </r>
    <r>
      <rPr>
        <vertAlign val="subscript"/>
        <sz val="10"/>
        <color theme="1"/>
        <rFont val="Trebuchet MS"/>
        <family val="2"/>
      </rPr>
      <t>db</t>
    </r>
  </si>
  <si>
    <r>
      <t>kg/m</t>
    </r>
    <r>
      <rPr>
        <i/>
        <vertAlign val="superscript"/>
        <sz val="10"/>
        <color theme="1"/>
        <rFont val="Trebuchet MS"/>
        <family val="2"/>
      </rPr>
      <t>3</t>
    </r>
  </si>
  <si>
    <r>
      <t>m</t>
    </r>
    <r>
      <rPr>
        <i/>
        <vertAlign val="superscript"/>
        <sz val="10"/>
        <color theme="1"/>
        <rFont val="Trebuchet MS"/>
        <family val="2"/>
      </rPr>
      <t>3</t>
    </r>
    <r>
      <rPr>
        <i/>
        <sz val="10"/>
        <color theme="1"/>
        <rFont val="Trebuchet MS"/>
        <family val="2"/>
      </rPr>
      <t>/s</t>
    </r>
  </si>
  <si>
    <r>
      <t>Ns</t>
    </r>
    <r>
      <rPr>
        <i/>
        <vertAlign val="superscript"/>
        <sz val="10"/>
        <color theme="1"/>
        <rFont val="Trebuchet MS"/>
        <family val="2"/>
      </rPr>
      <t>2</t>
    </r>
    <r>
      <rPr>
        <i/>
        <sz val="10"/>
        <color theme="1"/>
        <rFont val="Trebuchet MS"/>
        <family val="2"/>
      </rPr>
      <t>/m</t>
    </r>
    <r>
      <rPr>
        <i/>
        <vertAlign val="superscript"/>
        <sz val="10"/>
        <color theme="1"/>
        <rFont val="Trebuchet MS"/>
        <family val="2"/>
      </rPr>
      <t>8</t>
    </r>
  </si>
  <si>
    <r>
      <t>m</t>
    </r>
    <r>
      <rPr>
        <vertAlign val="superscript"/>
        <sz val="10"/>
        <color theme="1"/>
        <rFont val="Trebuchet MS"/>
        <family val="2"/>
      </rPr>
      <t>3</t>
    </r>
    <r>
      <rPr>
        <sz val="10"/>
        <color theme="1"/>
        <rFont val="Trebuchet MS"/>
        <family val="2"/>
      </rPr>
      <t>/s</t>
    </r>
  </si>
  <si>
    <r>
      <t>m</t>
    </r>
    <r>
      <rPr>
        <vertAlign val="superscript"/>
        <sz val="8"/>
        <color theme="1"/>
        <rFont val="Trebuchet MS"/>
        <family val="2"/>
      </rPr>
      <t>3</t>
    </r>
    <r>
      <rPr>
        <sz val="8"/>
        <color theme="1"/>
        <rFont val="Trebuchet MS"/>
        <family val="2"/>
      </rPr>
      <t>/s</t>
    </r>
  </si>
  <si>
    <t>VIDEX MINING PRODUCTS</t>
  </si>
  <si>
    <r>
      <t>kg/m</t>
    </r>
    <r>
      <rPr>
        <vertAlign val="superscript"/>
        <sz val="10"/>
        <color rgb="FF02AAEF"/>
        <rFont val="Trebuchet MS"/>
        <family val="2"/>
      </rPr>
      <t>3</t>
    </r>
  </si>
  <si>
    <t>C</t>
  </si>
  <si>
    <t>L</t>
  </si>
  <si>
    <t>Type</t>
  </si>
  <si>
    <t>Deg</t>
  </si>
  <si>
    <t>Equivalent Duct length / Deg</t>
  </si>
  <si>
    <t>Bend</t>
  </si>
  <si>
    <t>T-Piece</t>
  </si>
  <si>
    <t>Y-Piece</t>
  </si>
  <si>
    <t>Screen</t>
  </si>
  <si>
    <t>Flat Nose Cone</t>
  </si>
  <si>
    <t>Sharp Nose Cone</t>
  </si>
  <si>
    <t>m</t>
  </si>
  <si>
    <r>
      <t>m</t>
    </r>
    <r>
      <rPr>
        <vertAlign val="superscript"/>
        <sz val="10"/>
        <color theme="0"/>
        <rFont val="Trebuchet MS"/>
        <family val="2"/>
      </rPr>
      <t>2</t>
    </r>
  </si>
  <si>
    <t>Ø or d</t>
  </si>
  <si>
    <t>Average Density</t>
  </si>
  <si>
    <t>Circumference</t>
  </si>
  <si>
    <t>Area</t>
  </si>
  <si>
    <t>Duct Diameter</t>
  </si>
  <si>
    <t>Total Resistance</t>
  </si>
  <si>
    <r>
      <t xml:space="preserve">Resistance Increase </t>
    </r>
    <r>
      <rPr>
        <b/>
        <sz val="8"/>
        <color theme="0"/>
        <rFont val="Trebuchet MS"/>
        <family val="2"/>
      </rPr>
      <t>(Static Pressure Gain / Loss)</t>
    </r>
  </si>
  <si>
    <t>Actual Resistance</t>
  </si>
  <si>
    <t>In</t>
  </si>
  <si>
    <r>
      <t>Ns</t>
    </r>
    <r>
      <rPr>
        <vertAlign val="superscript"/>
        <sz val="10"/>
        <color theme="0"/>
        <rFont val="Trebuchet MS"/>
        <family val="2"/>
      </rPr>
      <t>2</t>
    </r>
    <r>
      <rPr>
        <sz val="10"/>
        <color theme="0"/>
        <rFont val="Trebuchet MS"/>
        <family val="2"/>
      </rPr>
      <t>/m</t>
    </r>
    <r>
      <rPr>
        <vertAlign val="superscript"/>
        <sz val="10"/>
        <color theme="0"/>
        <rFont val="Trebuchet MS"/>
        <family val="2"/>
      </rPr>
      <t>4</t>
    </r>
  </si>
  <si>
    <t>Friction Factor</t>
  </si>
  <si>
    <t>Duct Length</t>
  </si>
  <si>
    <r>
      <t>Component (1.2kg/m</t>
    </r>
    <r>
      <rPr>
        <b/>
        <vertAlign val="superscript"/>
        <sz val="10"/>
        <color theme="0"/>
        <rFont val="Trebuchet MS"/>
        <family val="2"/>
      </rPr>
      <t>3</t>
    </r>
    <r>
      <rPr>
        <b/>
        <sz val="10"/>
        <color theme="0"/>
        <rFont val="Trebuchet MS"/>
        <family val="2"/>
      </rPr>
      <t>)</t>
    </r>
  </si>
  <si>
    <t>Ø305 Straight Duct (3.5m lengths)</t>
  </si>
  <si>
    <t>Ø305 Straight Duct (4.0m lengths)</t>
  </si>
  <si>
    <t>Ø305 to Ø1220 Evaseé</t>
  </si>
  <si>
    <t>Ø380 to Ø1220 Evaseé</t>
  </si>
  <si>
    <t>Ø405 Straight Duct (3.5m lengths)</t>
  </si>
  <si>
    <t>Ø405 Straight Duct (4.0m lengths)</t>
  </si>
  <si>
    <t>Ø405 to Ø1220 Evaseé</t>
  </si>
  <si>
    <t>Ø570 Straight Duct (3.5m lengths)</t>
  </si>
  <si>
    <t>Ø570 Straight Duct (4.0m lengths)</t>
  </si>
  <si>
    <t>Ø570 to Ø1220 Evaseé</t>
  </si>
  <si>
    <t>Ø760 Straight Duct (3.5m lengths)</t>
  </si>
  <si>
    <t>Ø760 Straight Duct (4.0m lengths)</t>
  </si>
  <si>
    <t>Ø760 to Ø1220 Evaseé</t>
  </si>
  <si>
    <t>Ø1015 Straight Duct (3.5m lengths)</t>
  </si>
  <si>
    <t>Ø1015 Straight Duct (4.0m lengths)</t>
  </si>
  <si>
    <t>Ø1015 to Ø1220 Evaseé</t>
  </si>
  <si>
    <t>Ø1220 Straight Duct (0.5m lengths)</t>
  </si>
  <si>
    <t>Ø1220 Straight Duct (1.0m lengths)</t>
  </si>
  <si>
    <t>Ø1220 Straight Duct (1.5m lengths)</t>
  </si>
  <si>
    <t>Ø1220 Straight Duct (2.0m lengths)</t>
  </si>
  <si>
    <t>Ø1220 Straight Duct (2.5m lengths)</t>
  </si>
  <si>
    <t>Ø1220 Straight Duct (3.0m lengths)</t>
  </si>
  <si>
    <t>Ø1220 Straight Duct (3.5m lengths)</t>
  </si>
  <si>
    <t>Ø1220 Straight Duct (4.0m lengths)</t>
  </si>
  <si>
    <t>Ø1220 Bend (5⁰)</t>
  </si>
  <si>
    <t>Ø1220 Bend (10⁰)</t>
  </si>
  <si>
    <t>Ø1220 Bend (15⁰)</t>
  </si>
  <si>
    <t>Ø1220 Bend (20⁰)</t>
  </si>
  <si>
    <t>Ø1220 Bend (25⁰)</t>
  </si>
  <si>
    <t>Ø1220 Bend (30⁰)</t>
  </si>
  <si>
    <t>Ø1220 Bend (35⁰)</t>
  </si>
  <si>
    <t>Ø1220 Bend (40⁰)</t>
  </si>
  <si>
    <t>Ø1220 Bend (45⁰)</t>
  </si>
  <si>
    <t>Ø1220 Bend (50⁰)</t>
  </si>
  <si>
    <t>Ø1220 Bend (55⁰)</t>
  </si>
  <si>
    <t>Ø1220 Bend (60⁰)</t>
  </si>
  <si>
    <t>Ø1220 Bend (65⁰)</t>
  </si>
  <si>
    <t>Ø1220 Bend (70⁰)</t>
  </si>
  <si>
    <t>Ø1220 Bend (75⁰)</t>
  </si>
  <si>
    <t>Ø1220 Bend (80⁰)</t>
  </si>
  <si>
    <t>Ø1220 Bend (85⁰)</t>
  </si>
  <si>
    <t>Ø1220 Bend (90⁰)</t>
  </si>
  <si>
    <t>Ø1220 T-Piece</t>
  </si>
  <si>
    <t>Ø1220 Y-Piece</t>
  </si>
  <si>
    <t>Ø1220 Screen</t>
  </si>
  <si>
    <t>Ø1220 Flat Nose Cone</t>
  </si>
  <si>
    <t>Ø1220 Sharp Nose Cone</t>
  </si>
  <si>
    <t>Ø1220 to Ø305 Reducer</t>
  </si>
  <si>
    <t>Ø1220 to Ø380 Reducer</t>
  </si>
  <si>
    <t>Ø1220 to Ø405 Reducer</t>
  </si>
  <si>
    <t>Ø1220 to Ø570 Reducer</t>
  </si>
  <si>
    <t>Ø1220 to Ø760 Reducer</t>
  </si>
  <si>
    <t>Ø1220 to Ø1015 Reducer</t>
  </si>
  <si>
    <t>Start P</t>
  </si>
  <si>
    <t>Start Q</t>
  </si>
  <si>
    <t>End P</t>
  </si>
  <si>
    <t>End Q</t>
  </si>
  <si>
    <t>Page 1 of 2</t>
  </si>
  <si>
    <t>Input Power (Density Corrected)</t>
  </si>
  <si>
    <t>Efficiency in %</t>
  </si>
  <si>
    <t>Duct</t>
  </si>
  <si>
    <t>B</t>
  </si>
  <si>
    <t>X</t>
  </si>
  <si>
    <t>Y</t>
  </si>
  <si>
    <t>Plot Points</t>
  </si>
  <si>
    <t>System Operating Point</t>
  </si>
  <si>
    <t>Fan Performance</t>
  </si>
  <si>
    <t>Pressure</t>
  </si>
  <si>
    <t>Stream 1&amp;2</t>
  </si>
  <si>
    <t>Note: No leakage is taken into account in this equation.</t>
  </si>
  <si>
    <t>Ø380 to Ø305 Reducer</t>
  </si>
  <si>
    <t>Current Power Cost</t>
  </si>
  <si>
    <t>R/kWhr</t>
  </si>
  <si>
    <r>
      <t>Max P</t>
    </r>
    <r>
      <rPr>
        <vertAlign val="subscript"/>
        <sz val="10"/>
        <color rgb="FFFF0000"/>
        <rFont val="Trebuchet MS"/>
        <family val="2"/>
      </rPr>
      <t>fan</t>
    </r>
  </si>
  <si>
    <t>Pow</t>
  </si>
  <si>
    <t>Power</t>
  </si>
  <si>
    <t>Fan Power Required</t>
  </si>
  <si>
    <t>Input</t>
  </si>
  <si>
    <t>Ouput</t>
  </si>
  <si>
    <t>Eff.</t>
  </si>
  <si>
    <t>Running Cost</t>
  </si>
  <si>
    <t>R/Hour</t>
  </si>
  <si>
    <t>R/Day</t>
  </si>
  <si>
    <t>R/Year</t>
  </si>
  <si>
    <t>R/Month</t>
  </si>
  <si>
    <t>Fan Power &amp; Costs</t>
  </si>
  <si>
    <t>6 Swage standard galvanised ducting</t>
  </si>
  <si>
    <t>8 Swage standard galvanised ducting</t>
  </si>
  <si>
    <t>This System</t>
  </si>
  <si>
    <t>Note: Duct costs are not included in the above calculation</t>
  </si>
  <si>
    <r>
      <t>Running Cost / 1.0m</t>
    </r>
    <r>
      <rPr>
        <b/>
        <vertAlign val="superscript"/>
        <sz val="10"/>
        <color theme="1"/>
        <rFont val="Trebuchet MS"/>
        <family val="2"/>
      </rPr>
      <t>3</t>
    </r>
    <r>
      <rPr>
        <b/>
        <sz val="10"/>
        <color theme="1"/>
        <rFont val="Trebuchet MS"/>
        <family val="2"/>
      </rPr>
      <t xml:space="preserve"> of Ventilation</t>
    </r>
  </si>
  <si>
    <t>Page 2 of 3</t>
  </si>
  <si>
    <t>Page 3 of 3</t>
  </si>
  <si>
    <t>Fan to be used in this System:</t>
  </si>
  <si>
    <t>kg/s</t>
  </si>
  <si>
    <t>The above list reflects fans available form Axial Flow Fans</t>
  </si>
  <si>
    <t>Jan</t>
  </si>
  <si>
    <t>Apr</t>
  </si>
  <si>
    <t>Jul</t>
  </si>
  <si>
    <t>Oct</t>
  </si>
  <si>
    <t>Feb</t>
  </si>
  <si>
    <t>May</t>
  </si>
  <si>
    <t>Aug</t>
  </si>
  <si>
    <t>Nov</t>
  </si>
  <si>
    <t>Mar</t>
  </si>
  <si>
    <t>Jun</t>
  </si>
  <si>
    <t>Sep</t>
  </si>
  <si>
    <t>Dec</t>
  </si>
  <si>
    <t>Enter year for calendar:</t>
  </si>
  <si>
    <t>CHANGE THE YEAR HERE</t>
  </si>
  <si>
    <t>(1900  -  2078)</t>
  </si>
  <si>
    <t>CALENDER FOR</t>
  </si>
  <si>
    <t>JANUARY</t>
  </si>
  <si>
    <t>FEBRUARY</t>
  </si>
  <si>
    <t>MARCH</t>
  </si>
  <si>
    <t>WK</t>
  </si>
  <si>
    <t>SUN</t>
  </si>
  <si>
    <t>MON</t>
  </si>
  <si>
    <t>TUE</t>
  </si>
  <si>
    <t>WED</t>
  </si>
  <si>
    <t>THU</t>
  </si>
  <si>
    <t>FRI</t>
  </si>
  <si>
    <t>SAT</t>
  </si>
  <si>
    <t>APRIL</t>
  </si>
  <si>
    <t>MAY</t>
  </si>
  <si>
    <t>JUNE</t>
  </si>
  <si>
    <t>JULY</t>
  </si>
  <si>
    <t>AUGUST</t>
  </si>
  <si>
    <t>SEPTEMBER</t>
  </si>
  <si>
    <t>OCTOBER</t>
  </si>
  <si>
    <t>NOVEMBER</t>
  </si>
  <si>
    <t>DECEMBER</t>
  </si>
  <si>
    <t>HEAT AND COOLING CALCULATIONS</t>
  </si>
  <si>
    <t>INPUTS</t>
  </si>
  <si>
    <t>Year 1</t>
  </si>
  <si>
    <t>Section X</t>
  </si>
  <si>
    <t>Section Y</t>
  </si>
  <si>
    <t>Section Z</t>
  </si>
  <si>
    <t xml:space="preserve">VENTILATION DISTRICT </t>
  </si>
  <si>
    <t>TOT/AVE</t>
  </si>
  <si>
    <t>PLAN</t>
  </si>
  <si>
    <t>AIR</t>
  </si>
  <si>
    <t>KT</t>
  </si>
  <si>
    <t>MONTHLY PROD. RATE IN KT/MONTH STOPING</t>
  </si>
  <si>
    <t>MONTHLY PROD. RATE IN KT/MONTH DEV.</t>
  </si>
  <si>
    <t>TOTAL PRODUCTION  DEV+STOPING KT/MONTH</t>
  </si>
  <si>
    <t>MEAN ROCK BREAKING DEPTH IN METERS</t>
  </si>
  <si>
    <t>AVE. DIST. FROM THE SHAFT IN METERS</t>
  </si>
  <si>
    <t>NO. OF LOCOMOTIVES (BASED UPON KW/Kt)</t>
  </si>
  <si>
    <t>NO. OF MEN (BASED UPON KW/Kt)</t>
  </si>
  <si>
    <t>ACTUAL HEAT FROM ELECTRICAL ENERGY KW/Kt</t>
  </si>
  <si>
    <t>AIR VOLUME (EXCLUDING LEAKAGE) IN M3/S</t>
  </si>
  <si>
    <r>
      <t xml:space="preserve">REQUIRED  M/FLOW AT </t>
    </r>
    <r>
      <rPr>
        <b/>
        <sz val="8"/>
        <rFont val="Arial"/>
        <family val="2"/>
      </rPr>
      <t>(Input Value C14)</t>
    </r>
    <r>
      <rPr>
        <sz val="8"/>
        <rFont val="Arial"/>
        <family val="2"/>
      </rPr>
      <t xml:space="preserve"> KG/S/KT</t>
    </r>
  </si>
  <si>
    <r>
      <t xml:space="preserve">DESIGN AIR </t>
    </r>
    <r>
      <rPr>
        <b/>
        <sz val="8"/>
        <rFont val="Arial"/>
        <family val="2"/>
      </rPr>
      <t>KG/S/KT</t>
    </r>
  </si>
  <si>
    <t>DESIGN WATER TONNE/TONNE</t>
  </si>
  <si>
    <r>
      <t>SERVICE WATER</t>
    </r>
    <r>
      <rPr>
        <sz val="8"/>
        <rFont val="Arial"/>
        <family val="2"/>
      </rPr>
      <t xml:space="preserve"> USED FOR COOLING </t>
    </r>
    <r>
      <rPr>
        <b/>
        <sz val="8"/>
        <rFont val="Arial"/>
        <family val="2"/>
      </rPr>
      <t>Y=1 N=0</t>
    </r>
  </si>
  <si>
    <t>Service Water Availability (l/s)</t>
  </si>
  <si>
    <r>
      <t xml:space="preserve">BULK AIR COOLER </t>
    </r>
    <r>
      <rPr>
        <sz val="8"/>
        <rFont val="Arial"/>
        <family val="2"/>
      </rPr>
      <t>WATER AVAILABLE IN L/S-TOTAL</t>
    </r>
  </si>
  <si>
    <r>
      <t>BULK AIR COOLER</t>
    </r>
    <r>
      <rPr>
        <sz val="8"/>
        <rFont val="Arial"/>
        <family val="2"/>
      </rPr>
      <t xml:space="preserve"> DELTA WATER TEMPERATURE</t>
    </r>
  </si>
  <si>
    <r>
      <t>Amount of Cooling Cars</t>
    </r>
    <r>
      <rPr>
        <sz val="8"/>
        <rFont val="Arial"/>
        <family val="2"/>
      </rPr>
      <t xml:space="preserve"> to be installed</t>
    </r>
    <r>
      <rPr>
        <b/>
        <sz val="8"/>
        <rFont val="Arial"/>
        <family val="2"/>
      </rPr>
      <t xml:space="preserve"> @ 6L/sec</t>
    </r>
  </si>
  <si>
    <r>
      <t>COOL. CAR</t>
    </r>
    <r>
      <rPr>
        <sz val="8"/>
        <rFont val="Arial"/>
        <family val="2"/>
      </rPr>
      <t xml:space="preserve"> WATER AVAILABLE IN L/S-TOTAL</t>
    </r>
  </si>
  <si>
    <r>
      <t xml:space="preserve">COOL. CAR </t>
    </r>
    <r>
      <rPr>
        <sz val="8"/>
        <rFont val="Arial"/>
        <family val="2"/>
      </rPr>
      <t>DELTA WATER TEMPERATURE</t>
    </r>
  </si>
  <si>
    <r>
      <t>DESIGN WATER DELT</t>
    </r>
    <r>
      <rPr>
        <sz val="8"/>
        <rFont val="Arial"/>
        <family val="2"/>
      </rPr>
      <t xml:space="preserve">A TEMPERATURE OF </t>
    </r>
    <r>
      <rPr>
        <b/>
        <sz val="8"/>
        <rFont val="Arial"/>
        <family val="2"/>
      </rPr>
      <t>SERVICE WATER</t>
    </r>
  </si>
  <si>
    <t>SECTION AIR UTILIZATION IN %</t>
  </si>
  <si>
    <t>Geothemal gradient (Eg.: 0.0113)</t>
  </si>
  <si>
    <t>Geothemal gradient (Eg.: 21°)</t>
  </si>
  <si>
    <t>Surface BP</t>
  </si>
  <si>
    <t>DESIGN REJECT TEMP WB IN DEG. C</t>
  </si>
  <si>
    <t>OUTPUTS</t>
  </si>
  <si>
    <t>ANALYSIS OF BEST COMBINATION</t>
  </si>
  <si>
    <t>HEAT PROD. RATE IN WATTS/TONNE/MONTH</t>
  </si>
  <si>
    <t>REJ. TEMP. CORRECTION PERCENT</t>
  </si>
  <si>
    <t>HEAT PROD. RATE CORRECTED FOR TEMP.</t>
  </si>
  <si>
    <t>VRT °C =</t>
  </si>
  <si>
    <t>MASSFLOW OF AIR</t>
  </si>
  <si>
    <t>HEAT REMOVAL CAPACITY OF AIR IN KW WITH BAC</t>
  </si>
  <si>
    <t>SERVICE WATER L/S</t>
  </si>
  <si>
    <t>Total  Water L/S Required</t>
  </si>
  <si>
    <t>HEAT REM. CAP. OF SERV. WATER IN KW</t>
  </si>
  <si>
    <t>HEAT REM. CAP. OF BULK COOL. IN KW.</t>
  </si>
  <si>
    <t>HEAT REM. CAP. OF COOL. CARS IN KW</t>
  </si>
  <si>
    <t>TOTAL REFRIG. AVAILABLE IN KW</t>
  </si>
  <si>
    <t>TOTAL WATER FLOW REQUIRED L/S</t>
  </si>
  <si>
    <t>TOTAL RESOURCES AVAILABLE IN KW</t>
  </si>
  <si>
    <t xml:space="preserve">QUANTITY REQUIRED TO ACHIEVE DESIGN </t>
  </si>
  <si>
    <t>WETBULB TEMPERATURE WITH BAC</t>
  </si>
  <si>
    <t>ACT. MASSFLOW OF AIR PER KTONNE</t>
  </si>
  <si>
    <t>HEAT PROD. RATE LESS TOTAL RESOURCES</t>
  </si>
  <si>
    <t>EXPECTED WB TEMPERATURE WITH SURFACE BAC</t>
  </si>
  <si>
    <t>ADDITIONAL CALCULATIONS</t>
  </si>
  <si>
    <t>EXPECTED WB TEMPERATURE WITHOUT BAC</t>
  </si>
  <si>
    <t xml:space="preserve">POT. Kt AT 4KG/S/Kt THAT CAN BE MINED IN AREA </t>
  </si>
  <si>
    <t>ACTUAL PLANNED CENTARES</t>
  </si>
  <si>
    <t>POTENTIAL CENTARES IF AIR IS USED FOR M²</t>
  </si>
  <si>
    <t>POT. Kt STOPING BASED ON TOT. RESOURCES</t>
  </si>
  <si>
    <t>POT. M² BASED ON TOT. RESOURCES</t>
  </si>
  <si>
    <t>M/FLOW ALLOWED FOR STOPING FOR DESIGN WB</t>
  </si>
  <si>
    <t>M/FLOW ALLOWED FOR DEV. FOR DESIGN WB</t>
  </si>
  <si>
    <t>ACTUAL TOTAL RESOURCES AVAIL. PER KILOTONNE</t>
  </si>
  <si>
    <t>Graph calcs - Heat Flow rate prediction P959 Env Eng</t>
  </si>
  <si>
    <t>Distance from Shaft in m</t>
  </si>
  <si>
    <t>Enter</t>
  </si>
  <si>
    <t>Virgin Rock Temperature</t>
  </si>
  <si>
    <t>°C</t>
  </si>
  <si>
    <t>Heat Production kW per kton / month</t>
  </si>
  <si>
    <t>kW/kt/m</t>
  </si>
  <si>
    <t>Graph calcs - Heat Flow rate prediction "GEBLER GRAPH"</t>
  </si>
  <si>
    <t>REJ. Temp. Correction %</t>
  </si>
  <si>
    <t>Design Wetbulb Temperature</t>
  </si>
  <si>
    <t>Temp. Correction %</t>
  </si>
  <si>
    <t>Notes</t>
  </si>
  <si>
    <t>1. 50% of losses is added as cooling (Horizontal - insulation etc.)</t>
  </si>
  <si>
    <t>2. (10-12%) 11% of total cooling is lost</t>
  </si>
  <si>
    <r>
      <t xml:space="preserve">Graph calcs - Heat Removal capacity of air P956 Env Eng (10°C </t>
    </r>
    <r>
      <rPr>
        <b/>
        <u/>
        <sz val="11"/>
        <color indexed="62"/>
        <rFont val="Arial"/>
        <family val="2"/>
      </rPr>
      <t>BAC</t>
    </r>
    <r>
      <rPr>
        <b/>
        <u/>
        <sz val="11"/>
        <rFont val="Arial"/>
        <family val="2"/>
      </rPr>
      <t>)</t>
    </r>
  </si>
  <si>
    <t>Depth Below Surface in m</t>
  </si>
  <si>
    <t>Reject Temperature</t>
  </si>
  <si>
    <t>Cooling Capacity of air</t>
  </si>
  <si>
    <t>kJ/Kg</t>
  </si>
  <si>
    <r>
      <t xml:space="preserve">Graph calcs - Heat Removal capacity of air P956 Env Eng (18°C </t>
    </r>
    <r>
      <rPr>
        <b/>
        <u/>
        <sz val="11"/>
        <color indexed="10"/>
        <rFont val="Arial"/>
        <family val="2"/>
      </rPr>
      <t>NO BAC</t>
    </r>
    <r>
      <rPr>
        <b/>
        <u/>
        <sz val="11"/>
        <rFont val="Arial"/>
        <family val="2"/>
      </rPr>
      <t>)</t>
    </r>
  </si>
  <si>
    <t>Expected Wet Bulb Temperature</t>
  </si>
  <si>
    <t>Total Heat Produced</t>
  </si>
  <si>
    <t>Total Refrigeration Available</t>
  </si>
  <si>
    <t xml:space="preserve">Available Massflow </t>
  </si>
  <si>
    <t>Kg/s</t>
  </si>
  <si>
    <t>Temp °C</t>
  </si>
  <si>
    <t>Tunnel Square</t>
  </si>
  <si>
    <t>Where</t>
  </si>
  <si>
    <r>
      <t>w</t>
    </r>
    <r>
      <rPr>
        <vertAlign val="subscript"/>
        <sz val="11"/>
        <rFont val="Arial"/>
        <family val="2"/>
      </rPr>
      <t>D</t>
    </r>
  </si>
  <si>
    <t>=</t>
  </si>
  <si>
    <r>
      <t>mean density of Rock [kg/m</t>
    </r>
    <r>
      <rPr>
        <vertAlign val="superscript"/>
        <sz val="11"/>
        <rFont val="Arial"/>
        <family val="2"/>
      </rPr>
      <t>3</t>
    </r>
    <r>
      <rPr>
        <sz val="11"/>
        <rFont val="Arial"/>
        <family val="2"/>
      </rPr>
      <t>]</t>
    </r>
  </si>
  <si>
    <t>Height</t>
  </si>
  <si>
    <t>Width</t>
  </si>
  <si>
    <t>Advance Rate per Day</t>
  </si>
  <si>
    <t>Shifts</t>
  </si>
  <si>
    <t>Number of shifts working per month</t>
  </si>
  <si>
    <t>Tons Generated</t>
  </si>
  <si>
    <t>Production Rate</t>
  </si>
  <si>
    <t>kTon/Month</t>
  </si>
  <si>
    <t>"Raise bore" Round</t>
  </si>
  <si>
    <t>Panel Rectangular</t>
  </si>
  <si>
    <t>Length of Panel</t>
  </si>
  <si>
    <t>Stoping Width</t>
  </si>
  <si>
    <t>Specific stope parameters</t>
  </si>
  <si>
    <t>Sequence</t>
  </si>
  <si>
    <t>Distance(m) x Ve(l/m) = Vt(l)</t>
  </si>
  <si>
    <t>Stope panel length</t>
  </si>
  <si>
    <t>Strike gully length</t>
  </si>
  <si>
    <t>Panel</t>
  </si>
  <si>
    <t>Centre gully length</t>
  </si>
  <si>
    <t>Strike gully</t>
  </si>
  <si>
    <t>Centre gully</t>
  </si>
  <si>
    <t xml:space="preserve">Horizontal </t>
  </si>
  <si>
    <t>Refuge Pack litre Capacity</t>
  </si>
  <si>
    <t>l</t>
  </si>
  <si>
    <t>Total</t>
  </si>
  <si>
    <t>Refer to table</t>
  </si>
  <si>
    <t xml:space="preserve">Vr = </t>
  </si>
  <si>
    <t>litre</t>
  </si>
  <si>
    <t>(at exit from travelling way)</t>
  </si>
  <si>
    <t>Remaining distance that can be covered</t>
  </si>
  <si>
    <t>dr =</t>
  </si>
  <si>
    <t>Total distance that can be safely covered</t>
  </si>
  <si>
    <t>dt =</t>
  </si>
  <si>
    <t>The refuge bay should be sited at a distance not exceeding</t>
  </si>
  <si>
    <t>from where men may be working in the stope</t>
  </si>
  <si>
    <t>Natural Ventilation Pressure [NVP]</t>
  </si>
  <si>
    <t>a. Density Formula Method [when there are no fans in the circuit]</t>
  </si>
  <si>
    <t>NVP</t>
  </si>
  <si>
    <r>
      <t>[w</t>
    </r>
    <r>
      <rPr>
        <vertAlign val="subscript"/>
        <sz val="11"/>
        <rFont val="Arial"/>
        <family val="2"/>
      </rPr>
      <t>D</t>
    </r>
    <r>
      <rPr>
        <sz val="11"/>
        <rFont val="Arial"/>
        <family val="2"/>
      </rPr>
      <t xml:space="preserve"> - w</t>
    </r>
    <r>
      <rPr>
        <vertAlign val="subscript"/>
        <sz val="11"/>
        <rFont val="Arial"/>
        <family val="2"/>
      </rPr>
      <t>U</t>
    </r>
    <r>
      <rPr>
        <sz val="11"/>
        <rFont val="Arial"/>
        <family val="2"/>
      </rPr>
      <t>] x H x 9.79</t>
    </r>
  </si>
  <si>
    <r>
      <t>mean density of downcast air [kg/m</t>
    </r>
    <r>
      <rPr>
        <vertAlign val="superscript"/>
        <sz val="11"/>
        <rFont val="Arial"/>
        <family val="2"/>
      </rPr>
      <t>3</t>
    </r>
    <r>
      <rPr>
        <sz val="11"/>
        <rFont val="Arial"/>
        <family val="2"/>
      </rPr>
      <t>]</t>
    </r>
  </si>
  <si>
    <r>
      <t>w</t>
    </r>
    <r>
      <rPr>
        <vertAlign val="subscript"/>
        <sz val="11"/>
        <rFont val="Arial"/>
        <family val="2"/>
      </rPr>
      <t>U</t>
    </r>
  </si>
  <si>
    <r>
      <t>mean density of upcast air [kg/m</t>
    </r>
    <r>
      <rPr>
        <vertAlign val="superscript"/>
        <sz val="11"/>
        <rFont val="Arial"/>
        <family val="2"/>
      </rPr>
      <t>3</t>
    </r>
    <r>
      <rPr>
        <sz val="11"/>
        <rFont val="Arial"/>
        <family val="2"/>
      </rPr>
      <t>]</t>
    </r>
  </si>
  <si>
    <t>vertical distance from the top to the bottom of the circuit [m]</t>
  </si>
  <si>
    <r>
      <t>constant for gravitational acceleration [m/s</t>
    </r>
    <r>
      <rPr>
        <vertAlign val="superscript"/>
        <sz val="11"/>
        <rFont val="Arial"/>
        <family val="2"/>
      </rPr>
      <t>2</t>
    </r>
    <r>
      <rPr>
        <sz val="11"/>
        <rFont val="Arial"/>
        <family val="2"/>
      </rPr>
      <t>]</t>
    </r>
  </si>
  <si>
    <t>NVP =</t>
  </si>
  <si>
    <t>b. P-V Diagram Method [with or without fans in the circuit] and</t>
  </si>
  <si>
    <t xml:space="preserve">NVE </t>
  </si>
  <si>
    <t>Pv</t>
  </si>
  <si>
    <t>NVE</t>
  </si>
  <si>
    <t>natural ventilation energy [kJ/kg]</t>
  </si>
  <si>
    <t>barometric pressure [kPa]</t>
  </si>
  <si>
    <r>
      <t>specific volume [m</t>
    </r>
    <r>
      <rPr>
        <vertAlign val="superscript"/>
        <sz val="11"/>
        <color indexed="8"/>
        <rFont val="Arial"/>
        <family val="2"/>
      </rPr>
      <t>3</t>
    </r>
    <r>
      <rPr>
        <sz val="11"/>
        <color indexed="8"/>
        <rFont val="Arial"/>
        <family val="2"/>
      </rPr>
      <t>/kg]</t>
    </r>
  </si>
  <si>
    <t>REYNOLDS NUMBER</t>
  </si>
  <si>
    <t xml:space="preserve">Re </t>
  </si>
  <si>
    <t xml:space="preserve">= </t>
  </si>
  <si>
    <r>
      <t>density [kg/m</t>
    </r>
    <r>
      <rPr>
        <vertAlign val="superscript"/>
        <sz val="11"/>
        <rFont val="Arial"/>
        <family val="2"/>
      </rPr>
      <t>3</t>
    </r>
    <r>
      <rPr>
        <sz val="11"/>
        <rFont val="Arial"/>
        <family val="2"/>
      </rPr>
      <t>]</t>
    </r>
  </si>
  <si>
    <t>V</t>
  </si>
  <si>
    <t>velocity [m/s]</t>
  </si>
  <si>
    <t>D</t>
  </si>
  <si>
    <t>diameter [m]</t>
  </si>
  <si>
    <r>
      <t>dynamic viscosity [Ns/m</t>
    </r>
    <r>
      <rPr>
        <vertAlign val="superscript"/>
        <sz val="11"/>
        <rFont val="Arial"/>
        <family val="2"/>
      </rPr>
      <t>2</t>
    </r>
    <r>
      <rPr>
        <sz val="11"/>
        <rFont val="Arial"/>
        <family val="2"/>
      </rPr>
      <t>]</t>
    </r>
  </si>
  <si>
    <t>Re</t>
  </si>
  <si>
    <t>Reynolds number [dimensionless]</t>
  </si>
  <si>
    <t>CONSERVATION OF ENERGY</t>
  </si>
  <si>
    <t xml:space="preserve">u + Pv + </t>
  </si>
  <si>
    <t xml:space="preserve"> + Zg</t>
  </si>
  <si>
    <t>Constant</t>
  </si>
  <si>
    <t>u</t>
  </si>
  <si>
    <t>internal energy [J/kg]</t>
  </si>
  <si>
    <t>pressure [Pa]</t>
  </si>
  <si>
    <r>
      <t>specific volume [m</t>
    </r>
    <r>
      <rPr>
        <vertAlign val="superscript"/>
        <sz val="11"/>
        <rFont val="Arial"/>
        <family val="2"/>
      </rPr>
      <t>3</t>
    </r>
    <r>
      <rPr>
        <sz val="11"/>
        <rFont val="Arial"/>
        <family val="2"/>
      </rPr>
      <t>/kg]</t>
    </r>
  </si>
  <si>
    <t>Z</t>
  </si>
  <si>
    <t>elevation [m]</t>
  </si>
  <si>
    <t>g</t>
  </si>
  <si>
    <r>
      <t>gravitational acceleration [9.79 m/s</t>
    </r>
    <r>
      <rPr>
        <vertAlign val="superscript"/>
        <sz val="11"/>
        <rFont val="Arial"/>
        <family val="2"/>
      </rPr>
      <t>2</t>
    </r>
    <r>
      <rPr>
        <sz val="11"/>
        <rFont val="Arial"/>
        <family val="2"/>
      </rPr>
      <t>]</t>
    </r>
  </si>
  <si>
    <t>Barometric increase with depth</t>
  </si>
  <si>
    <t>H in Km</t>
  </si>
  <si>
    <t>vertical distance from the top to the bottom of the circuit [km]</t>
  </si>
  <si>
    <t>Pressure change with Density Change</t>
  </si>
  <si>
    <t>(PRESSURE / DENSITY RELATIONSHIP)</t>
  </si>
  <si>
    <t>Air pressure varies directly as an air density change:-</t>
  </si>
  <si>
    <t>P1</t>
  </si>
  <si>
    <t>w1</t>
  </si>
  <si>
    <t>w2</t>
  </si>
  <si>
    <t>P2 =</t>
  </si>
  <si>
    <t>Intake Conditions</t>
  </si>
  <si>
    <t>Return Conditions</t>
  </si>
  <si>
    <t>BP</t>
  </si>
  <si>
    <t>WB Temp</t>
  </si>
  <si>
    <t>DB Temp</t>
  </si>
  <si>
    <t>Pw</t>
  </si>
  <si>
    <t>r</t>
  </si>
  <si>
    <t>Moisture Content</t>
  </si>
  <si>
    <t>g/kg</t>
  </si>
  <si>
    <t>asv</t>
  </si>
  <si>
    <t>Specific Volume</t>
  </si>
  <si>
    <r>
      <t>m</t>
    </r>
    <r>
      <rPr>
        <b/>
        <vertAlign val="superscript"/>
        <sz val="8"/>
        <rFont val="Arial"/>
        <family val="2"/>
      </rPr>
      <t>3</t>
    </r>
    <r>
      <rPr>
        <b/>
        <sz val="8"/>
        <rFont val="Arial"/>
        <family val="2"/>
      </rPr>
      <t>/kg</t>
    </r>
  </si>
  <si>
    <r>
      <t>kg/m</t>
    </r>
    <r>
      <rPr>
        <b/>
        <vertAlign val="superscript"/>
        <sz val="8"/>
        <rFont val="Arial"/>
        <family val="2"/>
      </rPr>
      <t>3</t>
    </r>
  </si>
  <si>
    <t>Sigma Heat</t>
  </si>
  <si>
    <t>Dewpoint temp.</t>
  </si>
  <si>
    <t>tdp</t>
  </si>
  <si>
    <r>
      <t>0</t>
    </r>
    <r>
      <rPr>
        <b/>
        <sz val="8"/>
        <rFont val="Arial"/>
        <family val="2"/>
      </rPr>
      <t>C</t>
    </r>
  </si>
  <si>
    <t>BP = 87.5</t>
  </si>
  <si>
    <r>
      <rPr>
        <b/>
        <sz val="10"/>
        <rFont val="Calibri"/>
        <family val="2"/>
      </rPr>
      <t>ξ</t>
    </r>
    <r>
      <rPr>
        <b/>
        <sz val="8.5"/>
        <rFont val="Arial"/>
        <family val="2"/>
      </rPr>
      <t>H</t>
    </r>
  </si>
  <si>
    <t>Heat Content</t>
  </si>
  <si>
    <t>ξH at 7.0/7.0</t>
  </si>
  <si>
    <t>ξH at 18.0/30</t>
  </si>
  <si>
    <t>Total kg/s</t>
  </si>
  <si>
    <t>ξH (S)</t>
  </si>
  <si>
    <t>°C WB</t>
  </si>
  <si>
    <t>Duty (kW)</t>
  </si>
  <si>
    <t>Kj/s</t>
  </si>
  <si>
    <t>Surface BP Kpa</t>
  </si>
  <si>
    <t>Air In</t>
  </si>
  <si>
    <t>Level</t>
  </si>
  <si>
    <t>Depth below surface</t>
  </si>
  <si>
    <t>BP (Kpa) Calculated</t>
  </si>
  <si>
    <t>Wet Bulb</t>
  </si>
  <si>
    <t>Duty Calculation</t>
  </si>
  <si>
    <t>Kpa</t>
  </si>
  <si>
    <t>Dry Bulb</t>
  </si>
  <si>
    <t>Sigma Heat IN</t>
  </si>
  <si>
    <t>Kj/Kg</t>
  </si>
  <si>
    <t>Sigma Heat OUT</t>
  </si>
  <si>
    <t>Vapour Press (Pw)</t>
  </si>
  <si>
    <t>Density Air In</t>
  </si>
  <si>
    <t>Kg/m³</t>
  </si>
  <si>
    <t>Moisture Content ( r )</t>
  </si>
  <si>
    <t>g/Kg</t>
  </si>
  <si>
    <t>Quantity of Air</t>
  </si>
  <si>
    <t>m³/s</t>
  </si>
  <si>
    <t>Moisture Content ( g/Kg )</t>
  </si>
  <si>
    <t>DUTY (KW)</t>
  </si>
  <si>
    <t>Specific Volume ( v )</t>
  </si>
  <si>
    <t>m³/Kg</t>
  </si>
  <si>
    <t>Massflow (kg/s)</t>
  </si>
  <si>
    <t>Density ( w )</t>
  </si>
  <si>
    <t>64</t>
  </si>
  <si>
    <t>Enthalpy ( H )</t>
  </si>
  <si>
    <t>Sigma Heat ( S )</t>
  </si>
  <si>
    <t>70</t>
  </si>
  <si>
    <t xml:space="preserve">Relative Humidity </t>
  </si>
  <si>
    <t>Liters @ UC #</t>
  </si>
  <si>
    <t>L/Sec</t>
  </si>
  <si>
    <t>73</t>
  </si>
  <si>
    <t>Dewpoint Temperature ( tdp )</t>
  </si>
  <si>
    <t>76</t>
  </si>
  <si>
    <t>85</t>
  </si>
  <si>
    <r>
      <rPr>
        <sz val="10"/>
        <rFont val="Arial"/>
        <family val="2"/>
      </rPr>
      <t>Design Δt</t>
    </r>
    <r>
      <rPr>
        <sz val="11"/>
        <color theme="1"/>
        <rFont val="Calibri"/>
        <family val="2"/>
        <scheme val="minor"/>
      </rPr>
      <t xml:space="preserve"> Over Cooler</t>
    </r>
  </si>
  <si>
    <t>88</t>
  </si>
  <si>
    <t xml:space="preserve">Cooler L/Sec Req. </t>
  </si>
  <si>
    <t>l/s</t>
  </si>
  <si>
    <t>92</t>
  </si>
  <si>
    <t>Air out</t>
  </si>
  <si>
    <t>95</t>
  </si>
  <si>
    <t>BP (Kpa)</t>
  </si>
  <si>
    <t>98</t>
  </si>
  <si>
    <t>99</t>
  </si>
  <si>
    <t>101</t>
  </si>
  <si>
    <t>102</t>
  </si>
  <si>
    <t>103</t>
  </si>
  <si>
    <t>105</t>
  </si>
  <si>
    <t>106</t>
  </si>
  <si>
    <t>108</t>
  </si>
  <si>
    <t>111</t>
  </si>
  <si>
    <t>114</t>
  </si>
  <si>
    <t>115</t>
  </si>
  <si>
    <t>Airflow</t>
  </si>
  <si>
    <t>Qty  Measured</t>
  </si>
  <si>
    <t>Massflow =</t>
  </si>
  <si>
    <t>Temperature Increase In Pipes</t>
  </si>
  <si>
    <r>
      <t>·</t>
    </r>
    <r>
      <rPr>
        <sz val="7"/>
        <rFont val="Times New Roman"/>
        <family val="1"/>
      </rPr>
      <t xml:space="preserve">         </t>
    </r>
    <r>
      <rPr>
        <b/>
        <u/>
        <sz val="11"/>
        <rFont val="Arial"/>
        <family val="2"/>
      </rPr>
      <t>Vertical pipes</t>
    </r>
    <r>
      <rPr>
        <b/>
        <sz val="11"/>
        <rFont val="Arial"/>
        <family val="2"/>
      </rPr>
      <t xml:space="preserve"> (Stroh’s Equation)</t>
    </r>
  </si>
  <si>
    <r>
      <t>D</t>
    </r>
    <r>
      <rPr>
        <sz val="11"/>
        <rFont val="Arial"/>
        <family val="2"/>
      </rPr>
      <t>t</t>
    </r>
  </si>
  <si>
    <t xml:space="preserve">per 1000 m =               </t>
  </si>
  <si>
    <t>°C per 1000 m</t>
  </si>
  <si>
    <t>Start Water Temp</t>
  </si>
  <si>
    <t>Start depth</t>
  </si>
  <si>
    <t>End depth</t>
  </si>
  <si>
    <r>
      <t>Δ</t>
    </r>
    <r>
      <rPr>
        <sz val="11"/>
        <color theme="1"/>
        <rFont val="Calibri"/>
        <family val="2"/>
        <scheme val="minor"/>
      </rPr>
      <t>d</t>
    </r>
  </si>
  <si>
    <t>°C Water Temp gain</t>
  </si>
  <si>
    <t>End Water Temp</t>
  </si>
  <si>
    <t>Pump Power Requirements</t>
  </si>
  <si>
    <t xml:space="preserve"> Power =</t>
  </si>
  <si>
    <t>H - Total head [m]</t>
  </si>
  <si>
    <t>Q - Volume flow rate</t>
  </si>
  <si>
    <t>ℓ/s</t>
  </si>
  <si>
    <t xml:space="preserve">SG - Specific gravity </t>
  </si>
  <si>
    <t>[kg/m³</t>
  </si>
  <si>
    <t xml:space="preserve">g - Gravitational acceleration </t>
  </si>
  <si>
    <t>m/sec²</t>
  </si>
  <si>
    <t>Pump efficiency expressed as a fraction of  1 [i.e. %]</t>
  </si>
  <si>
    <r>
      <t xml:space="preserve">NOTE : Pump Efficiency </t>
    </r>
    <r>
      <rPr>
        <b/>
        <sz val="10"/>
        <rFont val="Arial"/>
        <family val="2"/>
      </rPr>
      <t>100% = 1000</t>
    </r>
    <r>
      <rPr>
        <sz val="11"/>
        <color theme="1"/>
        <rFont val="Calibri"/>
        <family val="2"/>
        <scheme val="minor"/>
      </rPr>
      <t xml:space="preserve"> - </t>
    </r>
    <r>
      <rPr>
        <b/>
        <sz val="10"/>
        <rFont val="Arial"/>
        <family val="2"/>
      </rPr>
      <t>80% = 800</t>
    </r>
    <r>
      <rPr>
        <sz val="11"/>
        <color theme="1"/>
        <rFont val="Calibri"/>
        <family val="2"/>
        <scheme val="minor"/>
      </rPr>
      <t xml:space="preserve"> etc.</t>
    </r>
  </si>
  <si>
    <t>Pump Efficiency</t>
  </si>
  <si>
    <t>Efficiency</t>
  </si>
  <si>
    <t>Power output is determined by the following equation:-</t>
  </si>
  <si>
    <r>
      <t>H</t>
    </r>
    <r>
      <rPr>
        <sz val="5"/>
        <rFont val="Arial"/>
        <family val="2"/>
      </rPr>
      <t>T</t>
    </r>
    <r>
      <rPr>
        <sz val="11"/>
        <color theme="1"/>
        <rFont val="Calibri"/>
        <family val="2"/>
        <scheme val="minor"/>
      </rPr>
      <t xml:space="preserve"> - Total head [m]</t>
    </r>
  </si>
  <si>
    <t>Power output</t>
  </si>
  <si>
    <t>THUS</t>
  </si>
  <si>
    <t xml:space="preserve">Power Input </t>
  </si>
  <si>
    <t>Power Output</t>
  </si>
  <si>
    <t>Fissure Water Calculation</t>
  </si>
  <si>
    <t>Planning Parameter</t>
  </si>
  <si>
    <t>t/t</t>
  </si>
  <si>
    <t>Design tons</t>
  </si>
  <si>
    <t>kt/m</t>
  </si>
  <si>
    <t>Tons per month =</t>
  </si>
  <si>
    <t>t/m</t>
  </si>
  <si>
    <t xml:space="preserve">Tons water per month = </t>
  </si>
  <si>
    <t>Tons water per day =</t>
  </si>
  <si>
    <t>t/day</t>
  </si>
  <si>
    <t>Tons water per hour =</t>
  </si>
  <si>
    <t>t/hour</t>
  </si>
  <si>
    <t>Tons water per min =</t>
  </si>
  <si>
    <t>t/min</t>
  </si>
  <si>
    <t>Tons water per second =</t>
  </si>
  <si>
    <t>t/sec</t>
  </si>
  <si>
    <t>1 ton water = 1000 liter</t>
  </si>
  <si>
    <t>Liters per second =</t>
  </si>
  <si>
    <t>Resistance ('R)</t>
  </si>
  <si>
    <r>
      <t>Ns/m</t>
    </r>
    <r>
      <rPr>
        <vertAlign val="superscript"/>
        <sz val="10"/>
        <rFont val="Arial"/>
        <family val="2"/>
      </rPr>
      <t>8</t>
    </r>
  </si>
  <si>
    <t>Enter Value!!</t>
  </si>
  <si>
    <t>8Kw fan</t>
  </si>
  <si>
    <t>w = 1.2</t>
  </si>
  <si>
    <t>Volume (m³/s)</t>
  </si>
  <si>
    <t>Pressure (pa)</t>
  </si>
  <si>
    <t>Resistance (pa)</t>
  </si>
  <si>
    <t>11Kw fan</t>
  </si>
  <si>
    <t>15Kw fan</t>
  </si>
  <si>
    <t>18Kw fan</t>
  </si>
  <si>
    <t>22Kw fan</t>
  </si>
  <si>
    <t>45Kw fan</t>
  </si>
  <si>
    <r>
      <t>Ns</t>
    </r>
    <r>
      <rPr>
        <sz val="10"/>
        <rFont val="Calibri"/>
        <family val="2"/>
      </rPr>
      <t>²</t>
    </r>
    <r>
      <rPr>
        <sz val="11"/>
        <color theme="1"/>
        <rFont val="Calibri"/>
        <family val="2"/>
        <scheme val="minor"/>
      </rPr>
      <t>/m</t>
    </r>
    <r>
      <rPr>
        <vertAlign val="superscript"/>
        <sz val="10"/>
        <rFont val="Arial"/>
        <family val="2"/>
      </rPr>
      <t>8</t>
    </r>
  </si>
  <si>
    <t>75Kw fan</t>
  </si>
  <si>
    <t>w = 1.4</t>
  </si>
  <si>
    <t>Series Fan (pa)</t>
  </si>
  <si>
    <t>CREATE YOUR OWN!!</t>
  </si>
  <si>
    <t>ENTER FAN DATA</t>
  </si>
  <si>
    <t>FAN</t>
  </si>
  <si>
    <t>Right Triangle Solver</t>
  </si>
  <si>
    <t>Enter ONLY TWO known pieces of information</t>
  </si>
  <si>
    <t>Degrees</t>
  </si>
  <si>
    <t>a</t>
  </si>
  <si>
    <t>b</t>
  </si>
  <si>
    <t>c</t>
  </si>
  <si>
    <t>a=</t>
  </si>
  <si>
    <t>b=</t>
  </si>
  <si>
    <t>c=</t>
  </si>
  <si>
    <t>X=</t>
  </si>
  <si>
    <t>Y=</t>
  </si>
  <si>
    <t>Z=</t>
  </si>
  <si>
    <t>Degree Converter</t>
  </si>
  <si>
    <t>Degrees entered as a decimal will be converted to Deg, Min, Sec</t>
  </si>
  <si>
    <t>Minutes</t>
  </si>
  <si>
    <t>Seconds</t>
  </si>
  <si>
    <t xml:space="preserve"> Angle as a decimal</t>
  </si>
  <si>
    <t xml:space="preserve">a  </t>
  </si>
  <si>
    <t xml:space="preserve">NOTE: </t>
  </si>
  <si>
    <t>The Degree Converter above has</t>
  </si>
  <si>
    <t>no influence on the Right Triangle</t>
  </si>
  <si>
    <t xml:space="preserve">Z     </t>
  </si>
  <si>
    <t>calculations.</t>
  </si>
  <si>
    <t>º</t>
  </si>
  <si>
    <t>AB (H) =</t>
  </si>
  <si>
    <t>Cost -</t>
  </si>
  <si>
    <t>Water</t>
  </si>
  <si>
    <t>NOTE : Pump Efficiency 100% = 1000 - 80% = 800 etc.</t>
  </si>
  <si>
    <t>Cost to Pump head above</t>
  </si>
  <si>
    <t>c/kWh</t>
  </si>
  <si>
    <t>Cost / Month</t>
  </si>
  <si>
    <t>Air</t>
  </si>
  <si>
    <t>AIR POWER</t>
  </si>
  <si>
    <t xml:space="preserve">Wa = </t>
  </si>
  <si>
    <t xml:space="preserve"> </t>
  </si>
  <si>
    <t xml:space="preserve">OR </t>
  </si>
  <si>
    <t>Pressure (P)</t>
  </si>
  <si>
    <t>Qty (m³/s)</t>
  </si>
  <si>
    <t>Wa  =</t>
  </si>
  <si>
    <t>Cost to Move Air above</t>
  </si>
  <si>
    <t>Enter Fan Kw</t>
  </si>
  <si>
    <t>Rand</t>
  </si>
  <si>
    <t>ATKINSON’S FORMULA</t>
  </si>
  <si>
    <t>(Qty)</t>
  </si>
  <si>
    <t>(Velocity)</t>
  </si>
  <si>
    <t xml:space="preserve"> Pipe Diameter =</t>
  </si>
  <si>
    <t>Diam. in meters</t>
  </si>
  <si>
    <t>L = (in meters)</t>
  </si>
  <si>
    <t>Velocity (m/s)</t>
  </si>
  <si>
    <t>m/s</t>
  </si>
  <si>
    <t>w = air density</t>
  </si>
  <si>
    <t>K =</t>
  </si>
  <si>
    <t>ns²/m⁴</t>
  </si>
  <si>
    <t>ns²/m⁸</t>
  </si>
  <si>
    <t>C =</t>
  </si>
  <si>
    <t>A =</t>
  </si>
  <si>
    <t>m²</t>
  </si>
  <si>
    <t>P Drop =</t>
  </si>
  <si>
    <t>R =</t>
  </si>
  <si>
    <r>
      <t>Ns</t>
    </r>
    <r>
      <rPr>
        <b/>
        <vertAlign val="superscript"/>
        <sz val="12"/>
        <color indexed="10"/>
        <rFont val="Arial"/>
        <family val="2"/>
      </rPr>
      <t>2</t>
    </r>
    <r>
      <rPr>
        <b/>
        <sz val="12"/>
        <color indexed="10"/>
        <rFont val="Arial"/>
        <family val="2"/>
      </rPr>
      <t>/m</t>
    </r>
    <r>
      <rPr>
        <b/>
        <vertAlign val="superscript"/>
        <sz val="12"/>
        <color indexed="10"/>
        <rFont val="Arial"/>
        <family val="2"/>
      </rPr>
      <t>8</t>
    </r>
  </si>
  <si>
    <t>Width (W)</t>
  </si>
  <si>
    <t>Height (H)</t>
  </si>
  <si>
    <t>Vel (m/s)</t>
  </si>
  <si>
    <r>
      <t>ns²/m</t>
    </r>
    <r>
      <rPr>
        <vertAlign val="superscript"/>
        <sz val="10"/>
        <rFont val="Arial"/>
        <family val="2"/>
      </rPr>
      <t>⁴</t>
    </r>
  </si>
  <si>
    <t>PRESSURE REQUIRED TO OVERCOME FRICTIONAL RESISTANCE</t>
  </si>
  <si>
    <t>P  =  RQ²</t>
  </si>
  <si>
    <t xml:space="preserve">R = </t>
  </si>
  <si>
    <r>
      <t>Ns/m</t>
    </r>
    <r>
      <rPr>
        <b/>
        <vertAlign val="superscript"/>
        <sz val="12"/>
        <color indexed="10"/>
        <rFont val="Arial"/>
        <family val="2"/>
      </rPr>
      <t>8</t>
    </r>
  </si>
  <si>
    <t>VELOCITY PRESSURE</t>
  </si>
  <si>
    <t>VP =</t>
  </si>
  <si>
    <t>v = air velocity</t>
  </si>
  <si>
    <t xml:space="preserve"> [m/s]</t>
  </si>
  <si>
    <t xml:space="preserve"> [kg/m³]</t>
  </si>
  <si>
    <t>velocity pressure [Pa]</t>
  </si>
  <si>
    <t>DARCY-WEISBACH EQUATION</t>
  </si>
  <si>
    <r>
      <t>l</t>
    </r>
    <r>
      <rPr>
        <sz val="11"/>
        <color theme="1"/>
        <rFont val="Calibri"/>
        <family val="2"/>
        <scheme val="minor"/>
      </rPr>
      <t xml:space="preserve"> </t>
    </r>
    <r>
      <rPr>
        <sz val="10"/>
        <rFont val="Symbol"/>
        <family val="1"/>
        <charset val="2"/>
      </rPr>
      <t>µ</t>
    </r>
    <r>
      <rPr>
        <sz val="11"/>
        <color theme="1"/>
        <rFont val="Calibri"/>
        <family val="2"/>
        <scheme val="minor"/>
      </rPr>
      <t xml:space="preserve"> density</t>
    </r>
  </si>
  <si>
    <t>Factor</t>
  </si>
  <si>
    <r>
      <t>l</t>
    </r>
    <r>
      <rPr>
        <sz val="11"/>
        <color theme="1"/>
        <rFont val="Calibri"/>
        <family val="2"/>
        <scheme val="minor"/>
      </rPr>
      <t xml:space="preserve"> =</t>
    </r>
  </si>
  <si>
    <t>P =</t>
  </si>
  <si>
    <t>REGULATORS</t>
  </si>
  <si>
    <t>Ar =1.2Q</t>
  </si>
  <si>
    <r>
      <t>Or, when the air density is 1.2 kg/m</t>
    </r>
    <r>
      <rPr>
        <vertAlign val="superscript"/>
        <sz val="8"/>
        <color indexed="8"/>
        <rFont val="Arial"/>
        <family val="2"/>
      </rPr>
      <t>3</t>
    </r>
  </si>
  <si>
    <t>Ar =</t>
  </si>
  <si>
    <r>
      <t xml:space="preserve">p = </t>
    </r>
    <r>
      <rPr>
        <sz val="8"/>
        <rFont val="Arial"/>
        <family val="2"/>
      </rPr>
      <t xml:space="preserve">pressure used up by regulator </t>
    </r>
  </si>
  <si>
    <t xml:space="preserve"> [Pa]</t>
  </si>
  <si>
    <t>Desity = 1.2kg/m³</t>
  </si>
  <si>
    <t>Parameters</t>
  </si>
  <si>
    <t>ENTER</t>
  </si>
  <si>
    <t>Available Qty m³/s</t>
  </si>
  <si>
    <t>Average Stoping width m</t>
  </si>
  <si>
    <t>Average Actual velocity m/s</t>
  </si>
  <si>
    <t>Single Side Stope</t>
  </si>
  <si>
    <t>Double Side Stope</t>
  </si>
  <si>
    <t>Potential vel. m/s with 20% leakage</t>
  </si>
  <si>
    <t>Air Utilization</t>
  </si>
  <si>
    <t>Available Qty m³/s Stope Intake</t>
  </si>
  <si>
    <t>C/Gully Vel</t>
  </si>
  <si>
    <t>C/Gully Width</t>
  </si>
  <si>
    <t>C/Gully height</t>
  </si>
  <si>
    <t xml:space="preserve">C/Gully Qty </t>
  </si>
  <si>
    <t>Pipe Diameter (in meters)</t>
  </si>
  <si>
    <t xml:space="preserve">Leakage Allowed </t>
  </si>
  <si>
    <t>%/100m</t>
  </si>
  <si>
    <t>Length increments = (in meters)</t>
  </si>
  <si>
    <t>Length - Total</t>
  </si>
  <si>
    <t xml:space="preserve">w = air density </t>
  </si>
  <si>
    <t xml:space="preserve">K = </t>
  </si>
  <si>
    <t>ns²/m4</t>
  </si>
  <si>
    <t>P Drop per pipe Section (Pa)</t>
  </si>
  <si>
    <t>P Drop TOTAL = Pa</t>
  </si>
  <si>
    <t>Fan Pressure Capability Pa</t>
  </si>
  <si>
    <r>
      <t xml:space="preserve">Note!!!! - Rule of thumb - a fan will do </t>
    </r>
    <r>
      <rPr>
        <sz val="11"/>
        <rFont val="Calibri"/>
        <family val="2"/>
      </rPr>
      <t>±</t>
    </r>
    <r>
      <rPr>
        <sz val="11"/>
        <rFont val="Arial"/>
        <family val="2"/>
      </rPr>
      <t>85% of it's max Pressure (depicted on a curve)</t>
    </r>
  </si>
  <si>
    <t>Fan Pressure Capability kPa</t>
  </si>
  <si>
    <t>Leakage</t>
  </si>
  <si>
    <t>Qty in m³/s</t>
  </si>
  <si>
    <t>Qty out m³/s</t>
  </si>
  <si>
    <t>Length of collumn m</t>
  </si>
  <si>
    <r>
      <t xml:space="preserve">Leakage if Column is </t>
    </r>
    <r>
      <rPr>
        <b/>
        <sz val="12"/>
        <rFont val="Arial"/>
        <family val="2"/>
      </rPr>
      <t xml:space="preserve">&lt; </t>
    </r>
    <r>
      <rPr>
        <sz val="12"/>
        <rFont val="Arial"/>
        <family val="2"/>
      </rPr>
      <t>100m long</t>
    </r>
  </si>
  <si>
    <r>
      <t xml:space="preserve">Leakage if Column is </t>
    </r>
    <r>
      <rPr>
        <b/>
        <sz val="12"/>
        <rFont val="Arial"/>
        <family val="2"/>
      </rPr>
      <t xml:space="preserve">&gt; </t>
    </r>
    <r>
      <rPr>
        <sz val="12"/>
        <rFont val="Arial"/>
        <family val="2"/>
      </rPr>
      <t>100m long</t>
    </r>
  </si>
  <si>
    <r>
      <t>ns²/m</t>
    </r>
    <r>
      <rPr>
        <vertAlign val="superscript"/>
        <sz val="10"/>
        <rFont val="Arial"/>
        <family val="2"/>
      </rPr>
      <t>4</t>
    </r>
  </si>
  <si>
    <t>P Drop = kPa</t>
  </si>
  <si>
    <r>
      <t>Ns</t>
    </r>
    <r>
      <rPr>
        <b/>
        <vertAlign val="superscript"/>
        <sz val="10"/>
        <color indexed="10"/>
        <rFont val="Arial"/>
        <family val="2"/>
      </rPr>
      <t>2</t>
    </r>
    <r>
      <rPr>
        <b/>
        <sz val="10"/>
        <color indexed="10"/>
        <rFont val="Arial"/>
        <family val="2"/>
      </rPr>
      <t>/m</t>
    </r>
    <r>
      <rPr>
        <b/>
        <vertAlign val="superscript"/>
        <sz val="10"/>
        <color indexed="10"/>
        <rFont val="Arial"/>
        <family val="2"/>
      </rPr>
      <t>8</t>
    </r>
  </si>
  <si>
    <t>Fan Air Power Required</t>
  </si>
  <si>
    <t>Fan Efficiency</t>
  </si>
  <si>
    <t>Fan Input Power</t>
  </si>
  <si>
    <t>K Factors</t>
  </si>
  <si>
    <t>6 Swage standard gavanized Duct</t>
  </si>
  <si>
    <t>Mild Steel smooth Bore vent Duct (Sinking Duct)</t>
  </si>
  <si>
    <t>K Factor on Smooth bore pipes</t>
  </si>
  <si>
    <t>LHPC Ducting Type A</t>
  </si>
  <si>
    <t>LHPC Ducting Type B</t>
  </si>
  <si>
    <t>Length of collumn in meters</t>
  </si>
  <si>
    <r>
      <t>m</t>
    </r>
    <r>
      <rPr>
        <b/>
        <sz val="12"/>
        <rFont val="Calibri"/>
        <family val="2"/>
      </rPr>
      <t>³</t>
    </r>
    <r>
      <rPr>
        <b/>
        <sz val="10.199999999999999"/>
        <rFont val="Arial"/>
        <family val="2"/>
      </rPr>
      <t>/s</t>
    </r>
  </si>
  <si>
    <t>PRESSURE LOSS CALC</t>
  </si>
  <si>
    <t>Qty</t>
  </si>
  <si>
    <t>For a Pipe</t>
  </si>
  <si>
    <t>Diam.(m)</t>
  </si>
  <si>
    <t>For a V.Hole</t>
  </si>
  <si>
    <t>Length (m)</t>
  </si>
  <si>
    <t>K-Factor</t>
  </si>
  <si>
    <t>PRESSURE LOSS =</t>
  </si>
  <si>
    <t>For a Tunnel</t>
  </si>
  <si>
    <t>Height (m)</t>
  </si>
  <si>
    <t>For Square Duct</t>
  </si>
  <si>
    <t>Width (m)</t>
  </si>
  <si>
    <t>Qty IN</t>
  </si>
  <si>
    <t>Qty OUT</t>
  </si>
  <si>
    <t>Length of Collumn</t>
  </si>
  <si>
    <t>Temp IN</t>
  </si>
  <si>
    <t>Expected Temp Out :</t>
  </si>
  <si>
    <t>AUTO-COMPRESSION OR DE-COMPRESSION</t>
  </si>
  <si>
    <t>H =</t>
  </si>
  <si>
    <t>vertical depth</t>
  </si>
  <si>
    <t xml:space="preserve">9,79 kJ/kg / 1000m of vertical depth  </t>
  </si>
  <si>
    <t>H = heat increase</t>
  </si>
  <si>
    <t>VIRGIN ROCK TEMPERATURE [approximate]</t>
  </si>
  <si>
    <t>VIRGIN ROCK TEMPERATURE (Calc with Geothermal gradient Data)</t>
  </si>
  <si>
    <t>°C/m</t>
  </si>
  <si>
    <t>VRT = Gauteng</t>
  </si>
  <si>
    <t>VRT = Free State</t>
  </si>
  <si>
    <t>VRT = Klerksdorp</t>
  </si>
  <si>
    <t>VRT =</t>
  </si>
  <si>
    <t>WET KATA FORMULA</t>
  </si>
  <si>
    <t xml:space="preserve">H = </t>
  </si>
  <si>
    <t>Wet Bulb °C</t>
  </si>
  <si>
    <t>Velocity m/s</t>
  </si>
  <si>
    <t>θ</t>
  </si>
  <si>
    <t>H = wet kata reading</t>
  </si>
  <si>
    <t>Millicalories / cm²/sec</t>
  </si>
  <si>
    <t>Amount of Heat transferred (Conduction)</t>
  </si>
  <si>
    <t>q =</t>
  </si>
  <si>
    <t>Temperature 1</t>
  </si>
  <si>
    <t>Temperature 2</t>
  </si>
  <si>
    <t>Thermal conductivity of material [W/m°C]</t>
  </si>
  <si>
    <t>Cross-sectional area [m²]</t>
  </si>
  <si>
    <t>Thickness [m]</t>
  </si>
  <si>
    <t xml:space="preserve">q = </t>
  </si>
  <si>
    <t>Conductive heat transfer ratio [W]</t>
  </si>
  <si>
    <t>For a Tunnel (4 Sides)</t>
  </si>
  <si>
    <t>Re-Entry Calculator</t>
  </si>
  <si>
    <t>Length of End</t>
  </si>
  <si>
    <t>Height of End</t>
  </si>
  <si>
    <t>Width of End</t>
  </si>
  <si>
    <t>Volume of End</t>
  </si>
  <si>
    <t>m³</t>
  </si>
  <si>
    <t>Airchanges Required.</t>
  </si>
  <si>
    <t>Qty of Available air.</t>
  </si>
  <si>
    <t>Re Entry</t>
  </si>
  <si>
    <t>Hrs</t>
  </si>
  <si>
    <t xml:space="preserve">Thus time for re-entry is :  </t>
  </si>
  <si>
    <t>Hr</t>
  </si>
  <si>
    <t>Min</t>
  </si>
  <si>
    <t>Airchange (Play with Volumes).</t>
  </si>
  <si>
    <t xml:space="preserve">Qty at fan </t>
  </si>
  <si>
    <t xml:space="preserve">Qty at face min 10%leakage per 100m </t>
  </si>
  <si>
    <t>Development</t>
  </si>
  <si>
    <t>Formulae</t>
  </si>
  <si>
    <t>Where H = 0.7θ+θ√V</t>
  </si>
  <si>
    <t>Thus: V = (H/θ-0.7)^2</t>
  </si>
  <si>
    <t>wet kata reading</t>
  </si>
  <si>
    <t>W/Bulb</t>
  </si>
  <si>
    <t>36.5 - wet bulb temperature [°C]</t>
  </si>
  <si>
    <t>air velocity [m/s]</t>
  </si>
  <si>
    <t>SCP</t>
  </si>
  <si>
    <t>Specific Cooling Power</t>
  </si>
  <si>
    <t>W/m²</t>
  </si>
  <si>
    <t>Stoping</t>
  </si>
  <si>
    <t>Wet bulb temperature [°C]</t>
  </si>
  <si>
    <t>Velocity</t>
  </si>
  <si>
    <t>Temperature</t>
  </si>
  <si>
    <t>Work Performance</t>
  </si>
  <si>
    <t>Work Performance Chart at 240 W/m²</t>
  </si>
  <si>
    <t>THIS HAS BEEN FIXED</t>
  </si>
  <si>
    <t>Length</t>
  </si>
  <si>
    <t>Dynamic Viscosity</t>
  </si>
  <si>
    <t>Heat Flux</t>
  </si>
  <si>
    <t>mile</t>
  </si>
  <si>
    <r>
      <t xml:space="preserve">yard </t>
    </r>
    <r>
      <rPr>
        <vertAlign val="superscript"/>
        <sz val="8"/>
        <color indexed="9"/>
        <rFont val="Arial"/>
        <family val="2"/>
      </rPr>
      <t>3</t>
    </r>
  </si>
  <si>
    <t>MMscf / hr</t>
  </si>
  <si>
    <r>
      <t xml:space="preserve">ft </t>
    </r>
    <r>
      <rPr>
        <vertAlign val="superscript"/>
        <sz val="8"/>
        <color indexed="9"/>
        <rFont val="Arial"/>
        <family val="2"/>
      </rPr>
      <t>3</t>
    </r>
    <r>
      <rPr>
        <sz val="8"/>
        <color indexed="9"/>
        <rFont val="Arial"/>
        <family val="2"/>
      </rPr>
      <t xml:space="preserve"> / sec</t>
    </r>
  </si>
  <si>
    <t>psi</t>
  </si>
  <si>
    <t>hp</t>
  </si>
  <si>
    <t>hp . hr</t>
  </si>
  <si>
    <t>Long Ton</t>
  </si>
  <si>
    <r>
      <t>ft</t>
    </r>
    <r>
      <rPr>
        <vertAlign val="superscript"/>
        <sz val="8"/>
        <color indexed="9"/>
        <rFont val="Arial"/>
        <family val="2"/>
      </rPr>
      <t>2</t>
    </r>
  </si>
  <si>
    <r>
      <t>gr / cm</t>
    </r>
    <r>
      <rPr>
        <vertAlign val="superscript"/>
        <sz val="8"/>
        <color indexed="9"/>
        <rFont val="Arial"/>
        <family val="2"/>
      </rPr>
      <t>3</t>
    </r>
  </si>
  <si>
    <t>centipoise</t>
  </si>
  <si>
    <t>centistoke</t>
  </si>
  <si>
    <t>lb / sec</t>
  </si>
  <si>
    <r>
      <t>Btu / hr . ft</t>
    </r>
    <r>
      <rPr>
        <vertAlign val="superscript"/>
        <sz val="8"/>
        <color indexed="9"/>
        <rFont val="Arial"/>
        <family val="2"/>
      </rPr>
      <t>2</t>
    </r>
    <r>
      <rPr>
        <sz val="8"/>
        <color indexed="9"/>
        <rFont val="Arial"/>
        <family val="2"/>
      </rPr>
      <t xml:space="preserve"> . F</t>
    </r>
  </si>
  <si>
    <t>Btu / hr . ft . F</t>
  </si>
  <si>
    <r>
      <t>Btu / hr . ft</t>
    </r>
    <r>
      <rPr>
        <vertAlign val="superscript"/>
        <sz val="8"/>
        <color indexed="9"/>
        <rFont val="Arial"/>
        <family val="2"/>
      </rPr>
      <t>2</t>
    </r>
  </si>
  <si>
    <t>Btu / lb</t>
  </si>
  <si>
    <t>Btu / lb . F</t>
  </si>
  <si>
    <t>yard</t>
  </si>
  <si>
    <t>bbl</t>
  </si>
  <si>
    <t>MMscf / day</t>
  </si>
  <si>
    <r>
      <t xml:space="preserve">ft </t>
    </r>
    <r>
      <rPr>
        <vertAlign val="superscript"/>
        <sz val="8"/>
        <color indexed="9"/>
        <rFont val="Arial"/>
        <family val="2"/>
      </rPr>
      <t>3</t>
    </r>
    <r>
      <rPr>
        <sz val="8"/>
        <color indexed="9"/>
        <rFont val="Arial"/>
        <family val="2"/>
      </rPr>
      <t xml:space="preserve"> / min</t>
    </r>
  </si>
  <si>
    <t>in Hg</t>
  </si>
  <si>
    <t>hp  (metric)</t>
  </si>
  <si>
    <t>Btu</t>
  </si>
  <si>
    <t>Short Ton</t>
  </si>
  <si>
    <r>
      <t>in</t>
    </r>
    <r>
      <rPr>
        <vertAlign val="superscript"/>
        <sz val="8"/>
        <color indexed="9"/>
        <rFont val="Arial"/>
        <family val="2"/>
      </rPr>
      <t>2</t>
    </r>
  </si>
  <si>
    <t>gr / ml</t>
  </si>
  <si>
    <t>poise</t>
  </si>
  <si>
    <t>stoke</t>
  </si>
  <si>
    <t>lb / min</t>
  </si>
  <si>
    <r>
      <t>cal / sec . cm</t>
    </r>
    <r>
      <rPr>
        <vertAlign val="superscript"/>
        <sz val="8"/>
        <color indexed="9"/>
        <rFont val="Arial"/>
        <family val="2"/>
      </rPr>
      <t>2</t>
    </r>
    <r>
      <rPr>
        <sz val="8"/>
        <color indexed="9"/>
        <rFont val="Arial"/>
        <family val="2"/>
      </rPr>
      <t xml:space="preserve"> . C</t>
    </r>
  </si>
  <si>
    <t>cal / sec . cm . C</t>
  </si>
  <si>
    <r>
      <t>cal / sec . cm</t>
    </r>
    <r>
      <rPr>
        <vertAlign val="superscript"/>
        <sz val="8"/>
        <color indexed="9"/>
        <rFont val="Arial"/>
        <family val="2"/>
      </rPr>
      <t>2</t>
    </r>
  </si>
  <si>
    <t>cal / gr</t>
  </si>
  <si>
    <t>cal / gr . C</t>
  </si>
  <si>
    <t>Volume</t>
  </si>
  <si>
    <t>Energy</t>
  </si>
  <si>
    <t>Kinematic Viscosity</t>
  </si>
  <si>
    <t>Specific Energy</t>
  </si>
  <si>
    <t>ft</t>
  </si>
  <si>
    <r>
      <t xml:space="preserve">ft </t>
    </r>
    <r>
      <rPr>
        <vertAlign val="superscript"/>
        <sz val="8"/>
        <color indexed="9"/>
        <rFont val="Arial"/>
        <family val="2"/>
      </rPr>
      <t>3</t>
    </r>
  </si>
  <si>
    <t>Mscf / hr</t>
  </si>
  <si>
    <r>
      <t xml:space="preserve">ft </t>
    </r>
    <r>
      <rPr>
        <vertAlign val="superscript"/>
        <sz val="8"/>
        <color indexed="9"/>
        <rFont val="Arial"/>
        <family val="2"/>
      </rPr>
      <t>3</t>
    </r>
    <r>
      <rPr>
        <sz val="8"/>
        <color indexed="9"/>
        <rFont val="Arial"/>
        <family val="2"/>
      </rPr>
      <t xml:space="preserve"> / hr</t>
    </r>
  </si>
  <si>
    <t>mm Hg</t>
  </si>
  <si>
    <t>ton  (refrig.)</t>
  </si>
  <si>
    <r>
      <t>ft . lb</t>
    </r>
    <r>
      <rPr>
        <vertAlign val="subscript"/>
        <sz val="8"/>
        <color indexed="9"/>
        <rFont val="Arial"/>
        <family val="2"/>
      </rPr>
      <t>f</t>
    </r>
  </si>
  <si>
    <t>Metric Ton</t>
  </si>
  <si>
    <r>
      <t xml:space="preserve">yard </t>
    </r>
    <r>
      <rPr>
        <vertAlign val="superscript"/>
        <sz val="8"/>
        <color indexed="9"/>
        <rFont val="Arial"/>
        <family val="2"/>
      </rPr>
      <t>2</t>
    </r>
  </si>
  <si>
    <t>gr / lit</t>
  </si>
  <si>
    <t>Pa . sec</t>
  </si>
  <si>
    <r>
      <t>ft</t>
    </r>
    <r>
      <rPr>
        <vertAlign val="superscript"/>
        <sz val="8"/>
        <color indexed="9"/>
        <rFont val="Arial"/>
        <family val="2"/>
      </rPr>
      <t>2</t>
    </r>
    <r>
      <rPr>
        <sz val="8"/>
        <color indexed="9"/>
        <rFont val="Arial"/>
        <family val="2"/>
      </rPr>
      <t xml:space="preserve"> / sec</t>
    </r>
  </si>
  <si>
    <t>lb / hr</t>
  </si>
  <si>
    <r>
      <t>watt / cm</t>
    </r>
    <r>
      <rPr>
        <vertAlign val="superscript"/>
        <sz val="8"/>
        <color indexed="9"/>
        <rFont val="Arial"/>
        <family val="2"/>
      </rPr>
      <t>2</t>
    </r>
    <r>
      <rPr>
        <sz val="8"/>
        <color indexed="9"/>
        <rFont val="Arial"/>
        <family val="2"/>
      </rPr>
      <t xml:space="preserve"> . C</t>
    </r>
  </si>
  <si>
    <t>watt / cm . C</t>
  </si>
  <si>
    <r>
      <t>watt / cm</t>
    </r>
    <r>
      <rPr>
        <vertAlign val="superscript"/>
        <sz val="8"/>
        <color indexed="9"/>
        <rFont val="Arial"/>
        <family val="2"/>
      </rPr>
      <t>2</t>
    </r>
  </si>
  <si>
    <t>joule / gr</t>
  </si>
  <si>
    <t>joule / gr . C</t>
  </si>
  <si>
    <t>in</t>
  </si>
  <si>
    <t>gal  (Imperial)</t>
  </si>
  <si>
    <t>Mscf / day</t>
  </si>
  <si>
    <t>bbl / hr</t>
  </si>
  <si>
    <r>
      <t>ft H</t>
    </r>
    <r>
      <rPr>
        <vertAlign val="subscript"/>
        <sz val="8"/>
        <color indexed="9"/>
        <rFont val="Arial"/>
        <family val="2"/>
      </rPr>
      <t>2</t>
    </r>
    <r>
      <rPr>
        <sz val="8"/>
        <color indexed="9"/>
        <rFont val="Arial"/>
        <family val="2"/>
      </rPr>
      <t>O</t>
    </r>
  </si>
  <si>
    <t>Btu / min</t>
  </si>
  <si>
    <t>kW .  hr</t>
  </si>
  <si>
    <t>lb</t>
  </si>
  <si>
    <r>
      <t xml:space="preserve">mile </t>
    </r>
    <r>
      <rPr>
        <vertAlign val="superscript"/>
        <sz val="8"/>
        <color indexed="9"/>
        <rFont val="Arial"/>
        <family val="2"/>
      </rPr>
      <t>2</t>
    </r>
  </si>
  <si>
    <t>gr / gal</t>
  </si>
  <si>
    <t>lb / ft . hr</t>
  </si>
  <si>
    <r>
      <t>ft</t>
    </r>
    <r>
      <rPr>
        <vertAlign val="superscript"/>
        <sz val="8"/>
        <color indexed="9"/>
        <rFont val="Arial"/>
        <family val="2"/>
      </rPr>
      <t>2</t>
    </r>
    <r>
      <rPr>
        <sz val="8"/>
        <color indexed="9"/>
        <rFont val="Arial"/>
        <family val="2"/>
      </rPr>
      <t xml:space="preserve"> / hr</t>
    </r>
  </si>
  <si>
    <t>lb / day</t>
  </si>
  <si>
    <r>
      <t>kcal / hr . m</t>
    </r>
    <r>
      <rPr>
        <vertAlign val="superscript"/>
        <sz val="8"/>
        <color indexed="9"/>
        <rFont val="Arial"/>
        <family val="2"/>
      </rPr>
      <t>2</t>
    </r>
    <r>
      <rPr>
        <sz val="8"/>
        <color indexed="9"/>
        <rFont val="Arial"/>
        <family val="2"/>
      </rPr>
      <t xml:space="preserve"> . C</t>
    </r>
  </si>
  <si>
    <t>kcal / hr . m . C</t>
  </si>
  <si>
    <r>
      <t>kcal / hr . m</t>
    </r>
    <r>
      <rPr>
        <vertAlign val="superscript"/>
        <sz val="8"/>
        <color indexed="9"/>
        <rFont val="Arial"/>
        <family val="2"/>
      </rPr>
      <t>2</t>
    </r>
  </si>
  <si>
    <t>cal / kg</t>
  </si>
  <si>
    <t>cal / kg . C</t>
  </si>
  <si>
    <t>km</t>
  </si>
  <si>
    <t>gal  (US)</t>
  </si>
  <si>
    <t>lb-mol / hr</t>
  </si>
  <si>
    <t>bbl / day</t>
  </si>
  <si>
    <r>
      <t>in H</t>
    </r>
    <r>
      <rPr>
        <vertAlign val="subscript"/>
        <sz val="8"/>
        <color indexed="9"/>
        <rFont val="Arial"/>
        <family val="2"/>
      </rPr>
      <t>2</t>
    </r>
    <r>
      <rPr>
        <sz val="8"/>
        <color indexed="9"/>
        <rFont val="Arial"/>
        <family val="2"/>
      </rPr>
      <t>O</t>
    </r>
  </si>
  <si>
    <t>Btu / hr</t>
  </si>
  <si>
    <t>Cal</t>
  </si>
  <si>
    <t>oz</t>
  </si>
  <si>
    <r>
      <t>mm</t>
    </r>
    <r>
      <rPr>
        <vertAlign val="superscript"/>
        <sz val="8"/>
        <color indexed="9"/>
        <rFont val="Arial"/>
        <family val="2"/>
      </rPr>
      <t>2</t>
    </r>
  </si>
  <si>
    <r>
      <t>kg / m</t>
    </r>
    <r>
      <rPr>
        <vertAlign val="superscript"/>
        <sz val="8"/>
        <color indexed="9"/>
        <rFont val="Arial"/>
        <family val="2"/>
      </rPr>
      <t>3</t>
    </r>
  </si>
  <si>
    <t>lb / ft . sec</t>
  </si>
  <si>
    <r>
      <t>m</t>
    </r>
    <r>
      <rPr>
        <vertAlign val="superscript"/>
        <sz val="8"/>
        <color indexed="9"/>
        <rFont val="Arial"/>
        <family val="2"/>
      </rPr>
      <t>2</t>
    </r>
    <r>
      <rPr>
        <sz val="8"/>
        <color indexed="9"/>
        <rFont val="Arial"/>
        <family val="2"/>
      </rPr>
      <t xml:space="preserve"> / sec</t>
    </r>
  </si>
  <si>
    <t>kg / sec</t>
  </si>
  <si>
    <r>
      <t>watt / m</t>
    </r>
    <r>
      <rPr>
        <vertAlign val="superscript"/>
        <sz val="8"/>
        <color indexed="9"/>
        <rFont val="Arial"/>
        <family val="2"/>
      </rPr>
      <t>2</t>
    </r>
    <r>
      <rPr>
        <sz val="8"/>
        <color indexed="9"/>
        <rFont val="Arial"/>
        <family val="2"/>
      </rPr>
      <t xml:space="preserve"> . C</t>
    </r>
  </si>
  <si>
    <t>watt / m . C</t>
  </si>
  <si>
    <r>
      <t>watt / m</t>
    </r>
    <r>
      <rPr>
        <vertAlign val="superscript"/>
        <sz val="8"/>
        <color indexed="9"/>
        <rFont val="Arial"/>
        <family val="2"/>
      </rPr>
      <t>2</t>
    </r>
  </si>
  <si>
    <t>joule / kg</t>
  </si>
  <si>
    <t>joule / kg . C</t>
  </si>
  <si>
    <t xml:space="preserve">m </t>
  </si>
  <si>
    <t>fl. oz</t>
  </si>
  <si>
    <t>lb-mol / day</t>
  </si>
  <si>
    <t>gal / min</t>
  </si>
  <si>
    <t>torr</t>
  </si>
  <si>
    <t>kCal</t>
  </si>
  <si>
    <t>kg</t>
  </si>
  <si>
    <r>
      <t>cm</t>
    </r>
    <r>
      <rPr>
        <vertAlign val="superscript"/>
        <sz val="8"/>
        <color indexed="9"/>
        <rFont val="Arial"/>
        <family val="2"/>
      </rPr>
      <t>2</t>
    </r>
  </si>
  <si>
    <r>
      <t>lb / in</t>
    </r>
    <r>
      <rPr>
        <vertAlign val="superscript"/>
        <sz val="8"/>
        <color indexed="9"/>
        <rFont val="Arial"/>
        <family val="2"/>
      </rPr>
      <t>3</t>
    </r>
  </si>
  <si>
    <r>
      <t>lb</t>
    </r>
    <r>
      <rPr>
        <vertAlign val="subscript"/>
        <sz val="8"/>
        <color indexed="9"/>
        <rFont val="Arial"/>
        <family val="2"/>
      </rPr>
      <t>f</t>
    </r>
    <r>
      <rPr>
        <sz val="8"/>
        <color indexed="9"/>
        <rFont val="Arial"/>
        <family val="2"/>
      </rPr>
      <t xml:space="preserve"> . sec / ft2</t>
    </r>
  </si>
  <si>
    <r>
      <t>m</t>
    </r>
    <r>
      <rPr>
        <vertAlign val="superscript"/>
        <sz val="8"/>
        <color indexed="9"/>
        <rFont val="Arial"/>
        <family val="2"/>
      </rPr>
      <t>2</t>
    </r>
    <r>
      <rPr>
        <sz val="8"/>
        <color indexed="9"/>
        <rFont val="Arial"/>
        <family val="2"/>
      </rPr>
      <t xml:space="preserve"> / hr</t>
    </r>
  </si>
  <si>
    <t>kg / min</t>
  </si>
  <si>
    <t>Molar Flowrate</t>
  </si>
  <si>
    <t>Mass</t>
  </si>
  <si>
    <t>Mass Flowrate</t>
  </si>
  <si>
    <t>Specific Heat</t>
  </si>
  <si>
    <t>cm</t>
  </si>
  <si>
    <r>
      <t xml:space="preserve">in </t>
    </r>
    <r>
      <rPr>
        <vertAlign val="superscript"/>
        <sz val="8"/>
        <color indexed="9"/>
        <rFont val="Arial"/>
        <family val="2"/>
      </rPr>
      <t>3</t>
    </r>
  </si>
  <si>
    <t>g-mol / hr</t>
  </si>
  <si>
    <t>gal / day</t>
  </si>
  <si>
    <t>atm</t>
  </si>
  <si>
    <t>Cal / sec</t>
  </si>
  <si>
    <t>joule</t>
  </si>
  <si>
    <t>gr</t>
  </si>
  <si>
    <r>
      <t>m</t>
    </r>
    <r>
      <rPr>
        <vertAlign val="superscript"/>
        <sz val="8"/>
        <color indexed="9"/>
        <rFont val="Arial"/>
        <family val="2"/>
      </rPr>
      <t>2</t>
    </r>
  </si>
  <si>
    <r>
      <t>lb / ft</t>
    </r>
    <r>
      <rPr>
        <vertAlign val="superscript"/>
        <sz val="8"/>
        <color indexed="9"/>
        <rFont val="Arial"/>
        <family val="2"/>
      </rPr>
      <t>3</t>
    </r>
  </si>
  <si>
    <r>
      <t>lb</t>
    </r>
    <r>
      <rPr>
        <vertAlign val="subscript"/>
        <sz val="8"/>
        <color indexed="9"/>
        <rFont val="Arial"/>
        <family val="2"/>
      </rPr>
      <t>f</t>
    </r>
    <r>
      <rPr>
        <sz val="8"/>
        <color indexed="9"/>
        <rFont val="Arial"/>
        <family val="2"/>
      </rPr>
      <t xml:space="preserve"> . sec / in2</t>
    </r>
  </si>
  <si>
    <r>
      <t>cm</t>
    </r>
    <r>
      <rPr>
        <vertAlign val="superscript"/>
        <sz val="8"/>
        <color indexed="9"/>
        <rFont val="Arial"/>
        <family val="2"/>
      </rPr>
      <t>2</t>
    </r>
    <r>
      <rPr>
        <sz val="8"/>
        <color indexed="9"/>
        <rFont val="Arial"/>
        <family val="2"/>
      </rPr>
      <t xml:space="preserve"> / sec</t>
    </r>
  </si>
  <si>
    <t>kg / hr</t>
  </si>
  <si>
    <r>
      <t xml:space="preserve">m </t>
    </r>
    <r>
      <rPr>
        <vertAlign val="superscript"/>
        <sz val="8"/>
        <color indexed="9"/>
        <rFont val="Arial"/>
        <family val="2"/>
      </rPr>
      <t>3</t>
    </r>
  </si>
  <si>
    <t>g-mol / day</t>
  </si>
  <si>
    <r>
      <t xml:space="preserve">m </t>
    </r>
    <r>
      <rPr>
        <vertAlign val="superscript"/>
        <sz val="8"/>
        <color indexed="9"/>
        <rFont val="Arial"/>
        <family val="2"/>
      </rPr>
      <t>3</t>
    </r>
    <r>
      <rPr>
        <sz val="8"/>
        <color indexed="9"/>
        <rFont val="Arial"/>
        <family val="2"/>
      </rPr>
      <t xml:space="preserve"> / sec</t>
    </r>
  </si>
  <si>
    <t>bar</t>
  </si>
  <si>
    <t>Cal / min</t>
  </si>
  <si>
    <t>W . sec</t>
  </si>
  <si>
    <t>mg</t>
  </si>
  <si>
    <r>
      <t>km</t>
    </r>
    <r>
      <rPr>
        <vertAlign val="superscript"/>
        <sz val="8"/>
        <color indexed="9"/>
        <rFont val="Arial"/>
        <family val="2"/>
      </rPr>
      <t>2</t>
    </r>
  </si>
  <si>
    <t>lb / gal</t>
  </si>
  <si>
    <t>gr / cm . sec</t>
  </si>
  <si>
    <t>kg / day</t>
  </si>
  <si>
    <t>micron</t>
  </si>
  <si>
    <t>lit</t>
  </si>
  <si>
    <r>
      <t xml:space="preserve">m </t>
    </r>
    <r>
      <rPr>
        <vertAlign val="superscript"/>
        <sz val="8"/>
        <color indexed="9"/>
        <rFont val="Arial"/>
        <family val="2"/>
      </rPr>
      <t>3</t>
    </r>
    <r>
      <rPr>
        <sz val="8"/>
        <color indexed="9"/>
        <rFont val="Arial"/>
        <family val="2"/>
      </rPr>
      <t xml:space="preserve"> / min</t>
    </r>
  </si>
  <si>
    <t>mbar</t>
  </si>
  <si>
    <t>Watt</t>
  </si>
  <si>
    <r>
      <t>ft</t>
    </r>
    <r>
      <rPr>
        <vertAlign val="superscript"/>
        <sz val="8"/>
        <color indexed="9"/>
        <rFont val="Arial"/>
        <family val="2"/>
      </rPr>
      <t>3</t>
    </r>
    <r>
      <rPr>
        <sz val="8"/>
        <color indexed="9"/>
        <rFont val="Arial"/>
        <family val="2"/>
      </rPr>
      <t xml:space="preserve"> . lb</t>
    </r>
    <r>
      <rPr>
        <vertAlign val="subscript"/>
        <sz val="8"/>
        <color indexed="9"/>
        <rFont val="Arial"/>
        <family val="2"/>
      </rPr>
      <t>f</t>
    </r>
    <r>
      <rPr>
        <sz val="8"/>
        <color indexed="9"/>
        <rFont val="Arial"/>
        <family val="2"/>
      </rPr>
      <t xml:space="preserve"> / in</t>
    </r>
    <r>
      <rPr>
        <vertAlign val="superscript"/>
        <sz val="8"/>
        <color indexed="9"/>
        <rFont val="Arial"/>
        <family val="2"/>
      </rPr>
      <t>2</t>
    </r>
  </si>
  <si>
    <t>grain</t>
  </si>
  <si>
    <t>hectare</t>
  </si>
  <si>
    <t>lb / bbl</t>
  </si>
  <si>
    <t>kg / m . hr</t>
  </si>
  <si>
    <t>L ton / day</t>
  </si>
  <si>
    <r>
      <t xml:space="preserve">cm </t>
    </r>
    <r>
      <rPr>
        <vertAlign val="superscript"/>
        <sz val="8"/>
        <color indexed="9"/>
        <rFont val="Arial"/>
        <family val="2"/>
      </rPr>
      <t>3</t>
    </r>
  </si>
  <si>
    <r>
      <t xml:space="preserve">m </t>
    </r>
    <r>
      <rPr>
        <vertAlign val="superscript"/>
        <sz val="8"/>
        <color indexed="9"/>
        <rFont val="Arial"/>
        <family val="2"/>
      </rPr>
      <t>3</t>
    </r>
    <r>
      <rPr>
        <sz val="8"/>
        <color indexed="9"/>
        <rFont val="Arial"/>
        <family val="2"/>
      </rPr>
      <t xml:space="preserve"> / hr</t>
    </r>
  </si>
  <si>
    <r>
      <t>kg / cm</t>
    </r>
    <r>
      <rPr>
        <vertAlign val="superscript"/>
        <sz val="8"/>
        <color indexed="9"/>
        <rFont val="Arial"/>
        <family val="2"/>
      </rPr>
      <t>2</t>
    </r>
  </si>
  <si>
    <t>Joule / sec</t>
  </si>
  <si>
    <t>lit . atm</t>
  </si>
  <si>
    <t>carat</t>
  </si>
  <si>
    <t>are</t>
  </si>
  <si>
    <r>
      <t>oz / in</t>
    </r>
    <r>
      <rPr>
        <vertAlign val="superscript"/>
        <sz val="8"/>
        <color indexed="9"/>
        <rFont val="Arial"/>
        <family val="2"/>
      </rPr>
      <t>3</t>
    </r>
  </si>
  <si>
    <t>S ton / day</t>
  </si>
  <si>
    <t>Volumetric Flowrate</t>
  </si>
  <si>
    <t>Heat Transfer Coefficient</t>
  </si>
  <si>
    <t>ml</t>
  </si>
  <si>
    <t>lit / sec</t>
  </si>
  <si>
    <r>
      <t>ft . lb</t>
    </r>
    <r>
      <rPr>
        <vertAlign val="subscript"/>
        <sz val="8"/>
        <color indexed="9"/>
        <rFont val="Arial"/>
        <family val="2"/>
      </rPr>
      <t>f</t>
    </r>
    <r>
      <rPr>
        <sz val="8"/>
        <color indexed="9"/>
        <rFont val="Arial"/>
        <family val="2"/>
      </rPr>
      <t xml:space="preserve"> / sec</t>
    </r>
  </si>
  <si>
    <t>slug</t>
  </si>
  <si>
    <t>acre</t>
  </si>
  <si>
    <t>oz / gal</t>
  </si>
  <si>
    <t>M ton / day</t>
  </si>
  <si>
    <t>lit / min</t>
  </si>
  <si>
    <r>
      <t>ft . lb</t>
    </r>
    <r>
      <rPr>
        <vertAlign val="subscript"/>
        <sz val="8"/>
        <color indexed="9"/>
        <rFont val="Arial"/>
        <family val="2"/>
      </rPr>
      <t>f</t>
    </r>
    <r>
      <rPr>
        <sz val="8"/>
        <color indexed="9"/>
        <rFont val="Arial"/>
        <family val="2"/>
      </rPr>
      <t xml:space="preserve"> / min</t>
    </r>
  </si>
  <si>
    <t>SG  (liquid)</t>
  </si>
  <si>
    <t>lit / hr</t>
  </si>
  <si>
    <t>lit / day</t>
  </si>
  <si>
    <t>Thermal Conductivity</t>
  </si>
  <si>
    <t>E</t>
  </si>
  <si>
    <t>F</t>
  </si>
  <si>
    <t>m³/sec</t>
  </si>
  <si>
    <t>Kg/sec</t>
  </si>
  <si>
    <t>w (Density)</t>
  </si>
  <si>
    <t>U/C #</t>
  </si>
  <si>
    <t>N</t>
  </si>
  <si>
    <t># System</t>
  </si>
  <si>
    <t>Avail =</t>
  </si>
  <si>
    <t>Air volume ONLY Used for Development</t>
  </si>
  <si>
    <t>Fisure Water @0.4 t/ton/month</t>
  </si>
  <si>
    <r>
      <t xml:space="preserve">DESIGN COOL. CAR </t>
    </r>
    <r>
      <rPr>
        <sz val="8"/>
        <rFont val="Arial"/>
        <family val="2"/>
      </rPr>
      <t>DELTA WATER TEMPERATURE</t>
    </r>
  </si>
  <si>
    <t>Refrigeration l/s Total</t>
  </si>
  <si>
    <t>Fissure Water ( 0.4t/ton/m)</t>
  </si>
  <si>
    <t>Heat load fissure water kW</t>
  </si>
  <si>
    <t>G</t>
  </si>
  <si>
    <t xml:space="preserve"> HEAT PRODUCTION IN KW FOR ROCK kW</t>
  </si>
  <si>
    <t>l/s Total Req</t>
  </si>
  <si>
    <t>I</t>
  </si>
  <si>
    <t>J</t>
  </si>
  <si>
    <t>Refrigeration kW REQ. TO ACHIEVE REJ. WB TEMP.</t>
  </si>
  <si>
    <t>WATER Flow l/s REQ. TO ACHIEVE REJ. WB TEMP.</t>
  </si>
  <si>
    <r>
      <t>18</t>
    </r>
    <r>
      <rPr>
        <vertAlign val="superscript"/>
        <sz val="11"/>
        <color theme="1"/>
        <rFont val="Calibri"/>
        <family val="2"/>
        <scheme val="minor"/>
      </rPr>
      <t>o</t>
    </r>
  </si>
  <si>
    <r>
      <t>10</t>
    </r>
    <r>
      <rPr>
        <vertAlign val="superscript"/>
        <sz val="11"/>
        <color theme="1"/>
        <rFont val="Calibri"/>
        <family val="2"/>
        <scheme val="minor"/>
      </rPr>
      <t>o</t>
    </r>
  </si>
  <si>
    <r>
      <t>5</t>
    </r>
    <r>
      <rPr>
        <vertAlign val="superscript"/>
        <sz val="11"/>
        <color theme="1"/>
        <rFont val="Calibri"/>
        <family val="2"/>
        <scheme val="minor"/>
      </rPr>
      <t>o</t>
    </r>
  </si>
  <si>
    <t>BAC Temp</t>
  </si>
  <si>
    <t>Reject Temp</t>
  </si>
  <si>
    <t>Air cooling capacity</t>
  </si>
  <si>
    <t>Formulae for A, B and C</t>
  </si>
  <si>
    <t>Inputs</t>
  </si>
  <si>
    <t>Value</t>
  </si>
  <si>
    <t>Depth</t>
  </si>
  <si>
    <t xml:space="preserve">Heat </t>
  </si>
  <si>
    <t>Design wb temp</t>
  </si>
  <si>
    <t>Mass flow air</t>
  </si>
  <si>
    <r>
      <t>BAC Surf temp (eg 10</t>
    </r>
    <r>
      <rPr>
        <vertAlign val="superscript"/>
        <sz val="11"/>
        <color theme="1"/>
        <rFont val="Calibri"/>
        <family val="2"/>
        <scheme val="minor"/>
      </rPr>
      <t>o</t>
    </r>
    <r>
      <rPr>
        <sz val="11"/>
        <color theme="1"/>
        <rFont val="Calibri"/>
        <family val="2"/>
        <scheme val="minor"/>
      </rPr>
      <t>)</t>
    </r>
  </si>
  <si>
    <t xml:space="preserve">Output </t>
  </si>
  <si>
    <t>Refrigeration required</t>
  </si>
  <si>
    <t>Air Cooling Power KJ/kg</t>
  </si>
  <si>
    <t>Refrigeration required (negative amount means too much refrigeration required)</t>
  </si>
  <si>
    <t>Surface air / Mix Temperature (Usually 10°C)</t>
  </si>
  <si>
    <t>Running Cost -Fan (Known Kw)</t>
  </si>
  <si>
    <t>R =XXXXX Ns2/m8</t>
  </si>
  <si>
    <r>
      <t>m</t>
    </r>
    <r>
      <rPr>
        <sz val="11"/>
        <rFont val="Calibri"/>
        <family val="2"/>
      </rPr>
      <t>²</t>
    </r>
    <r>
      <rPr>
        <sz val="11"/>
        <rFont val="Arial"/>
        <family val="2"/>
      </rPr>
      <t>/Month</t>
    </r>
  </si>
  <si>
    <t>m²/Day</t>
  </si>
  <si>
    <t>Mixing of Airstreams</t>
  </si>
  <si>
    <t>Sc =</t>
  </si>
  <si>
    <t>the total kW of heat from air stream A</t>
  </si>
  <si>
    <r>
      <t>M</t>
    </r>
    <r>
      <rPr>
        <vertAlign val="subscript"/>
        <sz val="11"/>
        <color rgb="FF000000"/>
        <rFont val="Arial"/>
        <family val="2"/>
      </rPr>
      <t>B</t>
    </r>
    <r>
      <rPr>
        <sz val="11"/>
        <color rgb="FF000000"/>
        <rFont val="Arial"/>
        <family val="2"/>
      </rPr>
      <t xml:space="preserve"> x S</t>
    </r>
    <r>
      <rPr>
        <vertAlign val="subscript"/>
        <sz val="11"/>
        <color rgb="FF000000"/>
        <rFont val="Arial"/>
        <family val="2"/>
      </rPr>
      <t>B</t>
    </r>
  </si>
  <si>
    <r>
      <t>M</t>
    </r>
    <r>
      <rPr>
        <vertAlign val="subscript"/>
        <sz val="11"/>
        <color rgb="FF000000"/>
        <rFont val="Arial"/>
        <family val="2"/>
      </rPr>
      <t>A</t>
    </r>
    <r>
      <rPr>
        <sz val="11"/>
        <color rgb="FF000000"/>
        <rFont val="Arial"/>
        <family val="2"/>
      </rPr>
      <t xml:space="preserve"> x S</t>
    </r>
    <r>
      <rPr>
        <vertAlign val="subscript"/>
        <sz val="11"/>
        <color rgb="FF000000"/>
        <rFont val="Arial"/>
        <family val="2"/>
      </rPr>
      <t>A</t>
    </r>
  </si>
  <si>
    <t>the total kW of heat from air stream B</t>
  </si>
  <si>
    <t>sigma heat content of the mixture [kJ/kg]</t>
  </si>
  <si>
    <t xml:space="preserve">Sc </t>
  </si>
  <si>
    <r>
      <t>M</t>
    </r>
    <r>
      <rPr>
        <vertAlign val="subscript"/>
        <sz val="11"/>
        <color rgb="FF000000"/>
        <rFont val="Arial"/>
        <family val="2"/>
      </rPr>
      <t>A</t>
    </r>
    <r>
      <rPr>
        <sz val="11"/>
        <color rgb="FF000000"/>
        <rFont val="Arial"/>
        <family val="2"/>
      </rPr>
      <t xml:space="preserve"> </t>
    </r>
  </si>
  <si>
    <t>Massflow from air stream A</t>
  </si>
  <si>
    <r>
      <t>S</t>
    </r>
    <r>
      <rPr>
        <vertAlign val="subscript"/>
        <sz val="11"/>
        <color rgb="FF000000"/>
        <rFont val="Arial"/>
        <family val="2"/>
      </rPr>
      <t>A</t>
    </r>
    <r>
      <rPr>
        <sz val="11"/>
        <color rgb="FF000000"/>
        <rFont val="Arial"/>
        <family val="2"/>
      </rPr>
      <t xml:space="preserve"> </t>
    </r>
  </si>
  <si>
    <t>Sigma heat from air stream A</t>
  </si>
  <si>
    <r>
      <t>M</t>
    </r>
    <r>
      <rPr>
        <vertAlign val="subscript"/>
        <sz val="11"/>
        <color rgb="FF000000"/>
        <rFont val="Arial"/>
        <family val="2"/>
      </rPr>
      <t>B</t>
    </r>
  </si>
  <si>
    <r>
      <t>S</t>
    </r>
    <r>
      <rPr>
        <vertAlign val="subscript"/>
        <sz val="11"/>
        <color rgb="FF000000"/>
        <rFont val="Arial"/>
        <family val="2"/>
      </rPr>
      <t>B</t>
    </r>
  </si>
  <si>
    <t>Massflow from air stream B</t>
  </si>
  <si>
    <t>Sigma heat from air stream B</t>
  </si>
  <si>
    <t>Use of calculation</t>
  </si>
  <si>
    <t>Only edit cells coloured</t>
  </si>
  <si>
    <t>Calculation of explosive ranges from gas analysis</t>
  </si>
  <si>
    <t>L1</t>
  </si>
  <si>
    <t>L2</t>
  </si>
  <si>
    <t>L3</t>
  </si>
  <si>
    <t>L4</t>
  </si>
  <si>
    <t>L5</t>
  </si>
  <si>
    <t>L6</t>
  </si>
  <si>
    <r>
      <t>CH</t>
    </r>
    <r>
      <rPr>
        <vertAlign val="subscript"/>
        <sz val="10"/>
        <rFont val="Arial"/>
        <family val="2"/>
      </rPr>
      <t>4</t>
    </r>
  </si>
  <si>
    <r>
      <t>H</t>
    </r>
    <r>
      <rPr>
        <vertAlign val="subscript"/>
        <sz val="10"/>
        <rFont val="Arial"/>
        <family val="2"/>
      </rPr>
      <t>2</t>
    </r>
  </si>
  <si>
    <r>
      <t>C</t>
    </r>
    <r>
      <rPr>
        <vertAlign val="subscript"/>
        <sz val="10"/>
        <rFont val="Arial"/>
        <family val="2"/>
      </rPr>
      <t>4</t>
    </r>
    <r>
      <rPr>
        <sz val="11"/>
        <color theme="1"/>
        <rFont val="Calibri"/>
        <family val="2"/>
        <scheme val="minor"/>
      </rPr>
      <t>H</t>
    </r>
    <r>
      <rPr>
        <vertAlign val="subscript"/>
        <sz val="10"/>
        <rFont val="Arial"/>
        <family val="2"/>
      </rPr>
      <t>10</t>
    </r>
  </si>
  <si>
    <r>
      <t>C</t>
    </r>
    <r>
      <rPr>
        <vertAlign val="subscript"/>
        <sz val="10"/>
        <rFont val="Arial"/>
        <family val="2"/>
      </rPr>
      <t>3</t>
    </r>
    <r>
      <rPr>
        <sz val="11"/>
        <color theme="1"/>
        <rFont val="Calibri"/>
        <family val="2"/>
        <scheme val="minor"/>
      </rPr>
      <t>H</t>
    </r>
    <r>
      <rPr>
        <vertAlign val="subscript"/>
        <sz val="10"/>
        <rFont val="Arial"/>
        <family val="2"/>
      </rPr>
      <t>8</t>
    </r>
  </si>
  <si>
    <r>
      <t>H</t>
    </r>
    <r>
      <rPr>
        <vertAlign val="subscript"/>
        <sz val="10"/>
        <rFont val="Arial"/>
        <family val="2"/>
      </rPr>
      <t>2</t>
    </r>
    <r>
      <rPr>
        <sz val="11"/>
        <color theme="1"/>
        <rFont val="Calibri"/>
        <family val="2"/>
        <scheme val="minor"/>
      </rPr>
      <t>S</t>
    </r>
  </si>
  <si>
    <r>
      <t>C</t>
    </r>
    <r>
      <rPr>
        <vertAlign val="subscript"/>
        <sz val="10"/>
        <rFont val="Arial"/>
        <family val="2"/>
      </rPr>
      <t>2</t>
    </r>
    <r>
      <rPr>
        <sz val="11"/>
        <color theme="1"/>
        <rFont val="Calibri"/>
        <family val="2"/>
        <scheme val="minor"/>
      </rPr>
      <t>H</t>
    </r>
    <r>
      <rPr>
        <vertAlign val="subscript"/>
        <sz val="10"/>
        <rFont val="Arial"/>
        <family val="2"/>
      </rPr>
      <t>6</t>
    </r>
  </si>
  <si>
    <t>Methane</t>
  </si>
  <si>
    <t>Hydrogen</t>
  </si>
  <si>
    <t>Butane</t>
  </si>
  <si>
    <t>Propane</t>
  </si>
  <si>
    <t>Hydrogen Sulphide</t>
  </si>
  <si>
    <t>Ethane</t>
  </si>
  <si>
    <t>Lower %</t>
  </si>
  <si>
    <t>Upper %</t>
  </si>
  <si>
    <t>Ignition temp</t>
  </si>
  <si>
    <t>Sample Volume</t>
  </si>
  <si>
    <t>P2</t>
  </si>
  <si>
    <t>P3</t>
  </si>
  <si>
    <t>P4</t>
  </si>
  <si>
    <t>P5</t>
  </si>
  <si>
    <t>P6</t>
  </si>
  <si>
    <t>LEL</t>
  </si>
  <si>
    <t>100/(P1/L1+P2/L2+P3/L3+P4/L4)</t>
  </si>
  <si>
    <t xml:space="preserve">LEL % </t>
  </si>
  <si>
    <t>P=% gas in mixture volume</t>
  </si>
  <si>
    <t>L=Lower explosion limit %</t>
  </si>
  <si>
    <t>UEL</t>
  </si>
  <si>
    <t>100/(P1/U1+P2/2+P3/3+P4/4)</t>
  </si>
  <si>
    <t>UEL %</t>
  </si>
  <si>
    <t>U=Lower explosion limit %</t>
  </si>
  <si>
    <t>Calculation for the egress of gas from an intersection</t>
  </si>
  <si>
    <t>Hole diameter</t>
  </si>
  <si>
    <t>Hole area</t>
  </si>
  <si>
    <t>Flammable gas content</t>
  </si>
  <si>
    <t>Volume gas concentrate</t>
  </si>
  <si>
    <t xml:space="preserve">Through vent </t>
  </si>
  <si>
    <t>Total volume</t>
  </si>
  <si>
    <t>Gas volume in atmosphere</t>
  </si>
  <si>
    <r>
      <t>m</t>
    </r>
    <r>
      <rPr>
        <vertAlign val="superscript"/>
        <sz val="10"/>
        <rFont val="Arial"/>
        <family val="2"/>
      </rPr>
      <t>2</t>
    </r>
  </si>
  <si>
    <r>
      <t>m</t>
    </r>
    <r>
      <rPr>
        <vertAlign val="superscript"/>
        <sz val="10"/>
        <rFont val="Arial"/>
        <family val="2"/>
      </rPr>
      <t>3</t>
    </r>
    <r>
      <rPr>
        <sz val="11"/>
        <color theme="1"/>
        <rFont val="Calibri"/>
        <family val="2"/>
        <scheme val="minor"/>
      </rPr>
      <t>/s</t>
    </r>
  </si>
  <si>
    <t>Calculation of gas concentrations after dilution</t>
  </si>
  <si>
    <t>Flammable gas mixture</t>
  </si>
  <si>
    <t>Oxygen</t>
  </si>
  <si>
    <t>New LEL</t>
  </si>
  <si>
    <t>(LEL*volume)/total volume mixture</t>
  </si>
  <si>
    <t>New UEL</t>
  </si>
  <si>
    <t>(UEL*volume)/total volume mixture</t>
  </si>
  <si>
    <t>Hours per day</t>
  </si>
  <si>
    <t>Shifts per month</t>
  </si>
  <si>
    <t>Running Cost -(Known Kw) Partial Hours or Shifts</t>
  </si>
  <si>
    <t>Vent Doors</t>
  </si>
  <si>
    <t>OAR - Order as Required (SR)</t>
  </si>
  <si>
    <t>Each</t>
  </si>
  <si>
    <t>Tubing 1015mm Diameter 50m lengths</t>
  </si>
  <si>
    <t xml:space="preserve">Pigtail Eyebolts (5 per fan) </t>
  </si>
  <si>
    <t>Suspension Chains 10mm for Pipes</t>
  </si>
  <si>
    <t xml:space="preserve">Suspension Chains 16mm for fans </t>
  </si>
  <si>
    <t xml:space="preserve">Fans used Secondary (kW) </t>
  </si>
  <si>
    <t xml:space="preserve">Fans used Primary (kW) </t>
  </si>
  <si>
    <t xml:space="preserve">Bro Spray Waterblast </t>
  </si>
  <si>
    <t xml:space="preserve">Bolts M12 </t>
  </si>
  <si>
    <t xml:space="preserve">Bends 90° </t>
  </si>
  <si>
    <t>m Lengths</t>
  </si>
  <si>
    <t xml:space="preserve">mm Dia. Vent Pipes </t>
  </si>
  <si>
    <t>Per End</t>
  </si>
  <si>
    <t>Stock Codes</t>
  </si>
  <si>
    <t>Equipment</t>
  </si>
  <si>
    <t>Conn X/C 2</t>
  </si>
  <si>
    <t>Conn X/C 1</t>
  </si>
  <si>
    <t>Equipment Replacement %</t>
  </si>
  <si>
    <t>Fans used Secondary (kW)</t>
  </si>
  <si>
    <t>Fans used Primary (kW)</t>
  </si>
  <si>
    <t>Bolts per Pipe</t>
  </si>
  <si>
    <t>1015mm / 760mm Column Used</t>
  </si>
  <si>
    <t>(Options - 2.24m 4.5m)</t>
  </si>
  <si>
    <t>Ventilation Collumn Lengths used</t>
  </si>
  <si>
    <t>Conn X/C 2 Due? Y=1 N=0</t>
  </si>
  <si>
    <t>Conn X/C 1 Length</t>
  </si>
  <si>
    <t>RAW Advance</t>
  </si>
  <si>
    <t>Hlge Advance</t>
  </si>
  <si>
    <t>Quantity Total</t>
  </si>
  <si>
    <t>Mean Density</t>
  </si>
  <si>
    <t>Fan (KW) If applicable</t>
  </si>
  <si>
    <t xml:space="preserve">TOTAL Duty (KW) </t>
  </si>
  <si>
    <t>°Farenheit</t>
  </si>
  <si>
    <t>Velocity in Vent Hole</t>
  </si>
  <si>
    <t>Product Calculations</t>
  </si>
  <si>
    <t>Revised Nov 2011</t>
  </si>
  <si>
    <t>DusTreat DC9112A - Initial Application</t>
  </si>
  <si>
    <t>DusTreat DC9112A - Maintenance</t>
  </si>
  <si>
    <t>Road Length</t>
  </si>
  <si>
    <t>Road Width</t>
  </si>
  <si>
    <t>Total Surface Area</t>
  </si>
  <si>
    <t>Solution Spray Rate</t>
  </si>
  <si>
    <t>% Concentration</t>
  </si>
  <si>
    <t>Spray Car Size</t>
  </si>
  <si>
    <t>Litres</t>
  </si>
  <si>
    <t>Kg Product per Spray car</t>
  </si>
  <si>
    <t>Kg</t>
  </si>
  <si>
    <t>Pack size</t>
  </si>
  <si>
    <t>Packs to use</t>
  </si>
  <si>
    <t>packs</t>
  </si>
  <si>
    <t>Revised Nov 2011_CMassyn</t>
  </si>
  <si>
    <t>25L/Kg = R276.23 May 2013 Price</t>
  </si>
  <si>
    <t>Liters</t>
  </si>
  <si>
    <t>% Concentration of Mix</t>
  </si>
  <si>
    <t>Cost per 25Liter Drum</t>
  </si>
  <si>
    <t>Cost to treat Tunnel</t>
  </si>
  <si>
    <t>Quantity required to treat "Road Length"</t>
  </si>
  <si>
    <t>Number of drums required</t>
  </si>
  <si>
    <t>Drums</t>
  </si>
  <si>
    <t>Twice / Mth</t>
  </si>
  <si>
    <t>Once / Mth</t>
  </si>
  <si>
    <t xml:space="preserve">Total </t>
  </si>
  <si>
    <t>Distance (m)</t>
  </si>
  <si>
    <t>Pack / Drum size</t>
  </si>
  <si>
    <t>L/m²</t>
  </si>
  <si>
    <t>Expected Discharge Qty  m³/s</t>
  </si>
  <si>
    <t>Fan Intake Qty in m³/s</t>
  </si>
  <si>
    <t>% Leakage of the column</t>
  </si>
  <si>
    <t>Expected Leakage over distance</t>
  </si>
  <si>
    <t xml:space="preserve">Disch Qty Required </t>
  </si>
  <si>
    <t>°C (DB)</t>
  </si>
  <si>
    <t>m/s Velocity</t>
  </si>
  <si>
    <t>°C (WCET)</t>
  </si>
  <si>
    <t xml:space="preserve">Airspeed </t>
  </si>
  <si>
    <t>Air Temperature</t>
  </si>
  <si>
    <t>Table 17.2 Categorisation of the thermal environment</t>
  </si>
  <si>
    <t>Date</t>
  </si>
  <si>
    <t>Thermal zone</t>
  </si>
  <si>
    <t xml:space="preserve"> Environment (°C)</t>
  </si>
  <si>
    <t xml:space="preserve">Health risk level </t>
  </si>
  <si>
    <t>Category/action</t>
  </si>
  <si>
    <t>TEMPERATURES TAKEN ON SURFACE AND IN THE SHAFT, AT THE POTENTIALLY COLDEST WORKING PLACES</t>
  </si>
  <si>
    <t>Steadman</t>
  </si>
  <si>
    <t>Table 2</t>
  </si>
  <si>
    <t>3.1 Table method</t>
  </si>
  <si>
    <t>Heat</t>
  </si>
  <si>
    <t>DB &gt; 32,5</t>
  </si>
  <si>
    <r>
      <t>Significant</t>
    </r>
    <r>
      <rPr>
        <sz val="10"/>
        <rFont val="Arial"/>
        <family val="2"/>
      </rPr>
      <t xml:space="preserve"> to</t>
    </r>
  </si>
  <si>
    <r>
      <t>A, B or C</t>
    </r>
    <r>
      <rPr>
        <vertAlign val="superscript"/>
        <sz val="10"/>
        <rFont val="Arial"/>
        <family val="2"/>
      </rPr>
      <t>b</t>
    </r>
  </si>
  <si>
    <t>WORKING PLACE</t>
  </si>
  <si>
    <t>WET BULB</t>
  </si>
  <si>
    <t>DRY BULB</t>
  </si>
  <si>
    <t>VELOCITY</t>
  </si>
  <si>
    <t>E.C.T.*</t>
  </si>
  <si>
    <t>TIME</t>
  </si>
  <si>
    <t>GT &gt; 32,5</t>
  </si>
  <si>
    <t>unacceptable</t>
  </si>
  <si>
    <r>
      <t>Formal HSM</t>
    </r>
    <r>
      <rPr>
        <vertAlign val="superscript"/>
        <sz val="10"/>
        <rFont val="Arial"/>
        <family val="2"/>
      </rPr>
      <t>c</t>
    </r>
  </si>
  <si>
    <t>km/h</t>
  </si>
  <si>
    <t>WB &gt; 27,5</t>
  </si>
  <si>
    <r>
      <t>EHSI</t>
    </r>
    <r>
      <rPr>
        <vertAlign val="superscript"/>
        <sz val="10"/>
        <rFont val="Arial"/>
        <family val="2"/>
      </rPr>
      <t>d</t>
    </r>
    <r>
      <rPr>
        <sz val="10"/>
        <rFont val="Arial"/>
        <family val="2"/>
      </rPr>
      <t xml:space="preserve"> optional</t>
    </r>
  </si>
  <si>
    <t>DB &gt; 32,0</t>
  </si>
  <si>
    <r>
      <t>Potential D</t>
    </r>
    <r>
      <rPr>
        <vertAlign val="superscript"/>
        <sz val="10"/>
        <rFont val="Arial"/>
        <family val="2"/>
      </rPr>
      <t>b</t>
    </r>
  </si>
  <si>
    <t>Formal COP</t>
  </si>
  <si>
    <t>GT &gt; 32,0</t>
  </si>
  <si>
    <t>WB &gt; 25,0</t>
  </si>
  <si>
    <t>Thermoneutral</t>
  </si>
  <si>
    <t>DB ≤ 32,0</t>
  </si>
  <si>
    <t>No risk</t>
  </si>
  <si>
    <t xml:space="preserve"> Professional discretion</t>
  </si>
  <si>
    <t>GT ≤ 32,0</t>
  </si>
  <si>
    <t>WB ≤ 25,0</t>
  </si>
  <si>
    <t>ECTe ≤ 10,0</t>
  </si>
  <si>
    <t>Cold</t>
  </si>
  <si>
    <t>ECT &lt; 10,0</t>
  </si>
  <si>
    <t>Potential</t>
  </si>
  <si>
    <r>
      <t>C</t>
    </r>
    <r>
      <rPr>
        <vertAlign val="superscript"/>
        <sz val="10"/>
        <rFont val="Arial"/>
        <family val="2"/>
      </rPr>
      <t xml:space="preserve">b </t>
    </r>
    <r>
      <rPr>
        <sz val="10"/>
        <rFont val="Arial"/>
        <family val="2"/>
      </rPr>
      <t>Formal COP</t>
    </r>
  </si>
  <si>
    <t>REMARKS</t>
  </si>
  <si>
    <t>ECT &lt; 5,0</t>
  </si>
  <si>
    <t>Significant</t>
  </si>
  <si>
    <r>
      <t>B</t>
    </r>
    <r>
      <rPr>
        <vertAlign val="superscript"/>
        <sz val="10"/>
        <rFont val="Arial"/>
        <family val="2"/>
      </rPr>
      <t xml:space="preserve">b </t>
    </r>
    <r>
      <rPr>
        <sz val="10"/>
        <rFont val="Arial"/>
        <family val="2"/>
      </rPr>
      <t>Formal CSM</t>
    </r>
    <r>
      <rPr>
        <vertAlign val="superscript"/>
        <sz val="10"/>
        <rFont val="Arial"/>
        <family val="2"/>
      </rPr>
      <t>c</t>
    </r>
  </si>
  <si>
    <t>Working places with an E.C.T. (Equivalent Chill Temperature) of less than 5.0 deg C, require a plan of action to protect the people working in these conditions. (i.e. keep them warm)</t>
  </si>
  <si>
    <t>ECT ≤ 30,0</t>
  </si>
  <si>
    <t>Severe to unacceptable</t>
  </si>
  <si>
    <r>
      <t>A</t>
    </r>
    <r>
      <rPr>
        <vertAlign val="superscript"/>
        <sz val="10"/>
        <rFont val="Arial"/>
        <family val="2"/>
      </rPr>
      <t>b</t>
    </r>
    <r>
      <rPr>
        <sz val="10"/>
        <rFont val="Arial"/>
        <family val="2"/>
      </rPr>
      <t xml:space="preserve"> Stop work; evacuate</t>
    </r>
  </si>
  <si>
    <t>Please ensure that workers are provided with the necessary protective clothing and PPE, (Suitable Socks and Gloves, Beanies and Freezer Suits.)</t>
  </si>
  <si>
    <t>Environment
 (°C)</t>
  </si>
  <si>
    <t>Category / Action</t>
  </si>
  <si>
    <r>
      <t>C</t>
    </r>
    <r>
      <rPr>
        <b/>
        <vertAlign val="superscript"/>
        <sz val="10"/>
        <rFont val="Arial"/>
        <family val="2"/>
      </rPr>
      <t xml:space="preserve">b </t>
    </r>
    <r>
      <rPr>
        <b/>
        <sz val="10"/>
        <rFont val="Arial"/>
        <family val="2"/>
      </rPr>
      <t>Formal COP</t>
    </r>
  </si>
  <si>
    <r>
      <t>a</t>
    </r>
    <r>
      <rPr>
        <sz val="10"/>
        <rFont val="Arial"/>
        <family val="2"/>
      </rPr>
      <t>DME Guideline on Thermal Stress, Figure 17.1</t>
    </r>
  </si>
  <si>
    <t>CHIEF OCCUPATIONAL HYGIENIST</t>
  </si>
  <si>
    <r>
      <t>B</t>
    </r>
    <r>
      <rPr>
        <b/>
        <vertAlign val="superscript"/>
        <sz val="10"/>
        <rFont val="Arial"/>
        <family val="2"/>
      </rPr>
      <t xml:space="preserve">b </t>
    </r>
    <r>
      <rPr>
        <b/>
        <sz val="10"/>
        <rFont val="Arial"/>
        <family val="2"/>
      </rPr>
      <t>Formal CSM</t>
    </r>
    <r>
      <rPr>
        <b/>
        <vertAlign val="superscript"/>
        <sz val="10"/>
        <rFont val="Arial"/>
        <family val="2"/>
      </rPr>
      <t>c</t>
    </r>
  </si>
  <si>
    <r>
      <t>b</t>
    </r>
    <r>
      <rPr>
        <sz val="10"/>
        <rFont val="Arial"/>
        <family val="2"/>
      </rPr>
      <t>SAMOHP Codebook categorisation system (Section 2.2)</t>
    </r>
  </si>
  <si>
    <r>
      <t>A</t>
    </r>
    <r>
      <rPr>
        <b/>
        <vertAlign val="superscript"/>
        <sz val="10"/>
        <rFont val="Arial"/>
        <family val="2"/>
      </rPr>
      <t>b</t>
    </r>
    <r>
      <rPr>
        <b/>
        <sz val="10"/>
        <rFont val="Arial"/>
        <family val="2"/>
      </rPr>
      <t xml:space="preserve"> Stop work; evacuate</t>
    </r>
  </si>
  <si>
    <r>
      <t>c</t>
    </r>
    <r>
      <rPr>
        <sz val="10"/>
        <rFont val="Arial"/>
        <family val="2"/>
      </rPr>
      <t>Heat Stress/Cold Stress Management (See DME Guideline on Thermal Stress)</t>
    </r>
  </si>
  <si>
    <r>
      <t>d</t>
    </r>
    <r>
      <rPr>
        <sz val="10"/>
        <rFont val="Arial"/>
        <family val="2"/>
      </rPr>
      <t>Emergency Heat Stress Index (See DME Guideline on Thermal Stress: Annex 10)</t>
    </r>
  </si>
  <si>
    <r>
      <t>e</t>
    </r>
    <r>
      <rPr>
        <sz val="10"/>
        <rFont val="Arial"/>
        <family val="2"/>
      </rPr>
      <t>Effective chill temperature</t>
    </r>
  </si>
  <si>
    <t>ENGINEERING MANAGER</t>
  </si>
  <si>
    <t>Note: There are slight discrepancies between the action levels and actions specified in Regulation 9.2</t>
  </si>
  <si>
    <t>(2)(b) and those associated with Category D (‘Heat’) and C (‘Cold’) in the SAMOHP Codebook. A</t>
  </si>
  <si>
    <t>‘system of occupational hygiene measurements’ can only be established and maintained within the</t>
  </si>
  <si>
    <t>context of a COP (DME Guideline on Thermal Stress: Part A, Section 5).</t>
  </si>
  <si>
    <t>PRODUCTION MANAGER</t>
  </si>
  <si>
    <t>By contrast, the only practical index addressing cold stress is the wind chill index (WCI),</t>
  </si>
  <si>
    <t>which expresses the combined effect of air temperature and air movement (speed; velocity) in</t>
  </si>
  <si>
    <t>Requirements in terms of the Mine Health and Safety Act Sect 9.2 (2)(b)</t>
  </si>
  <si>
    <t>terms of and equivalent cooling (chill) temperature (ECT). The relevant reference is ISO TR</t>
  </si>
  <si>
    <t>11079 (Table 17.3). Cold stress must be reported as ‘ECT’ according to Regulation 9.2(7).</t>
  </si>
  <si>
    <t>MINE MANAGER</t>
  </si>
  <si>
    <t>* E.C.T.</t>
  </si>
  <si>
    <t>EQUIVALENT CHILL TEMPERATURE</t>
  </si>
  <si>
    <t>THIS IS AN OLD FORMULAE (2001). IT TIES IN WITH THE MVS DATA BOOK TABLE</t>
  </si>
  <si>
    <t>WCET</t>
  </si>
  <si>
    <t>Wind Chill Equivalent Temperature</t>
  </si>
  <si>
    <t>Wind speed (m/s)</t>
  </si>
  <si>
    <r>
      <t>air temperature, dry bulb (</t>
    </r>
    <r>
      <rPr>
        <vertAlign val="superscript"/>
        <sz val="11"/>
        <color theme="1"/>
        <rFont val="Arial"/>
        <family val="2"/>
      </rPr>
      <t>o</t>
    </r>
    <r>
      <rPr>
        <sz val="11"/>
        <color theme="1"/>
        <rFont val="Arial"/>
        <family val="2"/>
      </rPr>
      <t>C)</t>
    </r>
  </si>
  <si>
    <t>or</t>
  </si>
  <si>
    <t>Wind Chill = 35.74 + 0.6215T "“ 35.75(V^0.16) + 0.4275T(V^0.16)</t>
  </si>
  <si>
    <t>T is the air temperature in degrees Fahrenheit, and V is the wind speed in miles per hour.</t>
  </si>
  <si>
    <t>OLD FORMULAE</t>
  </si>
  <si>
    <t>NEW FORMULAE</t>
  </si>
  <si>
    <t>Cold Stress (WCET) Steadman Formulae</t>
  </si>
  <si>
    <t>Cold Stress (WCET) Table Formulae 1</t>
  </si>
  <si>
    <t>Cold Stress (WCET) Table Formulae 2</t>
  </si>
  <si>
    <t>Km/Hr Velocity</t>
  </si>
  <si>
    <t>COLD STRESS RELATED AIR TEMPERATURES Report</t>
  </si>
  <si>
    <t>Wind Chill Eq. Temp.</t>
  </si>
  <si>
    <t>Cold Stress (WCET) OLD Formulae</t>
  </si>
  <si>
    <r>
      <rPr>
        <b/>
        <vertAlign val="superscript"/>
        <sz val="10"/>
        <rFont val="Arial"/>
        <family val="2"/>
      </rPr>
      <t>O</t>
    </r>
    <r>
      <rPr>
        <b/>
        <sz val="11"/>
        <color theme="1"/>
        <rFont val="Calibri"/>
        <family val="2"/>
        <scheme val="minor"/>
      </rPr>
      <t>C</t>
    </r>
  </si>
  <si>
    <t>Cost per Unit</t>
  </si>
  <si>
    <t>Total Cost</t>
  </si>
  <si>
    <t xml:space="preserve">Pigtail Eyebolts (2 for every 4.5m) </t>
  </si>
  <si>
    <t>Bolts M12 x 50mm</t>
  </si>
  <si>
    <t>Vent Pipe and Accessories Cost Estimator</t>
  </si>
  <si>
    <t>TOTAL  Leakage</t>
  </si>
  <si>
    <t>= Leakage (Eg. 100m @ 10% / 200m @ 10% =20)</t>
  </si>
  <si>
    <t>Design Qty m³/s</t>
  </si>
  <si>
    <t>Single and Double Side Stope</t>
  </si>
  <si>
    <t>Average Vent Control distance m</t>
  </si>
  <si>
    <t>AUI Calc - Old "Easy Calc"</t>
  </si>
  <si>
    <t>AUI Calc - "Design Qty Calc"</t>
  </si>
  <si>
    <t>AUI Calc - "Simple Design Velocity Calc"</t>
  </si>
  <si>
    <t xml:space="preserve">Design Velocity </t>
  </si>
  <si>
    <t>Target Velocity @ 80% leakage</t>
  </si>
  <si>
    <t>AUI Calc taking C/Gully vel into consideration</t>
  </si>
  <si>
    <t xml:space="preserve">SINGLE SIDED </t>
  </si>
  <si>
    <t xml:space="preserve">DOUBLE SIDED </t>
  </si>
  <si>
    <t>Available Quantity</t>
  </si>
  <si>
    <t>Average face velocity</t>
  </si>
  <si>
    <t>Average Stoping width</t>
  </si>
  <si>
    <t>AIR UTILIZATION</t>
  </si>
  <si>
    <t>NOTE</t>
  </si>
  <si>
    <t>LEDGING STOPES</t>
  </si>
  <si>
    <t>NO AUI VALUE !!!</t>
  </si>
  <si>
    <t>VAMPING STOPES</t>
  </si>
  <si>
    <t>Wet KATA</t>
  </si>
  <si>
    <t>H = 0.7β + β√V</t>
  </si>
  <si>
    <t xml:space="preserve">Wet bulb </t>
  </si>
  <si>
    <t>KATA</t>
  </si>
  <si>
    <t>mC/m²/s</t>
  </si>
  <si>
    <t>Number of bags required :</t>
  </si>
  <si>
    <t>1) Area of tip x velocity down tip ( 0.5 m/s )=Volume down tip</t>
  </si>
  <si>
    <t>2) Surface area of one bag x velocity through one bag ( 0.1 m/s ) = Volume through one bag</t>
  </si>
  <si>
    <t>3) Volume down tip / Volume though one bag = Amount of bags required</t>
  </si>
  <si>
    <t>Surface area of one bag = ( pie x D x L ) + ( pie x r² )</t>
  </si>
  <si>
    <t>Area of tip</t>
  </si>
  <si>
    <t xml:space="preserve">       Velocity down tip</t>
  </si>
  <si>
    <t xml:space="preserve">             Height of bag</t>
  </si>
  <si>
    <t xml:space="preserve">        Diameter of bag</t>
  </si>
  <si>
    <t xml:space="preserve">            Radius of bag</t>
  </si>
  <si>
    <t xml:space="preserve">       Volume down tip</t>
  </si>
  <si>
    <t xml:space="preserve"> Surface area of bag </t>
  </si>
  <si>
    <t>Volume through bag</t>
  </si>
  <si>
    <t>Number of bags req.</t>
  </si>
  <si>
    <t>FORMULAE TO WORK OUT NUMBER OF FILTER BAGS REQUIRED</t>
  </si>
  <si>
    <t>Bags</t>
  </si>
  <si>
    <t xml:space="preserve">            </t>
  </si>
  <si>
    <t xml:space="preserve">AUI = </t>
  </si>
  <si>
    <t>AVE. ACTUAL VELOCITY</t>
  </si>
  <si>
    <t>X   100</t>
  </si>
  <si>
    <t>POTENTIAL VELOCITY</t>
  </si>
  <si>
    <t xml:space="preserve">        1</t>
  </si>
  <si>
    <t xml:space="preserve">          AVE. POTENTIAL VELOCITY = </t>
  </si>
  <si>
    <t xml:space="preserve">           AVAILABLE AIR VOLUME</t>
  </si>
  <si>
    <t xml:space="preserve">   S - SC X 0.00185+ 1 X SW X SC</t>
  </si>
  <si>
    <t xml:space="preserve">     WHERE   :</t>
  </si>
  <si>
    <t>S  =  AVERAGE STOPING SPAN ( m )</t>
  </si>
  <si>
    <t xml:space="preserve">              SC  =  STANDARD STRIKE CONTROL  ( 18,0 m FOR DOUBLE SIDED </t>
  </si>
  <si>
    <t xml:space="preserve">   AND 9.0 m FOR SINGLE SIDED )</t>
  </si>
  <si>
    <t xml:space="preserve">              SW  =  AVERAGE STOPING HEIGHT ( m )</t>
  </si>
  <si>
    <t>VARIABLES :</t>
  </si>
  <si>
    <t>AVAIL. AIR VOLUME          :</t>
  </si>
  <si>
    <t>AVE. STOPE SPAN            :</t>
  </si>
  <si>
    <t>STD. STRIKE CONTROL :</t>
  </si>
  <si>
    <t>STOPING WIDTH               :</t>
  </si>
  <si>
    <t>AVE ACTUAL VEL               :</t>
  </si>
  <si>
    <t>POTENTIAL VELOCITY :</t>
  </si>
  <si>
    <t>AUI :</t>
  </si>
  <si>
    <t>AUI Calc taking Strike (Stope Span) Distance into consideration</t>
  </si>
  <si>
    <t>98H105 to 111x/c</t>
  </si>
  <si>
    <t>GAS DILUTION</t>
  </si>
  <si>
    <r>
      <t>Q1 x 10</t>
    </r>
    <r>
      <rPr>
        <sz val="11"/>
        <rFont val="Calibri"/>
        <family val="2"/>
      </rPr>
      <t>⁶</t>
    </r>
  </si>
  <si>
    <t>MAC - N</t>
  </si>
  <si>
    <t>=-Q1</t>
  </si>
  <si>
    <t>m³/s or kg/s</t>
  </si>
  <si>
    <t>Q1</t>
  </si>
  <si>
    <t>volume or mass flow rate of gas emission [m3/s or kg/s]</t>
  </si>
  <si>
    <t>maximum allowable gas concentration [after mixing] in parts Per million by volume or mass</t>
  </si>
  <si>
    <t>MAC</t>
  </si>
  <si>
    <t>gas concentration in normal air in parts per million by volume or mass</t>
  </si>
  <si>
    <t>GAS MIXING</t>
  </si>
  <si>
    <t xml:space="preserve">Percentage gas % </t>
  </si>
  <si>
    <t>Total Qty Gas</t>
  </si>
  <si>
    <t>x 100</t>
  </si>
  <si>
    <t>Total Qty Air + Qty Gas</t>
  </si>
  <si>
    <t>Total quantity gas = m³/s</t>
  </si>
  <si>
    <t>Total quantity air + quantity gas = m³/s</t>
  </si>
  <si>
    <t>% Gas</t>
  </si>
  <si>
    <t>End Height</t>
  </si>
  <si>
    <t>End Width</t>
  </si>
  <si>
    <t>Qty of Air required on Face</t>
  </si>
  <si>
    <t>Overlap velocity Required at fan</t>
  </si>
  <si>
    <t>Overlap end Height at fan</t>
  </si>
  <si>
    <t>Overlap end Width at fan</t>
  </si>
  <si>
    <t>End Face Area</t>
  </si>
  <si>
    <t xml:space="preserve">Closest fan to met delivery Qty </t>
  </si>
  <si>
    <r>
      <t>m</t>
    </r>
    <r>
      <rPr>
        <b/>
        <sz val="13"/>
        <rFont val="Calibri"/>
        <family val="2"/>
      </rPr>
      <t>³</t>
    </r>
    <r>
      <rPr>
        <b/>
        <sz val="13"/>
        <rFont val="Arial"/>
        <family val="2"/>
      </rPr>
      <t>/s</t>
    </r>
  </si>
  <si>
    <r>
      <rPr>
        <b/>
        <sz val="10"/>
        <rFont val="Arial"/>
        <family val="2"/>
      </rPr>
      <t>Overlap</t>
    </r>
    <r>
      <rPr>
        <sz val="10"/>
        <rFont val="Arial"/>
        <family val="2"/>
      </rPr>
      <t xml:space="preserve"> Qty Required at fan</t>
    </r>
  </si>
  <si>
    <t>7.5-8.0</t>
  </si>
  <si>
    <t>11.0-15.0</t>
  </si>
  <si>
    <t>18.0-18.5</t>
  </si>
  <si>
    <t>Fan KW</t>
  </si>
  <si>
    <t>Fan Qty m³/s</t>
  </si>
  <si>
    <t>37.5-45.0</t>
  </si>
  <si>
    <t>Required Face Minimum Qty in m³/s/m²</t>
  </si>
  <si>
    <t>Actual Required Qty for End before fan</t>
  </si>
  <si>
    <t>Expected Required fan Qty over distance</t>
  </si>
  <si>
    <t>Calculated Required Qty m³/s for end</t>
  </si>
  <si>
    <t>P Drop per pipe Section = kPa</t>
  </si>
  <si>
    <r>
      <t xml:space="preserve">P Drop </t>
    </r>
    <r>
      <rPr>
        <b/>
        <u/>
        <sz val="14"/>
        <color indexed="10"/>
        <rFont val="Arial"/>
        <family val="2"/>
      </rPr>
      <t>TOTAL</t>
    </r>
    <r>
      <rPr>
        <b/>
        <sz val="14"/>
        <color indexed="10"/>
        <rFont val="Arial"/>
        <family val="2"/>
      </rPr>
      <t xml:space="preserve"> = kPa</t>
    </r>
  </si>
  <si>
    <t>Tracless Vehicle kW</t>
  </si>
  <si>
    <t>m³/s/m²</t>
  </si>
  <si>
    <r>
      <t xml:space="preserve">Air Qty Required to meet (Std) </t>
    </r>
    <r>
      <rPr>
        <u/>
        <sz val="12"/>
        <rFont val="Arial"/>
        <family val="2"/>
      </rPr>
      <t>Conventional</t>
    </r>
  </si>
  <si>
    <r>
      <t xml:space="preserve">Air Qty Required to meet (Std) </t>
    </r>
    <r>
      <rPr>
        <u/>
        <sz val="12"/>
        <rFont val="Arial"/>
        <family val="2"/>
      </rPr>
      <t>Trackless</t>
    </r>
  </si>
  <si>
    <t>Expected increase in Temp Dev Ends (By M. Symons.)</t>
  </si>
  <si>
    <t>Qty Decrease over Distance</t>
  </si>
  <si>
    <r>
      <rPr>
        <b/>
        <sz val="12"/>
        <rFont val="Arial"/>
        <family val="2"/>
      </rPr>
      <t xml:space="preserve">Expected </t>
    </r>
    <r>
      <rPr>
        <sz val="12"/>
        <rFont val="Arial"/>
        <family val="2"/>
      </rPr>
      <t xml:space="preserve">Delivery </t>
    </r>
    <r>
      <rPr>
        <b/>
        <sz val="12"/>
        <rFont val="Arial"/>
        <family val="2"/>
      </rPr>
      <t xml:space="preserve">Qty </t>
    </r>
    <r>
      <rPr>
        <sz val="12"/>
        <rFont val="Arial"/>
        <family val="2"/>
      </rPr>
      <t xml:space="preserve">m³/s </t>
    </r>
    <r>
      <rPr>
        <b/>
        <sz val="12"/>
        <rFont val="Arial"/>
        <family val="2"/>
      </rPr>
      <t>on Face</t>
    </r>
  </si>
  <si>
    <t>Expected Delivery Qty m³/s on Face</t>
  </si>
  <si>
    <t>/100m</t>
  </si>
  <si>
    <t>Note if this is red - increase Minimum fan Qty until black (That will be the minmum fan intake Qty required)</t>
  </si>
  <si>
    <t>"9#"   AIR UTILIZATION INDEX (AUI%)</t>
  </si>
  <si>
    <t>Fans in Series</t>
  </si>
  <si>
    <t>Cooling Coils</t>
  </si>
  <si>
    <t>Survey Frequency :</t>
  </si>
  <si>
    <t>Days</t>
  </si>
  <si>
    <t>Air IN</t>
  </si>
  <si>
    <t>Air OUT</t>
  </si>
  <si>
    <t>Next Due Date</t>
  </si>
  <si>
    <t>CAR NR</t>
  </si>
  <si>
    <t>FAN NR</t>
  </si>
  <si>
    <r>
      <rPr>
        <b/>
        <sz val="10"/>
        <color rgb="FFFFFF00"/>
        <rFont val="Arial"/>
        <family val="2"/>
      </rPr>
      <t>mm</t>
    </r>
    <r>
      <rPr>
        <b/>
        <sz val="10"/>
        <color rgb="FFFF0000"/>
        <rFont val="Arial"/>
        <family val="2"/>
      </rPr>
      <t>/</t>
    </r>
    <r>
      <rPr>
        <b/>
        <sz val="10"/>
        <color rgb="FF00B050"/>
        <rFont val="Arial"/>
        <family val="2"/>
      </rPr>
      <t>dd</t>
    </r>
    <r>
      <rPr>
        <b/>
        <sz val="10"/>
        <color rgb="FFFF0000"/>
        <rFont val="Arial"/>
        <family val="2"/>
      </rPr>
      <t>/yyyy</t>
    </r>
  </si>
  <si>
    <t>LEV</t>
  </si>
  <si>
    <t>WORKPLACE</t>
  </si>
  <si>
    <t>OE Officer
Respponsible</t>
  </si>
  <si>
    <t>Air Out</t>
  </si>
  <si>
    <t>Volume m³/s</t>
  </si>
  <si>
    <t>Air Duty kW</t>
  </si>
  <si>
    <t>Water Duty kW</t>
  </si>
  <si>
    <t>Water in</t>
  </si>
  <si>
    <t>Water Out</t>
  </si>
  <si>
    <t>Actual Flow</t>
  </si>
  <si>
    <t>Calculated Water flow</t>
  </si>
  <si>
    <t>Eff %</t>
  </si>
  <si>
    <t>Remarks</t>
  </si>
  <si>
    <t>Apparent Spec. Vol.</t>
  </si>
  <si>
    <t>W/B</t>
  </si>
  <si>
    <t>D/B</t>
  </si>
  <si>
    <t>Water flow</t>
  </si>
  <si>
    <t>85 level</t>
  </si>
  <si>
    <t>XXXX</t>
  </si>
  <si>
    <t xml:space="preserve">EAST XX CONN X/C </t>
  </si>
  <si>
    <t>xx</t>
  </si>
  <si>
    <t>Mr X. Xxxxx</t>
  </si>
  <si>
    <t>xx-1111</t>
  </si>
  <si>
    <t>Interpolation</t>
  </si>
  <si>
    <t>Value A</t>
  </si>
  <si>
    <t>Value B</t>
  </si>
  <si>
    <t>Value C</t>
  </si>
  <si>
    <t>The formula is thus:</t>
  </si>
  <si>
    <t>Value Y</t>
  </si>
  <si>
    <t>Value Z</t>
  </si>
  <si>
    <t>Value X</t>
  </si>
  <si>
    <t>Length beween fans =</t>
  </si>
  <si>
    <t>Presure</t>
  </si>
  <si>
    <t>Expected Leakage over distance "Total"</t>
  </si>
  <si>
    <t>W=</t>
  </si>
  <si>
    <t>Electric power</t>
  </si>
  <si>
    <t>Motor input power</t>
  </si>
  <si>
    <t>Voltage [kV]</t>
  </si>
  <si>
    <t>kV</t>
  </si>
  <si>
    <t>Motor output power</t>
  </si>
  <si>
    <t xml:space="preserve">Motor efficiency </t>
  </si>
  <si>
    <t>pf</t>
  </si>
  <si>
    <t xml:space="preserve">Number of phases </t>
  </si>
  <si>
    <t>Power factor</t>
  </si>
  <si>
    <t>Current [amperes]</t>
  </si>
  <si>
    <t>Length between fans</t>
  </si>
  <si>
    <t>300  mm  Ø  x    0,75 kW  fan  handles  approximately  0,95  m³ / s at 250 Pa</t>
  </si>
  <si>
    <t>300  mm  Ø  x    1,5 kW  fan  handles  approximately  1,8    m³ / s at 370 Pa</t>
  </si>
  <si>
    <t>406  mm  Ø  x    4,0  kW  fan  handles  approximately  2,0    m³ / s at 900 Pa</t>
  </si>
  <si>
    <t>570  mm  Ø  x    8,0 kW  fan  handles  approximately  4,0    m³ / s at 900 Pa</t>
  </si>
  <si>
    <t>570  mm  Ø  x    11,0 kW  fan  handles  approximately  6,8    m³ / s at 1100 Pa</t>
  </si>
  <si>
    <t>760  mm  Ø  x    22,0 kW  fan  handles  approximately  10,0  m³ / s at 950 Pa</t>
  </si>
  <si>
    <t>760  mm  Ø  x    41,0 kW  fan  handles  approximately  11,8  m³ / s at 1900 Pa</t>
  </si>
  <si>
    <t>760  mm  Ø  x    45,0 kW  fan  handles  approximately  13,0  m³ / s at 1400 Pa</t>
  </si>
  <si>
    <t>1060 mm Ø  x   75,0  kW  fan  handles  approximately  22,0  m³ / s at 2200 Pa</t>
  </si>
  <si>
    <t>406  mm  Ø  x    4,00 kW  fan  in a 406 mm column Max  100  metres apart</t>
  </si>
  <si>
    <t>570  mm  Ø  x    8,00 kW  fan  in a 570 mm column Max  175  metres apart</t>
  </si>
  <si>
    <t>570  mm  Ø  x    11,0 kW  fan  in a 570 mm column Max   100 metres apart</t>
  </si>
  <si>
    <t>760  mm  Ø  x    22,0 kW  fan  in a 760 mm column Max   220 metres apart</t>
  </si>
  <si>
    <t>760  mm  Ø  x    41,0 kW  fan  in a 760 mm column Max 180 metres apart</t>
  </si>
  <si>
    <t>1016 mm Ø  x    75,0 kW  fan  in a 760 mm column Max   130 metres apart</t>
  </si>
  <si>
    <t xml:space="preserve">Installation of multiple fans in a long ventilation column is a current practice that should be avoided in future.  </t>
  </si>
  <si>
    <t xml:space="preserve">Twin haulage development or custom designed centrifugal fans should be used instead.  </t>
  </si>
  <si>
    <t>Where multiple fans are an unavoidable, a risk assessment will be conducted and a control system to detect and prevent re-circulation will be</t>
  </si>
  <si>
    <t>introduced</t>
  </si>
  <si>
    <t>Typical air quantities and pressures of fans generally in use</t>
  </si>
  <si>
    <t>Spacing of fans in ventilation columns</t>
  </si>
  <si>
    <t xml:space="preserve">Heat stress index </t>
  </si>
  <si>
    <t>By Shane Ambrosio</t>
  </si>
  <si>
    <t>Planning Tool (New)</t>
  </si>
  <si>
    <t xml:space="preserve">Planning Graph Calcs 1 </t>
  </si>
  <si>
    <t>Planning Graph Calcs 2</t>
  </si>
  <si>
    <t>Tons generator</t>
  </si>
  <si>
    <t>Ref Bay Dist Calc</t>
  </si>
  <si>
    <t>Gas</t>
  </si>
  <si>
    <t>Natural Ventilation Pressure [NVP] No Fans</t>
  </si>
  <si>
    <t>Natural Ventilation Pressure [NVP] With fans</t>
  </si>
  <si>
    <t>Raise bore Round</t>
  </si>
  <si>
    <t>Graph calcs - Heat Removal capacity of air P956 Env Eng (10°C BAC)</t>
  </si>
  <si>
    <t>Graph calcs - Heat Removal capacity of air P956 Env Eng (18°C NO BAC)</t>
  </si>
  <si>
    <t>Cooler Duty 2</t>
  </si>
  <si>
    <t>Cooler Duty 1</t>
  </si>
  <si>
    <t>Cost</t>
  </si>
  <si>
    <t>PLoss Atkins &amp; Resist</t>
  </si>
  <si>
    <t>Stope Calcs</t>
  </si>
  <si>
    <t>Dev Calcs</t>
  </si>
  <si>
    <t>Dev Qtys</t>
  </si>
  <si>
    <t>Dust</t>
  </si>
  <si>
    <t>DUST Treatment</t>
  </si>
  <si>
    <t>Stores Req Dev</t>
  </si>
  <si>
    <t>Heat Calc</t>
  </si>
  <si>
    <t>Vent calculator</t>
  </si>
  <si>
    <t>Flammable gas</t>
  </si>
  <si>
    <t>Cold Stress</t>
  </si>
  <si>
    <t>SCP - Kata - Vel</t>
  </si>
  <si>
    <t>Unit Conversion</t>
  </si>
  <si>
    <t>Duct and Fan Selection</t>
  </si>
  <si>
    <t>Planning Tool (Old)</t>
  </si>
  <si>
    <t>Air change re-entry</t>
  </si>
  <si>
    <t>Calendar</t>
  </si>
  <si>
    <t>Psychometrics</t>
  </si>
  <si>
    <t>Back to INDEX</t>
  </si>
  <si>
    <t>4kW fan</t>
  </si>
  <si>
    <t>8kW fan</t>
  </si>
  <si>
    <t>11kW fan</t>
  </si>
  <si>
    <t>15kW fan</t>
  </si>
  <si>
    <t>18kW fan</t>
  </si>
  <si>
    <t>22kW fan</t>
  </si>
  <si>
    <t>45kW fan</t>
  </si>
  <si>
    <t>75kW fan</t>
  </si>
  <si>
    <t>Fans (Graphs + Data)</t>
  </si>
  <si>
    <t>Degrees (°)</t>
  </si>
  <si>
    <t>Seconds (sec)</t>
  </si>
  <si>
    <t>Minutes (min)</t>
  </si>
  <si>
    <t>Cost - Water</t>
  </si>
  <si>
    <t>Cost - Air</t>
  </si>
  <si>
    <t>Main Heading</t>
  </si>
  <si>
    <t>Sub Heading/s</t>
  </si>
  <si>
    <t>Pressure required to overcome frictional resistance</t>
  </si>
  <si>
    <t>ATKINSON’S FORMULA 
Length between fans</t>
  </si>
  <si>
    <t>AUI Calculations (All Types)</t>
  </si>
  <si>
    <t>PRESSURE LOSS CALCs</t>
  </si>
  <si>
    <t>Air Qty Required to meet (Std) Conventional</t>
  </si>
  <si>
    <t>Air Qty Required to meet (Std) Trackless</t>
  </si>
  <si>
    <t>Calendar (Enter year)</t>
  </si>
  <si>
    <t>Number of filter bags required</t>
  </si>
  <si>
    <t xml:space="preserve"> Initial Application</t>
  </si>
  <si>
    <t>Maintenance</t>
  </si>
  <si>
    <t>Ventilation equipment required to ventilate development ends</t>
  </si>
  <si>
    <t>Auto-compression or de-compression</t>
  </si>
  <si>
    <t>Virgin rock temperature [approximate]</t>
  </si>
  <si>
    <t>Wet kata formula</t>
  </si>
  <si>
    <t>Tables for quick calcs (Fieldbook)</t>
  </si>
  <si>
    <t>Vel</t>
  </si>
  <si>
    <t>Air Change Ventilation Guidelines</t>
  </si>
  <si>
    <t>Air Change Ventilation Guideline table</t>
  </si>
  <si>
    <t>Cold stress related air temperatures report</t>
  </si>
  <si>
    <t>THIS PICTURE IS FROM COP</t>
  </si>
  <si>
    <t>Length, Volume, Molar Flowrate,Volumetrc Flow,Pressure</t>
  </si>
  <si>
    <t>Power, Energy,Mass, Density, Area</t>
  </si>
  <si>
    <t>Dynamic Viscosity, Kinematic viscosity, Mass Flowrate, Heat transfer Coefficient, Thermal Conductivity</t>
  </si>
  <si>
    <t>Heat Flux, Specific Energy, Specific Heat, Temperature</t>
  </si>
  <si>
    <t>Duct and fan Selection Tool</t>
  </si>
  <si>
    <t>Heat and cooling calculations</t>
  </si>
  <si>
    <t>Travelling way inclined</t>
  </si>
  <si>
    <t>Trav. Way °</t>
  </si>
  <si>
    <t>1 cubic foot per minute =</t>
  </si>
  <si>
    <t>0.000471947443 cubic meters / second</t>
  </si>
  <si>
    <t>Length of R/Bay</t>
  </si>
  <si>
    <t>Height of  R/Bay</t>
  </si>
  <si>
    <t>Width of  R/Bay</t>
  </si>
  <si>
    <t>Volume of  R/Bay</t>
  </si>
  <si>
    <t>Compressor air Supply CFM</t>
  </si>
  <si>
    <t>CFM</t>
  </si>
  <si>
    <t>1 cubic foot per minute = 0.000471947443 cubic meters / second</t>
  </si>
  <si>
    <t>1 l / minute = 1.66666667 × 10-5 cubic meters / second</t>
  </si>
  <si>
    <t>Area of  R/Bay</t>
  </si>
  <si>
    <t>People in R/Bay</t>
  </si>
  <si>
    <t>Persons</t>
  </si>
  <si>
    <t>bays</t>
  </si>
  <si>
    <t>Refuge bay Requirement Calculator</t>
  </si>
  <si>
    <t>No/hr</t>
  </si>
  <si>
    <t>Qty of air required based on Airchange</t>
  </si>
  <si>
    <t>Refuge Bays</t>
  </si>
  <si>
    <t>Refuge Bay Requirement Calculator</t>
  </si>
  <si>
    <t>Refuge Bay Breathable Air Systems</t>
  </si>
  <si>
    <t>(See MVS Journal Volume 54, 2 April/June 2001)</t>
  </si>
  <si>
    <t>Calculating the required compressed air supply for a refuge bay</t>
  </si>
  <si>
    <t>l/min</t>
  </si>
  <si>
    <t>2. Refuge bay size (example)</t>
  </si>
  <si>
    <t>3. Area allocated per person</t>
  </si>
  <si>
    <t>5. Airflow rate required for refuge bay</t>
  </si>
  <si>
    <t>Refuge bays on Dip [every third strike approx 300m]</t>
  </si>
  <si>
    <t>Number of refuge bays</t>
  </si>
  <si>
    <t>Sub Total</t>
  </si>
  <si>
    <t>Total air required, FAD [free air delivery]</t>
  </si>
  <si>
    <r>
      <t>m</t>
    </r>
    <r>
      <rPr>
        <b/>
        <vertAlign val="superscript"/>
        <sz val="10"/>
        <rFont val="Arial"/>
        <family val="2"/>
      </rPr>
      <t>3</t>
    </r>
    <r>
      <rPr>
        <b/>
        <sz val="10"/>
        <rFont val="Arial"/>
        <family val="2"/>
      </rPr>
      <t>/s</t>
    </r>
  </si>
  <si>
    <t>Leakage [pipes, fittings, valves etc] 20%</t>
  </si>
  <si>
    <t>Max number of people underground [Day shift]</t>
  </si>
  <si>
    <t xml:space="preserve">Air required for people UG </t>
  </si>
  <si>
    <t>Plan for 15 refuge bays with 50 people</t>
  </si>
  <si>
    <t xml:space="preserve">Refuge bay capacity exceeds number of people </t>
  </si>
  <si>
    <t>times</t>
  </si>
  <si>
    <r>
      <t>4. Number of persons allowed in refuge bay at 0.6m</t>
    </r>
    <r>
      <rPr>
        <vertAlign val="superscript"/>
        <sz val="10"/>
        <rFont val="Arial"/>
        <family val="2"/>
      </rPr>
      <t>2</t>
    </r>
    <r>
      <rPr>
        <sz val="11"/>
        <color theme="1"/>
        <rFont val="Calibri"/>
        <family val="2"/>
        <scheme val="minor"/>
      </rPr>
      <t xml:space="preserve"> per person</t>
    </r>
  </si>
  <si>
    <t>Example - Converting a Compressed Air Volume to a Free Air Volume</t>
  </si>
  <si>
    <t xml:space="preserve"> psi = 6.9 kPa = 0.069 bar</t>
  </si>
  <si>
    <t>•1 ncfm = 0.5 nl/s</t>
  </si>
  <si>
    <t>A compressed air volume flow of 10 acfm at 100 psig must be multiplied with a compression ratio approx. 8 to find the free air flow at atmospheric pressure.</t>
  </si>
  <si>
    <t>•in this case approx. 80 scfm</t>
  </si>
  <si>
    <t>NOTES</t>
  </si>
  <si>
    <t>CFM to m³/s Ratio</t>
  </si>
  <si>
    <t xml:space="preserve">pc = compressed pressure </t>
  </si>
  <si>
    <t>Va = volume of the gas at atmospheric pressure (cubic ft, cubic m)</t>
  </si>
  <si>
    <t>Vc = volume of the gas at compressed pressure (cubic feet, cubic meter)</t>
  </si>
  <si>
    <t>pa = atmospheric pressure (Eg. : 14.7 psia, 101.325 kPa)</t>
  </si>
  <si>
    <t>Pers</t>
  </si>
  <si>
    <r>
      <t>1. Recommended compressed air supply per person (for oxygen uptake of 0.5 l/min &amp; CO</t>
    </r>
    <r>
      <rPr>
        <vertAlign val="subscript"/>
        <sz val="10"/>
        <rFont val="Arial"/>
        <family val="2"/>
      </rPr>
      <t xml:space="preserve">2 </t>
    </r>
    <r>
      <rPr>
        <sz val="10"/>
        <rFont val="Arial"/>
        <family val="2"/>
      </rPr>
      <t>dilution</t>
    </r>
    <r>
      <rPr>
        <sz val="11"/>
        <rFont val="Calibri"/>
        <family val="2"/>
        <scheme val="minor"/>
      </rPr>
      <t xml:space="preserve">) </t>
    </r>
  </si>
  <si>
    <r>
      <t>m</t>
    </r>
    <r>
      <rPr>
        <vertAlign val="superscript"/>
        <sz val="10"/>
        <rFont val="Arial"/>
        <family val="2"/>
      </rPr>
      <t>3</t>
    </r>
    <r>
      <rPr>
        <sz val="11"/>
        <rFont val="Calibri"/>
        <family val="2"/>
        <scheme val="minor"/>
      </rPr>
      <t>/s</t>
    </r>
  </si>
  <si>
    <t>Refuge Bay Area</t>
  </si>
  <si>
    <t>Person air usage   l/min</t>
  </si>
  <si>
    <t>Volume required in Bay</t>
  </si>
  <si>
    <t xml:space="preserve">Volume per person   </t>
  </si>
  <si>
    <t>Steady State Year (Future Planning)</t>
  </si>
  <si>
    <r>
      <t xml:space="preserve">Number of bays Compressor can Supply </t>
    </r>
    <r>
      <rPr>
        <b/>
        <u/>
        <sz val="10"/>
        <rFont val="Arial"/>
        <family val="2"/>
      </rPr>
      <t>based on Airchange</t>
    </r>
  </si>
  <si>
    <r>
      <t xml:space="preserve">Number of bays Compressor can Supply based on </t>
    </r>
    <r>
      <rPr>
        <b/>
        <u/>
        <sz val="10"/>
        <rFont val="Arial"/>
        <family val="2"/>
      </rPr>
      <t>Req. per person</t>
    </r>
  </si>
  <si>
    <r>
      <rPr>
        <b/>
        <sz val="10"/>
        <rFont val="Arial"/>
        <family val="2"/>
      </rPr>
      <t>Boyle's Law 
P1 x V1 = P2 x V2</t>
    </r>
    <r>
      <rPr>
        <sz val="10"/>
        <rFont val="Arial"/>
        <family val="2"/>
      </rPr>
      <t xml:space="preserve">
Convert compressed air to free air</t>
    </r>
  </si>
  <si>
    <t>Area 1</t>
  </si>
  <si>
    <t>Area 2</t>
  </si>
  <si>
    <t>Residual capacity (Vr) of Self rescuer</t>
  </si>
  <si>
    <t>Compressor air system leakage</t>
  </si>
  <si>
    <t>Air available from compressors ("Free Air")</t>
  </si>
  <si>
    <r>
      <t xml:space="preserve">Number of People Compressor can Supply based on </t>
    </r>
    <r>
      <rPr>
        <b/>
        <u/>
        <sz val="10"/>
        <rFont val="Arial"/>
        <family val="2"/>
      </rPr>
      <t>Req. per person</t>
    </r>
  </si>
  <si>
    <t>People</t>
  </si>
  <si>
    <t>Area allocated per person</t>
  </si>
  <si>
    <t>Compressor air Supply m³/s</t>
  </si>
  <si>
    <t>Equation(s)</t>
  </si>
  <si>
    <r>
      <rPr>
        <b/>
        <sz val="10"/>
        <color indexed="10"/>
        <rFont val="Wingdings 3"/>
        <family val="1"/>
        <charset val="2"/>
      </rPr>
      <t></t>
    </r>
    <r>
      <rPr>
        <b/>
        <sz val="10"/>
        <color indexed="10"/>
        <rFont val="Arial"/>
        <family val="2"/>
      </rPr>
      <t xml:space="preserve"> Pressure Loss (Pa)</t>
    </r>
  </si>
  <si>
    <t>μ = Coefficient of friction</t>
  </si>
  <si>
    <t>ρ = Density of air (kg/m³)</t>
  </si>
  <si>
    <t>d = Pipe Inner Diameter (m)</t>
  </si>
  <si>
    <t>Air Flow Rate through Piping</t>
  </si>
  <si>
    <t>Air Flow Rate (Actual) (m³/min)</t>
  </si>
  <si>
    <t>v = Air Velocity (m/s)</t>
  </si>
  <si>
    <t>Pressure Loss through Piping for Air</t>
  </si>
  <si>
    <t>m³/min</t>
  </si>
  <si>
    <t>d = Pipe Inner Diameter (mm)</t>
  </si>
  <si>
    <t>Pipe Quantities</t>
  </si>
  <si>
    <t>Pipe Size in mm</t>
  </si>
  <si>
    <t>Pipe size in m</t>
  </si>
  <si>
    <t>Qty  m³/s</t>
  </si>
  <si>
    <t>Pipe Area</t>
  </si>
  <si>
    <t>Tunnel width in m</t>
  </si>
  <si>
    <t>Tunnel height in m</t>
  </si>
  <si>
    <t>Tunnel Area</t>
  </si>
  <si>
    <t>Tunnel Quantities</t>
  </si>
  <si>
    <t>Resistance Factor</t>
  </si>
  <si>
    <t>Steel Pipes</t>
  </si>
  <si>
    <t>Rubber Hoses</t>
  </si>
  <si>
    <t>KPa</t>
  </si>
  <si>
    <t>MPa</t>
  </si>
  <si>
    <r>
      <rPr>
        <b/>
        <sz val="10"/>
        <color indexed="10"/>
        <rFont val="Wingdings 3"/>
        <family val="1"/>
        <charset val="2"/>
      </rPr>
      <t></t>
    </r>
    <r>
      <rPr>
        <b/>
        <sz val="10"/>
        <color indexed="10"/>
        <rFont val="Arial"/>
        <family val="2"/>
      </rPr>
      <t xml:space="preserve"> Pressure Loss (KPa)</t>
    </r>
  </si>
  <si>
    <r>
      <rPr>
        <b/>
        <sz val="10"/>
        <color indexed="10"/>
        <rFont val="Wingdings 3"/>
        <family val="1"/>
        <charset val="2"/>
      </rPr>
      <t></t>
    </r>
    <r>
      <rPr>
        <b/>
        <sz val="10"/>
        <color indexed="10"/>
        <rFont val="Arial"/>
        <family val="2"/>
      </rPr>
      <t xml:space="preserve"> Pressure Loss (MPa)</t>
    </r>
  </si>
  <si>
    <t>v = Velocity (m/s)</t>
  </si>
  <si>
    <t>Qa = Air Flow Rate (Actual) (m³/min)</t>
  </si>
  <si>
    <t>Equation(s) : Corrected Pressure loss per m = Rate of PL (from Graph) x Pressure Correction x Temperature Correction</t>
  </si>
  <si>
    <t>Corrected Pressure loss per m</t>
  </si>
  <si>
    <t xml:space="preserve">Pressure Correction </t>
  </si>
  <si>
    <t>Temperature Correction</t>
  </si>
  <si>
    <t>Total Pressure Loss</t>
  </si>
  <si>
    <t xml:space="preserve">Rate of PL - Massflow rate (from Graph) </t>
  </si>
  <si>
    <t>kPa/m</t>
  </si>
  <si>
    <t>Fraction of Area Open Calculator</t>
  </si>
  <si>
    <t>Regulator pipe Area</t>
  </si>
  <si>
    <t>No</t>
  </si>
  <si>
    <t>Where - Pipes</t>
  </si>
  <si>
    <t>Where - Tunnel</t>
  </si>
  <si>
    <t>Tunnel Width</t>
  </si>
  <si>
    <t>Tunnel Height</t>
  </si>
  <si>
    <t>Regulator % Open</t>
  </si>
  <si>
    <t>Where - Regulator</t>
  </si>
  <si>
    <t xml:space="preserve">Pipe diameter size </t>
  </si>
  <si>
    <r>
      <t xml:space="preserve">Number of </t>
    </r>
    <r>
      <rPr>
        <b/>
        <sz val="11"/>
        <rFont val="Arial"/>
        <family val="2"/>
      </rPr>
      <t xml:space="preserve">OPEN </t>
    </r>
    <r>
      <rPr>
        <sz val="11"/>
        <rFont val="Arial"/>
        <family val="2"/>
      </rPr>
      <t xml:space="preserve">Pipes </t>
    </r>
  </si>
  <si>
    <r>
      <t xml:space="preserve">Regulator </t>
    </r>
    <r>
      <rPr>
        <b/>
        <sz val="11"/>
        <rFont val="Arial"/>
        <family val="2"/>
      </rPr>
      <t>OPEN</t>
    </r>
    <r>
      <rPr>
        <sz val="11"/>
        <rFont val="Arial"/>
        <family val="2"/>
      </rPr>
      <t xml:space="preserve"> Width</t>
    </r>
  </si>
  <si>
    <r>
      <t xml:space="preserve">Regulator </t>
    </r>
    <r>
      <rPr>
        <b/>
        <sz val="11"/>
        <rFont val="Arial"/>
        <family val="2"/>
      </rPr>
      <t>OPEN</t>
    </r>
    <r>
      <rPr>
        <sz val="11"/>
        <rFont val="Arial"/>
        <family val="2"/>
      </rPr>
      <t xml:space="preserve"> Height</t>
    </r>
  </si>
  <si>
    <t>Combined Open Regulator pipe Area</t>
  </si>
  <si>
    <t>Regulator Open Area</t>
  </si>
  <si>
    <t>Added Refuge Bay Calcs</t>
  </si>
  <si>
    <t>Added fraction of area open</t>
  </si>
  <si>
    <t>PMC</t>
  </si>
  <si>
    <t>Added Trackless Vehicles and Qty Requirements</t>
  </si>
  <si>
    <t>Trackless Vehicles and Qty Requirements</t>
  </si>
  <si>
    <t>Trackless Vehicle</t>
  </si>
  <si>
    <t>Qty Standard for tracless vehicles</t>
  </si>
  <si>
    <t>Heatload Factor - 2</t>
  </si>
  <si>
    <t>Heatload Factor - 1.5</t>
  </si>
  <si>
    <t>LHD - LH 621</t>
  </si>
  <si>
    <t>LHD - LH 514</t>
  </si>
  <si>
    <t>Dumptruck TH530</t>
  </si>
  <si>
    <t>Dumptruck TH540</t>
  </si>
  <si>
    <t>Spraymec 1050 WPC HD</t>
  </si>
  <si>
    <t>Sandvik DD420-60 Drill Rig</t>
  </si>
  <si>
    <t>Toyota Hilux LDV 2.5D4D</t>
  </si>
  <si>
    <t>Toyota Hilux LDV 2.7D4D</t>
  </si>
  <si>
    <t>Toyota Hilux LDV 3.0D4D</t>
  </si>
  <si>
    <t>Trackless Vehicle Data</t>
  </si>
  <si>
    <t>Country</t>
  </si>
  <si>
    <t>Type of Mine</t>
  </si>
  <si>
    <t>Diesel factor m3/s per kW</t>
  </si>
  <si>
    <t>Other comments</t>
  </si>
  <si>
    <t>Australia</t>
  </si>
  <si>
    <t>New South Wales</t>
  </si>
  <si>
    <t>Queensland</t>
  </si>
  <si>
    <t>South Australia</t>
  </si>
  <si>
    <t>Victoria</t>
  </si>
  <si>
    <t>Western Australia</t>
  </si>
  <si>
    <t>Coal</t>
  </si>
  <si>
    <t>All mines</t>
  </si>
  <si>
    <t>Canada</t>
  </si>
  <si>
    <t>Maniitoba</t>
  </si>
  <si>
    <t>Newfoundland</t>
  </si>
  <si>
    <t>Ontario</t>
  </si>
  <si>
    <t>Quebec</t>
  </si>
  <si>
    <t>Saskatchewan</t>
  </si>
  <si>
    <t>Yukon Territory</t>
  </si>
  <si>
    <t>Not specified</t>
  </si>
  <si>
    <t xml:space="preserve">Not specified </t>
  </si>
  <si>
    <t>Chile</t>
  </si>
  <si>
    <t>For 0.08% &lt; CO &lt; 0.12%</t>
  </si>
  <si>
    <t>Columbia</t>
  </si>
  <si>
    <t>For CO&lt;0.08%</t>
  </si>
  <si>
    <t>Germany</t>
  </si>
  <si>
    <t>Lower Saxony</t>
  </si>
  <si>
    <t>North Rhine- Westphalia</t>
  </si>
  <si>
    <t>Non gassy</t>
  </si>
  <si>
    <t>Hard coal</t>
  </si>
  <si>
    <t>CO &lt;0.06%</t>
  </si>
  <si>
    <t>For 0.06% &lt; CO &lt; 0.08%</t>
  </si>
  <si>
    <t>Ireland</t>
  </si>
  <si>
    <t>Non hard coal</t>
  </si>
  <si>
    <t>India</t>
  </si>
  <si>
    <t>Korea</t>
  </si>
  <si>
    <t>Mexico</t>
  </si>
  <si>
    <t>New Zealand</t>
  </si>
  <si>
    <t>Philippines</t>
  </si>
  <si>
    <t>Romania</t>
  </si>
  <si>
    <t>Spain</t>
  </si>
  <si>
    <t>Sweden</t>
  </si>
  <si>
    <t>Depends on fuel and airway size</t>
  </si>
  <si>
    <t>United States</t>
  </si>
  <si>
    <t>Zambia</t>
  </si>
  <si>
    <t>Other countries [e.g. Germany, Austria] specify DPM levels; These have to complied with by ventilation and filtration.</t>
  </si>
  <si>
    <t xml:space="preserve">Mine Health and Safety Act regulations current specify the gaseous occupational exposure levels [OELs] of diesel exhaust to which employees may be exposed, see Table 1 below.  </t>
  </si>
  <si>
    <t>Table 1</t>
  </si>
  <si>
    <t>MHSA OELs for diesel gases</t>
  </si>
  <si>
    <t>Substance</t>
  </si>
  <si>
    <t xml:space="preserve">OEL </t>
  </si>
  <si>
    <t>OEL-STEL/OEL-C</t>
  </si>
  <si>
    <t>CO limit</t>
  </si>
  <si>
    <t>30 ppm</t>
  </si>
  <si>
    <t>100 ppm [OEL-C]</t>
  </si>
  <si>
    <t>CO2</t>
  </si>
  <si>
    <t>5000 ppm</t>
  </si>
  <si>
    <t>30 000 ppm [OEL-C]</t>
  </si>
  <si>
    <t>NOx</t>
  </si>
  <si>
    <t>25 ppm</t>
  </si>
  <si>
    <t>35 ppm [OEL-STEL]</t>
  </si>
  <si>
    <t>So2</t>
  </si>
  <si>
    <t>2 ppm</t>
  </si>
  <si>
    <t>5 ppm [OEL-STEL</t>
  </si>
  <si>
    <t>Summary of Diesel Ventilation Air Requirements throughout the World</t>
  </si>
  <si>
    <t xml:space="preserve">The legal requirements for ventilation air for diesel equipment vary throughout the world. </t>
  </si>
  <si>
    <t>The requirements for various countries are summarised in the following table.</t>
  </si>
  <si>
    <r>
      <t>Minimum airflow 4.7 m</t>
    </r>
    <r>
      <rPr>
        <vertAlign val="superscript"/>
        <sz val="11"/>
        <color theme="1"/>
        <rFont val="Arial"/>
        <family val="2"/>
      </rPr>
      <t>3</t>
    </r>
    <r>
      <rPr>
        <sz val="11"/>
        <color theme="1"/>
        <rFont val="Arial"/>
        <family val="2"/>
      </rPr>
      <t>/s</t>
    </r>
  </si>
  <si>
    <r>
      <t>Minimum airflow 2.5 m</t>
    </r>
    <r>
      <rPr>
        <vertAlign val="superscript"/>
        <sz val="11"/>
        <color theme="1"/>
        <rFont val="Arial"/>
        <family val="2"/>
      </rPr>
      <t>3</t>
    </r>
    <r>
      <rPr>
        <sz val="11"/>
        <color theme="1"/>
        <rFont val="Arial"/>
        <family val="2"/>
      </rPr>
      <t>/s</t>
    </r>
  </si>
  <si>
    <r>
      <t>Minimum airflow 2.4 - 4.7 m</t>
    </r>
    <r>
      <rPr>
        <vertAlign val="superscript"/>
        <sz val="11"/>
        <color theme="1"/>
        <rFont val="Arial"/>
        <family val="2"/>
      </rPr>
      <t>3</t>
    </r>
    <r>
      <rPr>
        <sz val="11"/>
        <color theme="1"/>
        <rFont val="Arial"/>
        <family val="2"/>
      </rPr>
      <t xml:space="preserve">/s </t>
    </r>
  </si>
  <si>
    <r>
      <t>Minimum airflow 2.4.7 m</t>
    </r>
    <r>
      <rPr>
        <vertAlign val="superscript"/>
        <sz val="11"/>
        <color theme="1"/>
        <rFont val="Arial"/>
        <family val="2"/>
      </rPr>
      <t>3</t>
    </r>
    <r>
      <rPr>
        <sz val="11"/>
        <color theme="1"/>
        <rFont val="Arial"/>
        <family val="2"/>
      </rPr>
      <t>/s</t>
    </r>
  </si>
  <si>
    <r>
      <t>0.05 m</t>
    </r>
    <r>
      <rPr>
        <vertAlign val="superscript"/>
        <sz val="11"/>
        <color theme="1"/>
        <rFont val="Arial"/>
        <family val="2"/>
      </rPr>
      <t>3</t>
    </r>
    <r>
      <rPr>
        <sz val="11"/>
        <color theme="1"/>
        <rFont val="Arial"/>
        <family val="2"/>
      </rPr>
      <t>/s per person and max velocity 2.5 m/s</t>
    </r>
  </si>
  <si>
    <r>
      <t>Min airflow 2.83 m</t>
    </r>
    <r>
      <rPr>
        <vertAlign val="superscript"/>
        <sz val="11"/>
        <color theme="1"/>
        <rFont val="Arial"/>
        <family val="2"/>
      </rPr>
      <t>3</t>
    </r>
    <r>
      <rPr>
        <sz val="11"/>
        <color theme="1"/>
        <rFont val="Arial"/>
        <family val="2"/>
      </rPr>
      <t>/s</t>
    </r>
  </si>
  <si>
    <r>
      <t>0.05 m</t>
    </r>
    <r>
      <rPr>
        <vertAlign val="superscript"/>
        <sz val="11"/>
        <color theme="1"/>
        <rFont val="Arial"/>
        <family val="2"/>
      </rPr>
      <t>3</t>
    </r>
    <r>
      <rPr>
        <sz val="11"/>
        <color theme="1"/>
        <rFont val="Arial"/>
        <family val="2"/>
      </rPr>
      <t>/s per person</t>
    </r>
  </si>
  <si>
    <r>
      <t>Min airflow 4.7 m</t>
    </r>
    <r>
      <rPr>
        <vertAlign val="superscript"/>
        <sz val="11"/>
        <color theme="1"/>
        <rFont val="Arial"/>
        <family val="2"/>
      </rPr>
      <t>3</t>
    </r>
    <r>
      <rPr>
        <sz val="11"/>
        <color theme="1"/>
        <rFont val="Arial"/>
        <family val="2"/>
      </rPr>
      <t>/s</t>
    </r>
  </si>
  <si>
    <r>
      <t>Min airflow 0.33 m</t>
    </r>
    <r>
      <rPr>
        <vertAlign val="superscript"/>
        <sz val="11"/>
        <color theme="1"/>
        <rFont val="Arial"/>
        <family val="2"/>
      </rPr>
      <t>3</t>
    </r>
    <r>
      <rPr>
        <sz val="11"/>
        <color theme="1"/>
        <rFont val="Arial"/>
        <family val="2"/>
      </rPr>
      <t>/s</t>
    </r>
  </si>
  <si>
    <r>
      <t>CO &lt; 0.06%, min airflow 0.05m</t>
    </r>
    <r>
      <rPr>
        <vertAlign val="superscript"/>
        <sz val="11"/>
        <color theme="1"/>
        <rFont val="Arial"/>
        <family val="2"/>
      </rPr>
      <t>3</t>
    </r>
    <r>
      <rPr>
        <sz val="11"/>
        <color theme="1"/>
        <rFont val="Arial"/>
        <family val="2"/>
      </rPr>
      <t>/s</t>
    </r>
  </si>
  <si>
    <r>
      <t>For 0.06% &lt; CO &lt; 0.08%, min airflow 0.067 m</t>
    </r>
    <r>
      <rPr>
        <vertAlign val="superscript"/>
        <sz val="11"/>
        <color theme="1"/>
        <rFont val="Arial"/>
        <family val="2"/>
      </rPr>
      <t>3</t>
    </r>
    <r>
      <rPr>
        <sz val="11"/>
        <color theme="1"/>
        <rFont val="Arial"/>
        <family val="2"/>
      </rPr>
      <t>/s</t>
    </r>
  </si>
  <si>
    <r>
      <t>For 0.08% &lt; CO &lt; 0.12%, min airflow 0.100 m</t>
    </r>
    <r>
      <rPr>
        <vertAlign val="superscript"/>
        <sz val="11"/>
        <color theme="1"/>
        <rFont val="Arial"/>
        <family val="2"/>
      </rPr>
      <t>3</t>
    </r>
    <r>
      <rPr>
        <sz val="11"/>
        <color theme="1"/>
        <rFont val="Arial"/>
        <family val="2"/>
      </rPr>
      <t>/s</t>
    </r>
  </si>
  <si>
    <r>
      <t>Equipment tested for minimum air quality to reduce the highest gaseous emission [CO, NO, No</t>
    </r>
    <r>
      <rPr>
        <vertAlign val="subscript"/>
        <sz val="11"/>
        <color theme="1"/>
        <rFont val="Arial"/>
        <family val="2"/>
      </rPr>
      <t>2</t>
    </r>
    <r>
      <rPr>
        <sz val="11"/>
        <color theme="1"/>
        <rFont val="Arial"/>
        <family val="2"/>
      </rPr>
      <t>, or CO</t>
    </r>
    <r>
      <rPr>
        <vertAlign val="subscript"/>
        <sz val="11"/>
        <color theme="1"/>
        <rFont val="Arial"/>
        <family val="2"/>
      </rPr>
      <t>2</t>
    </r>
    <r>
      <rPr>
        <sz val="11"/>
        <color theme="1"/>
        <rFont val="Arial"/>
        <family val="2"/>
      </rPr>
      <t>]to its safe level for 8 hour exposure [ACGIH}. Defined as ‘nameplate’ quantity to be delivered to operating equipment. Nameplate quantities for approved equipment range from 0.02m3/kW to 0,07m3/s</t>
    </r>
  </si>
  <si>
    <r>
      <t>MHSA also specifies minimum air quantity to achieve Diesel Particulate Matter [DPM] level of 1.0 mg/m</t>
    </r>
    <r>
      <rPr>
        <vertAlign val="superscript"/>
        <sz val="11"/>
        <color theme="1"/>
        <rFont val="Arial"/>
        <family val="2"/>
      </rPr>
      <t>3</t>
    </r>
    <r>
      <rPr>
        <sz val="11"/>
        <color theme="1"/>
        <rFont val="Arial"/>
        <family val="2"/>
      </rPr>
      <t>[range is from 0.01 m</t>
    </r>
    <r>
      <rPr>
        <vertAlign val="superscript"/>
        <sz val="11"/>
        <color theme="1"/>
        <rFont val="Arial"/>
        <family val="2"/>
      </rPr>
      <t>3</t>
    </r>
    <r>
      <rPr>
        <sz val="11"/>
        <color theme="1"/>
        <rFont val="Arial"/>
        <family val="2"/>
      </rPr>
      <t>/s/kW to 0.18 m</t>
    </r>
    <r>
      <rPr>
        <vertAlign val="superscript"/>
        <sz val="11"/>
        <color theme="1"/>
        <rFont val="Arial"/>
        <family val="2"/>
      </rPr>
      <t>3</t>
    </r>
    <r>
      <rPr>
        <sz val="11"/>
        <color theme="1"/>
        <rFont val="Arial"/>
        <family val="2"/>
      </rPr>
      <t>/s/kW. Current proposal relates to DPM level of 0.16 mg/m</t>
    </r>
    <r>
      <rPr>
        <vertAlign val="superscript"/>
        <sz val="11"/>
        <color theme="1"/>
        <rFont val="Arial"/>
        <family val="2"/>
      </rPr>
      <t>3</t>
    </r>
    <r>
      <rPr>
        <sz val="11"/>
        <color theme="1"/>
        <rFont val="Arial"/>
        <family val="2"/>
      </rPr>
      <t>.</t>
    </r>
  </si>
  <si>
    <r>
      <t>Canada has similar certification rules but generally higher than MHSA [e.g. Deutz BF6M 1013: MHSA – 0.29 m</t>
    </r>
    <r>
      <rPr>
        <vertAlign val="superscript"/>
        <sz val="11"/>
        <color theme="1"/>
        <rFont val="Arial"/>
        <family val="2"/>
      </rPr>
      <t>3</t>
    </r>
    <r>
      <rPr>
        <sz val="11"/>
        <color theme="1"/>
        <rFont val="Arial"/>
        <family val="2"/>
      </rPr>
      <t>/kW Canmet – 0.059 m</t>
    </r>
    <r>
      <rPr>
        <vertAlign val="superscript"/>
        <sz val="11"/>
        <color theme="1"/>
        <rFont val="Arial"/>
        <family val="2"/>
      </rPr>
      <t>3</t>
    </r>
    <r>
      <rPr>
        <sz val="11"/>
        <color theme="1"/>
        <rFont val="Arial"/>
        <family val="2"/>
      </rPr>
      <t>/kW].</t>
    </r>
  </si>
  <si>
    <r>
      <t xml:space="preserve">Currently there are no specific regulations for controlling </t>
    </r>
    <r>
      <rPr>
        <b/>
        <sz val="11"/>
        <color theme="1"/>
        <rFont val="Arial"/>
        <family val="2"/>
      </rPr>
      <t>DPM.</t>
    </r>
    <r>
      <rPr>
        <sz val="11"/>
        <color theme="1"/>
        <rFont val="Arial"/>
        <family val="2"/>
      </rPr>
      <t xml:space="preserve">  The Occupational Hygiene Sub Committee [Technical Task Team on Diesel Particulate Matter] recommended that a value of </t>
    </r>
    <r>
      <rPr>
        <b/>
        <sz val="11"/>
        <color theme="1"/>
        <rFont val="Arial"/>
        <family val="2"/>
      </rPr>
      <t>1.5 mg/m</t>
    </r>
    <r>
      <rPr>
        <b/>
        <vertAlign val="superscript"/>
        <sz val="11"/>
        <color theme="1"/>
        <rFont val="Arial"/>
        <family val="2"/>
      </rPr>
      <t>3</t>
    </r>
    <r>
      <rPr>
        <b/>
        <sz val="11"/>
        <color theme="1"/>
        <rFont val="Arial"/>
        <family val="2"/>
      </rPr>
      <t xml:space="preserve"> be used as a preliminary target </t>
    </r>
    <r>
      <rPr>
        <sz val="11"/>
        <color theme="1"/>
        <rFont val="Arial"/>
        <family val="2"/>
      </rPr>
      <t>and that Respirable Combustible Dust [RCD] method be used by mines to establish their baselines.  This method measures the exposure of workers to DPM.</t>
    </r>
  </si>
  <si>
    <t xml:space="preserve">Reject Temperature </t>
  </si>
  <si>
    <t>Q = Vehicle kW</t>
  </si>
  <si>
    <t>End Length</t>
  </si>
  <si>
    <t>End Heatload /m</t>
  </si>
  <si>
    <t>kW/m</t>
  </si>
  <si>
    <t>End Heatload</t>
  </si>
  <si>
    <t>Heatload Factor</t>
  </si>
  <si>
    <t xml:space="preserve">Intake Temperature </t>
  </si>
  <si>
    <t>Total Heatload</t>
  </si>
  <si>
    <t>Massflow in end</t>
  </si>
  <si>
    <t>Leakage %</t>
  </si>
  <si>
    <t>kg/s Airflow Required</t>
  </si>
  <si>
    <t>Discharge Qty Required</t>
  </si>
  <si>
    <t>Fan Intake Qty Required</t>
  </si>
  <si>
    <r>
      <t>Qty Required</t>
    </r>
    <r>
      <rPr>
        <sz val="11"/>
        <color theme="1"/>
        <rFont val="Calibri"/>
        <family val="2"/>
        <scheme val="minor"/>
      </rPr>
      <t xml:space="preserve"> (kW x Dilution Requirement)</t>
    </r>
  </si>
  <si>
    <t>Qty Dilution Requirement</t>
  </si>
  <si>
    <t>Expected Leakage over distance "Total Leakage"</t>
  </si>
  <si>
    <t>Vehicle kW Minimum Qty Calculator</t>
  </si>
  <si>
    <t>Summary of Diesel Ventilation Air Requirements</t>
  </si>
  <si>
    <t>Change Index to match Tab Colours</t>
  </si>
  <si>
    <t>Changes</t>
  </si>
  <si>
    <t>90+90</t>
  </si>
  <si>
    <t xml:space="preserve">Closest fan (kW) to meet Intake Qty </t>
  </si>
  <si>
    <t>Calculated Height</t>
  </si>
  <si>
    <t>Added regulator size Calculation</t>
  </si>
  <si>
    <t>Calculated Regulator Size Rectangular / Square</t>
  </si>
  <si>
    <t>Calculated Regulator Size Round</t>
  </si>
  <si>
    <t>Calculated Dia.</t>
  </si>
  <si>
    <t>1.1Kw fan</t>
  </si>
  <si>
    <t>1.1kW fan</t>
  </si>
  <si>
    <t>Pressure 10° (pa)</t>
  </si>
  <si>
    <t>Pressure 15° (pa)</t>
  </si>
  <si>
    <t>Pressure 20° (pa)</t>
  </si>
  <si>
    <t>Pressure 25° (pa)</t>
  </si>
  <si>
    <t>Pressure 30° (pa)</t>
  </si>
  <si>
    <t>Pressure 35° (pa)</t>
  </si>
  <si>
    <t xml:space="preserve">w = </t>
  </si>
  <si>
    <t>Quantity change with Density Change</t>
  </si>
  <si>
    <t>Qty 1 m³/s</t>
  </si>
  <si>
    <t>Q2 =</t>
  </si>
  <si>
    <t>How to convert BTU/hr to kW</t>
  </si>
  <si>
    <t>BTU</t>
  </si>
  <si>
    <t xml:space="preserve">1 BTU/hr =  </t>
  </si>
  <si>
    <t>kWh</t>
  </si>
  <si>
    <t>W/m131</t>
  </si>
  <si>
    <t xml:space="preserve">The power P in kilowatts (kW) is equal to the energy E in kilowatt-hour (kWh), divided by the time period t in hours (hr):
</t>
  </si>
  <si>
    <t xml:space="preserve">P(kW) = E(kWh) / t(hr)
</t>
  </si>
  <si>
    <t>or kW = kWh / h</t>
  </si>
  <si>
    <t xml:space="preserve">So kilowatt = kilowatt-hour / hour
</t>
  </si>
  <si>
    <t>Added BTU - kW Conversion</t>
  </si>
  <si>
    <t>LHD - LH 517</t>
  </si>
  <si>
    <t xml:space="preserve">Volume </t>
  </si>
  <si>
    <t>Tunnel Length</t>
  </si>
  <si>
    <t>Pipe / Tube Length</t>
  </si>
  <si>
    <t>Pipe / Tube Diameter</t>
  </si>
  <si>
    <t>Water Flow Back Calc - Coolers</t>
  </si>
  <si>
    <t>Water Temperature in</t>
  </si>
  <si>
    <t>Water TemperatureOut</t>
  </si>
  <si>
    <t>Estimated Coil Efficiency</t>
  </si>
  <si>
    <t>Calculated Water flow - Eff%</t>
  </si>
  <si>
    <r>
      <rPr>
        <b/>
        <sz val="10"/>
        <rFont val="Calibri"/>
        <family val="2"/>
      </rPr>
      <t>Water - Δ</t>
    </r>
    <r>
      <rPr>
        <b/>
        <sz val="10"/>
        <rFont val="Arial"/>
        <family val="2"/>
      </rPr>
      <t xml:space="preserve"> t</t>
    </r>
  </si>
  <si>
    <t>Yes = 1
No = 0</t>
  </si>
  <si>
    <t>Development end</t>
  </si>
  <si>
    <t>Loading end</t>
  </si>
  <si>
    <t>Vent Column Increment increase - m</t>
  </si>
  <si>
    <t>Reject Temperature (Max)</t>
  </si>
  <si>
    <t>Reject Temperature (Design)</t>
  </si>
  <si>
    <t>Return Wet Bulb</t>
  </si>
  <si>
    <t>Return Dry Bulb</t>
  </si>
  <si>
    <t>Intake Wet Bulb</t>
  </si>
  <si>
    <t>Intake Dry Bulb</t>
  </si>
  <si>
    <t>Development End Heatload /m</t>
  </si>
  <si>
    <t>Loading End Heatload /m</t>
  </si>
  <si>
    <t>End Heatload - Development</t>
  </si>
  <si>
    <t>End Heatload Loading XC</t>
  </si>
  <si>
    <t>Fan kW</t>
  </si>
  <si>
    <t>Vehicle Heatload</t>
  </si>
  <si>
    <r>
      <t>Expected Leakage over distance "</t>
    </r>
    <r>
      <rPr>
        <b/>
        <sz val="10"/>
        <rFont val="Arial"/>
        <family val="2"/>
      </rPr>
      <t>Total Leakage</t>
    </r>
    <r>
      <rPr>
        <sz val="10"/>
        <rFont val="Arial"/>
        <family val="2"/>
      </rPr>
      <t>"</t>
    </r>
  </si>
  <si>
    <t>Expected Reject temperature</t>
  </si>
  <si>
    <t>Wet Bulb / Dry Bulb Gap</t>
  </si>
  <si>
    <t>Minimum Massflow to Achieve Reject</t>
  </si>
  <si>
    <t>Sigma Heat ( S ) Air Out</t>
  </si>
  <si>
    <r>
      <t xml:space="preserve">Formula : q = M x </t>
    </r>
    <r>
      <rPr>
        <sz val="12"/>
        <color theme="1"/>
        <rFont val="Calibri"/>
        <family val="2"/>
      </rPr>
      <t>ΔS</t>
    </r>
  </si>
  <si>
    <t>Qty = q / ΔS / w</t>
  </si>
  <si>
    <t>Airflow Required for different Vehicles to achieve 27.5°CWB  if intake temperature is            °CWB</t>
  </si>
  <si>
    <t>dilution Qty =</t>
  </si>
  <si>
    <t>Heat Factor=</t>
  </si>
  <si>
    <t>different end lengths</t>
  </si>
  <si>
    <t>220kW Vehicle</t>
  </si>
  <si>
    <t>250kW Vehicle</t>
  </si>
  <si>
    <t>280kW Vehicle</t>
  </si>
  <si>
    <t>300kW Vehicle</t>
  </si>
  <si>
    <t>330kW Vehicle</t>
  </si>
  <si>
    <t>350kW Vehicle</t>
  </si>
  <si>
    <t>375kW Vehicle</t>
  </si>
  <si>
    <t>Expected End Reject Temps for different Vehicles</t>
  </si>
  <si>
    <t>If intake temperature =</t>
  </si>
  <si>
    <t>Vuma End Face Temps for different Vehicles at 23°CWB Intake (If Qty does not change)</t>
  </si>
  <si>
    <t>Quantity used</t>
  </si>
  <si>
    <t>220kW Vehicle  (330kW)</t>
  </si>
  <si>
    <t>250kW Vehicle  (375kW)</t>
  </si>
  <si>
    <t>280kW Vehicle  (420kW)</t>
  </si>
  <si>
    <t>300kW Vehicle  (450kW)</t>
  </si>
  <si>
    <t>330kW Vehicle  (495kW)</t>
  </si>
  <si>
    <t>350kW Vehicle  (525kW)</t>
  </si>
  <si>
    <t>375kW Vehicle  (563kW)</t>
  </si>
  <si>
    <t>Bold = actual VumA3D data</t>
  </si>
  <si>
    <t>Interpolated data</t>
  </si>
  <si>
    <t>(C70-C$20)/(-C$16*4.18)</t>
  </si>
  <si>
    <t>(C71-C$20)/(-C$16*4.18)</t>
  </si>
  <si>
    <t>Vuma End Face Temps for different Vehicles at 23°CWB Intake</t>
  </si>
  <si>
    <t>Vehicle Qty &amp; heat graph</t>
  </si>
  <si>
    <t>Added Vehicle Qty &amp; heat graph</t>
  </si>
  <si>
    <t>Fraction of Area Open Calculator (Round)</t>
  </si>
  <si>
    <t>Fraction of Area Open Calculator (Square / Rectangular)</t>
  </si>
  <si>
    <t>Nominal pipe diameter (mm)</t>
  </si>
  <si>
    <t>Mega Litre</t>
  </si>
  <si>
    <t>Litre</t>
  </si>
  <si>
    <t>Trigonometry &amp; Volume</t>
  </si>
  <si>
    <t>Volume Calculator (Round)</t>
  </si>
  <si>
    <t>Volume Calculator (Square / Rectangular)</t>
  </si>
  <si>
    <t>(Length between two IDENTICAL fans if Qty and P of fans is known)</t>
  </si>
  <si>
    <t>Running Cost -Fan (Known kW)</t>
  </si>
  <si>
    <t>Running Cost -(Known kW) Partial Hours or Shifts</t>
  </si>
  <si>
    <t>"Y" Piece/Lateral (If Used)</t>
  </si>
  <si>
    <t>Expected % Leakage of the column</t>
  </si>
  <si>
    <t>Expected TOTAL Leakage over distance</t>
  </si>
  <si>
    <t xml:space="preserve">Disch Qty Required (Quick Calc) </t>
  </si>
  <si>
    <t>Velocity fan Intake m/s</t>
  </si>
  <si>
    <t>Fan Speed 1</t>
  </si>
  <si>
    <t>Fan Speed 2</t>
  </si>
  <si>
    <t>Quantity 1</t>
  </si>
  <si>
    <t>rpm</t>
  </si>
  <si>
    <t>Quantity 2</t>
  </si>
  <si>
    <t>Fan Pressure 1</t>
  </si>
  <si>
    <t>Fan Pressure 2</t>
  </si>
  <si>
    <t>Fan Speed Change - Pressure Change</t>
  </si>
  <si>
    <t>Fan Speed Change  - Qty Change</t>
  </si>
  <si>
    <t>Fan Speed Change - Power Change</t>
  </si>
  <si>
    <t>Fan Power 1</t>
  </si>
  <si>
    <t>FAN LAWS</t>
  </si>
  <si>
    <t>Added FAN LAWS</t>
  </si>
  <si>
    <t>NOTE:</t>
  </si>
  <si>
    <t>New pulley size</t>
  </si>
  <si>
    <t xml:space="preserve">Old pulley size </t>
  </si>
  <si>
    <t>Fan Speed 1 (Old Speed)</t>
  </si>
  <si>
    <t>Fan Speed 2 (New Speed)</t>
  </si>
  <si>
    <t>FAN PULLEY SIZE CHANGES</t>
  </si>
  <si>
    <t>MOTOR PULLEY SIZE CHANGES</t>
  </si>
  <si>
    <t>Motor Speed 1 (Old Speed)</t>
  </si>
  <si>
    <t>Motor Speed 2 (New Speed)</t>
  </si>
  <si>
    <t>Effect of auto compression</t>
  </si>
  <si>
    <t>G = gravitational acceleration m/s2 [9.79 m/s2]</t>
  </si>
  <si>
    <t>m/s²</t>
  </si>
  <si>
    <t>H = vertical depth metres [m]</t>
  </si>
  <si>
    <t>R = gas constant J/kgK [287 J/kgK]</t>
  </si>
  <si>
    <t>J/kgK</t>
  </si>
  <si>
    <t>T = absolute temperature [K]</t>
  </si>
  <si>
    <r>
      <t xml:space="preserve">Pe = absolute pressure at </t>
    </r>
    <r>
      <rPr>
        <b/>
        <u/>
        <sz val="10"/>
        <color indexed="10"/>
        <rFont val="Arial"/>
        <family val="2"/>
      </rPr>
      <t>End</t>
    </r>
    <r>
      <rPr>
        <b/>
        <sz val="10"/>
        <color indexed="10"/>
        <rFont val="Arial"/>
        <family val="2"/>
      </rPr>
      <t xml:space="preserve"> of column [kPa]</t>
    </r>
  </si>
  <si>
    <r>
      <t xml:space="preserve">Ps = absolute pressure at </t>
    </r>
    <r>
      <rPr>
        <b/>
        <u/>
        <sz val="10"/>
        <rFont val="Arial"/>
        <family val="2"/>
      </rPr>
      <t>Start</t>
    </r>
    <r>
      <rPr>
        <sz val="10"/>
        <rFont val="Arial"/>
        <family val="2"/>
      </rPr>
      <t xml:space="preserve"> of column [kPa]</t>
    </r>
  </si>
  <si>
    <t>Comp Air</t>
  </si>
  <si>
    <t>Added Comp Air Calcs</t>
  </si>
  <si>
    <r>
      <t>Z (</t>
    </r>
    <r>
      <rPr>
        <sz val="11"/>
        <rFont val="Calibri"/>
        <family val="2"/>
      </rPr>
      <t>ΔZ)</t>
    </r>
  </si>
  <si>
    <t xml:space="preserve">g = gravitational acceleration </t>
  </si>
  <si>
    <t>VRT = Phalaborwa</t>
  </si>
  <si>
    <t>Depth in m</t>
  </si>
  <si>
    <t>Geothemal Surface temp</t>
  </si>
  <si>
    <t>Virgin rock temperature [Calc]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</si>
</sst>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6">
    <numFmt numFmtId="164" formatCode="&quot;R&quot;\ #,##0.00;&quot;R&quot;\ \-#,##0.00"/>
    <numFmt numFmtId="165" formatCode="_ &quot;R&quot;\ * #,##0.00_ ;_ &quot;R&quot;\ * \-#,##0.00_ ;_ &quot;R&quot;\ * &quot;-&quot;??_ ;_ @_ "/>
    <numFmt numFmtId="166" formatCode="[$-F800]dddd\,\ mmmm\ dd\,\ yyyy"/>
    <numFmt numFmtId="167" formatCode="0.0"/>
    <numFmt numFmtId="168" formatCode="0.0000"/>
    <numFmt numFmtId="169" formatCode="0.000"/>
    <numFmt numFmtId="170" formatCode="0.000000"/>
    <numFmt numFmtId="171" formatCode="0.0000_ ;\-0.0000\ "/>
    <numFmt numFmtId="172" formatCode="0.0_ ;\-0.0\ "/>
    <numFmt numFmtId="173" formatCode="0.00_ ;\-0.00\ "/>
    <numFmt numFmtId="174" formatCode="0.000_ ;\-0.000\ "/>
    <numFmt numFmtId="175" formatCode="0_ ;\-0\ "/>
    <numFmt numFmtId="176" formatCode="0.00000"/>
    <numFmt numFmtId="177" formatCode="\(\+0.0%\);\(\-0.0%\)"/>
    <numFmt numFmtId="178" formatCode="0.0000000"/>
    <numFmt numFmtId="179" formatCode="0.0000_)"/>
    <numFmt numFmtId="180" formatCode="General_)"/>
    <numFmt numFmtId="181" formatCode="[$R-1C09]\ #,##0.00"/>
    <numFmt numFmtId="182" formatCode="0.0_)"/>
    <numFmt numFmtId="183" formatCode="0.0%"/>
    <numFmt numFmtId="184" formatCode="_ [$R-1C09]\ * #,##0.00_ ;_ [$R-1C09]\ * \-#,##0.00_ ;_ [$R-1C09]\ * &quot;-&quot;??_ ;_ @_ "/>
    <numFmt numFmtId="185" formatCode="#,##0.0"/>
    <numFmt numFmtId="186" formatCode="[$-409]d\-mmm\-yy;@"/>
    <numFmt numFmtId="187" formatCode="m/d/yyyy;@"/>
    <numFmt numFmtId="188" formatCode="0.0000000000000000000000"/>
    <numFmt numFmtId="189" formatCode="0.0000000000"/>
  </numFmts>
  <fonts count="261">
    <font>
      <sz val="11"/>
      <color theme="1"/>
      <name val="Calibri"/>
      <family val="2"/>
      <scheme val="minor"/>
    </font>
    <font>
      <b/>
      <sz val="10"/>
      <color theme="0"/>
      <name val="Trebuchet MS"/>
      <family val="2"/>
    </font>
    <font>
      <sz val="10"/>
      <color theme="0"/>
      <name val="Trebuchet MS"/>
      <family val="2"/>
    </font>
    <font>
      <vertAlign val="superscript"/>
      <sz val="10"/>
      <color theme="0"/>
      <name val="Trebuchet MS"/>
      <family val="2"/>
    </font>
    <font>
      <sz val="10"/>
      <color theme="1"/>
      <name val="Trebuchet MS"/>
      <family val="2"/>
    </font>
    <font>
      <sz val="10"/>
      <name val="Trebuchet MS"/>
      <family val="2"/>
    </font>
    <font>
      <vertAlign val="subscript"/>
      <sz val="10"/>
      <color theme="0"/>
      <name val="Trebuchet MS"/>
      <family val="2"/>
    </font>
    <font>
      <b/>
      <sz val="10"/>
      <name val="Trebuchet MS"/>
      <family val="2"/>
    </font>
    <font>
      <b/>
      <sz val="10"/>
      <color theme="1"/>
      <name val="Trebuchet MS"/>
      <family val="2"/>
    </font>
    <font>
      <b/>
      <u/>
      <sz val="20"/>
      <color rgb="FF000066"/>
      <name val="Trebuchet MS"/>
      <family val="2"/>
    </font>
    <font>
      <b/>
      <sz val="10"/>
      <color rgb="FF0000CC"/>
      <name val="Trebuchet MS"/>
      <family val="2"/>
    </font>
    <font>
      <sz val="10"/>
      <color rgb="FF0000CC"/>
      <name val="Trebuchet MS"/>
      <family val="2"/>
    </font>
    <font>
      <sz val="11"/>
      <color theme="1"/>
      <name val="Calibri"/>
      <family val="2"/>
      <scheme val="minor"/>
    </font>
    <font>
      <sz val="16"/>
      <color theme="1"/>
      <name val="Trebuchet MS"/>
      <family val="2"/>
    </font>
    <font>
      <sz val="10"/>
      <color theme="0"/>
      <name val="Calibri"/>
      <family val="2"/>
    </font>
    <font>
      <b/>
      <sz val="10"/>
      <color rgb="FFFF0000"/>
      <name val="Trebuchet MS"/>
      <family val="2"/>
    </font>
    <font>
      <vertAlign val="superscript"/>
      <sz val="10"/>
      <color theme="1"/>
      <name val="Trebuchet MS"/>
      <family val="2"/>
    </font>
    <font>
      <vertAlign val="subscript"/>
      <sz val="10"/>
      <color theme="1"/>
      <name val="Trebuchet MS"/>
      <family val="2"/>
    </font>
    <font>
      <sz val="20"/>
      <color rgb="FF000066"/>
      <name val="Trebuchet MS"/>
      <family val="2"/>
    </font>
    <font>
      <sz val="10"/>
      <color rgb="FFFF0000"/>
      <name val="Trebuchet MS"/>
      <family val="2"/>
    </font>
    <font>
      <b/>
      <u/>
      <sz val="20"/>
      <color theme="0"/>
      <name val="Trebuchet MS"/>
      <family val="2"/>
    </font>
    <font>
      <b/>
      <u/>
      <sz val="16"/>
      <color theme="0"/>
      <name val="Trebuchet MS"/>
      <family val="2"/>
    </font>
    <font>
      <i/>
      <vertAlign val="superscript"/>
      <sz val="10"/>
      <color theme="1"/>
      <name val="Trebuchet MS"/>
      <family val="2"/>
    </font>
    <font>
      <i/>
      <sz val="10"/>
      <color theme="1"/>
      <name val="Trebuchet MS"/>
      <family val="2"/>
    </font>
    <font>
      <sz val="8"/>
      <color theme="1"/>
      <name val="Trebuchet MS"/>
      <family val="2"/>
    </font>
    <font>
      <b/>
      <sz val="8"/>
      <color theme="1"/>
      <name val="Trebuchet MS"/>
      <family val="2"/>
    </font>
    <font>
      <sz val="7"/>
      <color theme="1"/>
      <name val="Trebuchet MS"/>
      <family val="2"/>
    </font>
    <font>
      <vertAlign val="superscript"/>
      <sz val="8"/>
      <color theme="1"/>
      <name val="Trebuchet MS"/>
      <family val="2"/>
    </font>
    <font>
      <sz val="10"/>
      <color rgb="FF02AAEF"/>
      <name val="Trebuchet MS"/>
      <family val="2"/>
    </font>
    <font>
      <b/>
      <sz val="10"/>
      <color rgb="FF02AAEF"/>
      <name val="Trebuchet MS"/>
      <family val="2"/>
    </font>
    <font>
      <vertAlign val="superscript"/>
      <sz val="10"/>
      <color rgb="FF02AAEF"/>
      <name val="Trebuchet MS"/>
      <family val="2"/>
    </font>
    <font>
      <sz val="11"/>
      <color theme="0"/>
      <name val="Calibri"/>
      <family val="2"/>
      <scheme val="minor"/>
    </font>
    <font>
      <b/>
      <sz val="8"/>
      <color theme="0"/>
      <name val="Trebuchet MS"/>
      <family val="2"/>
    </font>
    <font>
      <b/>
      <vertAlign val="superscript"/>
      <sz val="10"/>
      <color theme="0"/>
      <name val="Trebuchet MS"/>
      <family val="2"/>
    </font>
    <font>
      <b/>
      <u/>
      <sz val="20"/>
      <color rgb="FF02AAEF"/>
      <name val="Trebuchet MS"/>
      <family val="2"/>
    </font>
    <font>
      <b/>
      <u/>
      <sz val="16"/>
      <color rgb="FF02AAEF"/>
      <name val="Trebuchet MS"/>
      <family val="2"/>
    </font>
    <font>
      <i/>
      <sz val="10"/>
      <color rgb="FF02AAEF"/>
      <name val="Trebuchet MS"/>
      <family val="2"/>
    </font>
    <font>
      <i/>
      <sz val="10"/>
      <color rgb="FFFF0000"/>
      <name val="Trebuchet MS"/>
      <family val="2"/>
    </font>
    <font>
      <b/>
      <sz val="16"/>
      <color theme="0"/>
      <name val="Trebuchet MS"/>
      <family val="2"/>
    </font>
    <font>
      <b/>
      <u/>
      <sz val="12"/>
      <color rgb="FF02AAEF"/>
      <name val="Trebuchet MS"/>
      <family val="2"/>
    </font>
    <font>
      <i/>
      <sz val="10"/>
      <color rgb="FF028EC6"/>
      <name val="Trebuchet MS"/>
      <family val="2"/>
    </font>
    <font>
      <b/>
      <i/>
      <u/>
      <sz val="10"/>
      <color rgb="FFFF0000"/>
      <name val="Trebuchet MS"/>
      <family val="2"/>
    </font>
    <font>
      <vertAlign val="subscript"/>
      <sz val="10"/>
      <color rgb="FFFF0000"/>
      <name val="Trebuchet MS"/>
      <family val="2"/>
    </font>
    <font>
      <b/>
      <sz val="14"/>
      <color rgb="FF02AAEF"/>
      <name val="Trebuchet MS"/>
      <family val="2"/>
    </font>
    <font>
      <b/>
      <vertAlign val="superscript"/>
      <sz val="10"/>
      <color theme="1"/>
      <name val="Trebuchet MS"/>
      <family val="2"/>
    </font>
    <font>
      <sz val="9"/>
      <color rgb="FF787878"/>
      <name val="Trebuchet MS"/>
      <family val="2"/>
    </font>
    <font>
      <sz val="11"/>
      <color rgb="FFFF0000"/>
      <name val="Trebuchet MS"/>
      <family val="2"/>
    </font>
    <font>
      <sz val="11"/>
      <color theme="1"/>
      <name val="Trebuchet MS"/>
      <family val="2"/>
    </font>
    <font>
      <sz val="10"/>
      <name val="MS Sans Serif"/>
      <family val="2"/>
    </font>
    <font>
      <sz val="8"/>
      <name val="MS Sans Serif"/>
      <family val="2"/>
    </font>
    <font>
      <b/>
      <sz val="10"/>
      <name val="MS Sans Serif"/>
      <family val="2"/>
    </font>
    <font>
      <sz val="12"/>
      <name val="Comic Sans MS"/>
      <family val="4"/>
    </font>
    <font>
      <b/>
      <sz val="10"/>
      <name val="Comic Sans MS"/>
      <family val="4"/>
    </font>
    <font>
      <sz val="10"/>
      <name val="Comic Sans MS"/>
      <family val="4"/>
    </font>
    <font>
      <b/>
      <sz val="16"/>
      <color indexed="40"/>
      <name val="Comic Sans MS"/>
      <family val="4"/>
    </font>
    <font>
      <sz val="10"/>
      <name val="Arial"/>
      <family val="2"/>
    </font>
    <font>
      <b/>
      <sz val="11"/>
      <name val="Arial"/>
      <family val="2"/>
      <charset val="178"/>
    </font>
    <font>
      <b/>
      <sz val="11"/>
      <name val="Comic Sans MS"/>
      <family val="4"/>
    </font>
    <font>
      <b/>
      <sz val="11"/>
      <color indexed="12"/>
      <name val="Comic Sans MS"/>
      <family val="4"/>
    </font>
    <font>
      <b/>
      <sz val="10"/>
      <color indexed="62"/>
      <name val="Comic Sans MS"/>
      <family val="4"/>
    </font>
    <font>
      <b/>
      <sz val="10"/>
      <color indexed="10"/>
      <name val="Comic Sans MS"/>
      <family val="4"/>
    </font>
    <font>
      <b/>
      <sz val="10"/>
      <color indexed="8"/>
      <name val="Comic Sans MS"/>
      <family val="4"/>
    </font>
    <font>
      <b/>
      <sz val="10"/>
      <color indexed="8"/>
      <name val="MS Sans Serif"/>
      <family val="2"/>
    </font>
    <font>
      <b/>
      <sz val="10"/>
      <color indexed="10"/>
      <name val="MS Sans Serif"/>
      <family val="2"/>
    </font>
    <font>
      <sz val="10"/>
      <color indexed="10"/>
      <name val="Comic Sans MS"/>
      <family val="4"/>
    </font>
    <font>
      <b/>
      <i/>
      <sz val="10"/>
      <color indexed="14"/>
      <name val="Times New Roman"/>
      <family val="1"/>
      <charset val="178"/>
    </font>
    <font>
      <b/>
      <i/>
      <sz val="11"/>
      <color indexed="12"/>
      <name val="Times New Roman"/>
      <family val="1"/>
    </font>
    <font>
      <b/>
      <sz val="12"/>
      <color indexed="12"/>
      <name val="NewBrunswick"/>
    </font>
    <font>
      <sz val="5"/>
      <name val="MS Sans Serif"/>
      <family val="2"/>
    </font>
    <font>
      <sz val="10"/>
      <name val="Arial"/>
      <family val="2"/>
    </font>
    <font>
      <b/>
      <sz val="8"/>
      <name val="Comic Sans MS"/>
      <family val="4"/>
    </font>
    <font>
      <b/>
      <u/>
      <sz val="8"/>
      <name val="Comic Sans MS"/>
      <family val="4"/>
    </font>
    <font>
      <sz val="8"/>
      <name val="Comic Sans MS"/>
      <family val="4"/>
    </font>
    <font>
      <b/>
      <u/>
      <sz val="14"/>
      <name val="Comic Sans MS"/>
      <family val="4"/>
    </font>
    <font>
      <b/>
      <sz val="12"/>
      <name val="Comic Sans MS"/>
      <family val="4"/>
    </font>
    <font>
      <b/>
      <sz val="8"/>
      <name val="Arial"/>
      <family val="2"/>
    </font>
    <font>
      <sz val="8"/>
      <name val="Arial"/>
      <family val="2"/>
    </font>
    <font>
      <b/>
      <u/>
      <sz val="8"/>
      <name val="Arial"/>
      <family val="2"/>
    </font>
    <font>
      <b/>
      <i/>
      <sz val="12"/>
      <name val="Arial"/>
      <family val="2"/>
    </font>
    <font>
      <b/>
      <sz val="10"/>
      <name val="Arial"/>
      <family val="2"/>
    </font>
    <font>
      <b/>
      <sz val="9"/>
      <name val="Arial"/>
      <family val="2"/>
    </font>
    <font>
      <b/>
      <sz val="12"/>
      <name val="Arial"/>
      <family val="2"/>
    </font>
    <font>
      <b/>
      <sz val="10"/>
      <color indexed="81"/>
      <name val="Tahoma"/>
      <family val="2"/>
    </font>
    <font>
      <sz val="10"/>
      <color indexed="81"/>
      <name val="Tahoma"/>
      <family val="2"/>
    </font>
    <font>
      <sz val="10"/>
      <color indexed="10"/>
      <name val="Tahoma"/>
      <family val="2"/>
    </font>
    <font>
      <b/>
      <sz val="12"/>
      <color indexed="81"/>
      <name val="Tahoma"/>
      <family val="2"/>
    </font>
    <font>
      <b/>
      <sz val="12"/>
      <color indexed="81"/>
      <name val="Arial"/>
      <family val="2"/>
    </font>
    <font>
      <b/>
      <sz val="10.199999999999999"/>
      <color indexed="81"/>
      <name val="Tahoma"/>
      <family val="2"/>
    </font>
    <font>
      <sz val="10.199999999999999"/>
      <color indexed="81"/>
      <name val="Tahoma"/>
      <family val="2"/>
    </font>
    <font>
      <sz val="10.199999999999999"/>
      <color indexed="10"/>
      <name val="Tahoma"/>
      <family val="2"/>
    </font>
    <font>
      <sz val="12"/>
      <color indexed="81"/>
      <name val="Tahoma"/>
      <family val="2"/>
    </font>
    <font>
      <sz val="12"/>
      <color indexed="10"/>
      <name val="Tahoma"/>
      <family val="2"/>
    </font>
    <font>
      <b/>
      <sz val="8"/>
      <color indexed="81"/>
      <name val="Tahoma"/>
      <family val="2"/>
    </font>
    <font>
      <sz val="8"/>
      <color indexed="81"/>
      <name val="Tahoma"/>
      <family val="2"/>
    </font>
    <font>
      <b/>
      <sz val="10"/>
      <color indexed="17"/>
      <name val="Tahoma"/>
      <family val="2"/>
    </font>
    <font>
      <b/>
      <sz val="10"/>
      <color indexed="10"/>
      <name val="Tahoma"/>
      <family val="2"/>
    </font>
    <font>
      <b/>
      <u/>
      <sz val="11"/>
      <name val="Arial"/>
      <family val="2"/>
    </font>
    <font>
      <sz val="11"/>
      <name val="Arial"/>
      <family val="2"/>
    </font>
    <font>
      <sz val="12"/>
      <name val="Arial"/>
      <family val="2"/>
    </font>
    <font>
      <b/>
      <u/>
      <sz val="11"/>
      <color indexed="62"/>
      <name val="Arial"/>
      <family val="2"/>
    </font>
    <font>
      <b/>
      <u/>
      <sz val="11"/>
      <color indexed="10"/>
      <name val="Arial"/>
      <family val="2"/>
    </font>
    <font>
      <b/>
      <u/>
      <sz val="12"/>
      <name val="Arial"/>
      <family val="2"/>
    </font>
    <font>
      <vertAlign val="subscript"/>
      <sz val="11"/>
      <name val="Arial"/>
      <family val="2"/>
    </font>
    <font>
      <vertAlign val="superscript"/>
      <sz val="11"/>
      <name val="Arial"/>
      <family val="2"/>
    </font>
    <font>
      <b/>
      <u/>
      <sz val="10"/>
      <name val="Arial"/>
      <family val="2"/>
    </font>
    <font>
      <b/>
      <sz val="10"/>
      <color indexed="10"/>
      <name val="Arial"/>
      <family val="2"/>
    </font>
    <font>
      <b/>
      <sz val="11"/>
      <name val="Arial"/>
      <family val="2"/>
    </font>
    <font>
      <sz val="11"/>
      <color indexed="8"/>
      <name val="Arial"/>
      <family val="2"/>
    </font>
    <font>
      <vertAlign val="superscript"/>
      <sz val="11"/>
      <color indexed="8"/>
      <name val="Arial"/>
      <family val="2"/>
    </font>
    <font>
      <b/>
      <sz val="11"/>
      <color indexed="8"/>
      <name val="Arial"/>
      <family val="2"/>
    </font>
    <font>
      <b/>
      <u/>
      <sz val="11"/>
      <color indexed="8"/>
      <name val="Arial"/>
      <family val="2"/>
    </font>
    <font>
      <sz val="11"/>
      <name val="Symbol"/>
      <family val="1"/>
      <charset val="2"/>
    </font>
    <font>
      <sz val="11"/>
      <color rgb="FF000000"/>
      <name val="Arial"/>
      <family val="2"/>
    </font>
    <font>
      <b/>
      <sz val="14"/>
      <name val="Arial"/>
      <family val="2"/>
    </font>
    <font>
      <b/>
      <sz val="10"/>
      <color indexed="12"/>
      <name val="Arial"/>
      <family val="2"/>
    </font>
    <font>
      <b/>
      <vertAlign val="superscript"/>
      <sz val="8"/>
      <name val="Arial"/>
      <family val="2"/>
    </font>
    <font>
      <b/>
      <sz val="10"/>
      <name val="Calibri"/>
      <family val="2"/>
    </font>
    <font>
      <b/>
      <sz val="8.5"/>
      <name val="Arial"/>
      <family val="2"/>
    </font>
    <font>
      <sz val="16"/>
      <name val="Arial"/>
      <family val="2"/>
    </font>
    <font>
      <b/>
      <sz val="18"/>
      <name val="Arial"/>
      <family val="2"/>
    </font>
    <font>
      <b/>
      <sz val="16"/>
      <name val="Arial"/>
      <family val="2"/>
    </font>
    <font>
      <b/>
      <sz val="20"/>
      <name val="Arial"/>
      <family val="2"/>
    </font>
    <font>
      <sz val="7"/>
      <name val="Times New Roman"/>
      <family val="1"/>
    </font>
    <font>
      <b/>
      <sz val="12"/>
      <color indexed="10"/>
      <name val="Arial"/>
      <family val="2"/>
    </font>
    <font>
      <sz val="5"/>
      <name val="Arial"/>
      <family val="2"/>
    </font>
    <font>
      <b/>
      <u/>
      <sz val="16"/>
      <name val="Arial"/>
      <family val="2"/>
    </font>
    <font>
      <vertAlign val="superscript"/>
      <sz val="10"/>
      <name val="Arial"/>
      <family val="2"/>
    </font>
    <font>
      <b/>
      <sz val="10"/>
      <color indexed="57"/>
      <name val="Arial"/>
      <family val="2"/>
    </font>
    <font>
      <b/>
      <sz val="10"/>
      <color indexed="13"/>
      <name val="Arial"/>
      <family val="2"/>
    </font>
    <font>
      <b/>
      <sz val="10"/>
      <color indexed="53"/>
      <name val="Arial"/>
      <family val="2"/>
    </font>
    <font>
      <sz val="10"/>
      <name val="Calibri"/>
      <family val="2"/>
    </font>
    <font>
      <b/>
      <u/>
      <sz val="18"/>
      <color indexed="10"/>
      <name val="Arial"/>
      <family val="2"/>
    </font>
    <font>
      <sz val="10"/>
      <color indexed="12"/>
      <name val="Arial"/>
      <family val="2"/>
    </font>
    <font>
      <sz val="10"/>
      <color indexed="10"/>
      <name val="Arial"/>
      <family val="2"/>
    </font>
    <font>
      <sz val="10"/>
      <color indexed="9"/>
      <name val="Arial"/>
      <family val="2"/>
    </font>
    <font>
      <b/>
      <vertAlign val="superscript"/>
      <sz val="12"/>
      <color indexed="10"/>
      <name val="Arial"/>
      <family val="2"/>
    </font>
    <font>
      <sz val="10"/>
      <name val="Symbol"/>
      <family val="1"/>
      <charset val="2"/>
    </font>
    <font>
      <sz val="8"/>
      <color indexed="8"/>
      <name val="Arial"/>
      <family val="2"/>
    </font>
    <font>
      <vertAlign val="superscript"/>
      <sz val="8"/>
      <color indexed="8"/>
      <name val="Arial"/>
      <family val="2"/>
    </font>
    <font>
      <sz val="11"/>
      <name val="Calibri"/>
      <family val="2"/>
    </font>
    <font>
      <b/>
      <vertAlign val="superscript"/>
      <sz val="10"/>
      <color indexed="10"/>
      <name val="Arial"/>
      <family val="2"/>
    </font>
    <font>
      <b/>
      <sz val="12"/>
      <name val="Calibri"/>
      <family val="2"/>
    </font>
    <font>
      <b/>
      <sz val="10.199999999999999"/>
      <name val="Arial"/>
      <family val="2"/>
    </font>
    <font>
      <b/>
      <sz val="16"/>
      <color indexed="8"/>
      <name val="Arial"/>
      <family val="2"/>
    </font>
    <font>
      <sz val="10"/>
      <color theme="0"/>
      <name val="Arial"/>
      <family val="2"/>
    </font>
    <font>
      <b/>
      <sz val="10"/>
      <color indexed="14"/>
      <name val="Arial"/>
      <family val="2"/>
    </font>
    <font>
      <sz val="10"/>
      <name val="Times New Roman"/>
      <family val="1"/>
    </font>
    <font>
      <b/>
      <sz val="9"/>
      <color indexed="10"/>
      <name val="Arial"/>
      <family val="2"/>
    </font>
    <font>
      <sz val="9"/>
      <color indexed="10"/>
      <name val="Arial"/>
      <family val="2"/>
    </font>
    <font>
      <sz val="10"/>
      <color indexed="8"/>
      <name val="Arial"/>
      <family val="2"/>
    </font>
    <font>
      <b/>
      <sz val="8"/>
      <color indexed="12"/>
      <name val="Arial"/>
      <family val="2"/>
    </font>
    <font>
      <sz val="8"/>
      <color indexed="9"/>
      <name val="Arial"/>
      <family val="2"/>
    </font>
    <font>
      <b/>
      <sz val="8"/>
      <color indexed="8"/>
      <name val="Arial"/>
      <family val="2"/>
    </font>
    <font>
      <vertAlign val="superscript"/>
      <sz val="8"/>
      <color indexed="9"/>
      <name val="Arial"/>
      <family val="2"/>
    </font>
    <font>
      <vertAlign val="subscript"/>
      <sz val="8"/>
      <color indexed="9"/>
      <name val="Arial"/>
      <family val="2"/>
    </font>
    <font>
      <sz val="8"/>
      <color indexed="10"/>
      <name val="Arial"/>
      <family val="2"/>
    </font>
    <font>
      <u/>
      <sz val="10"/>
      <color indexed="12"/>
      <name val="Arial"/>
      <family val="2"/>
    </font>
    <font>
      <b/>
      <u/>
      <sz val="8"/>
      <color indexed="12"/>
      <name val="Arial"/>
      <family val="2"/>
    </font>
    <font>
      <b/>
      <sz val="6"/>
      <name val="Arial"/>
      <family val="2"/>
    </font>
    <font>
      <b/>
      <sz val="11"/>
      <color theme="1"/>
      <name val="Calibri"/>
      <family val="2"/>
      <scheme val="minor"/>
    </font>
    <font>
      <sz val="10"/>
      <color rgb="FFFF0000"/>
      <name val="Arial"/>
      <family val="2"/>
    </font>
    <font>
      <sz val="10"/>
      <color indexed="17"/>
      <name val="Tahoma"/>
      <family val="2"/>
    </font>
    <font>
      <vertAlign val="superscript"/>
      <sz val="11"/>
      <color theme="1"/>
      <name val="Calibri"/>
      <family val="2"/>
      <scheme val="minor"/>
    </font>
    <font>
      <sz val="20"/>
      <color theme="1"/>
      <name val="Calibri"/>
      <family val="2"/>
      <scheme val="minor"/>
    </font>
    <font>
      <b/>
      <sz val="16"/>
      <color theme="1"/>
      <name val="Calibri"/>
      <family val="2"/>
      <scheme val="minor"/>
    </font>
    <font>
      <sz val="22"/>
      <color theme="1"/>
      <name val="Calibri"/>
      <family val="2"/>
      <scheme val="minor"/>
    </font>
    <font>
      <b/>
      <sz val="20"/>
      <color theme="1"/>
      <name val="Calibri"/>
      <family val="2"/>
      <scheme val="minor"/>
    </font>
    <font>
      <sz val="12"/>
      <color indexed="81"/>
      <name val="Arial"/>
      <family val="2"/>
    </font>
    <font>
      <sz val="8"/>
      <color theme="0"/>
      <name val="Arial"/>
      <family val="2"/>
    </font>
    <font>
      <vertAlign val="subscript"/>
      <sz val="11"/>
      <color rgb="FF000000"/>
      <name val="Arial"/>
      <family val="2"/>
    </font>
    <font>
      <vertAlign val="subscript"/>
      <sz val="10"/>
      <name val="Arial"/>
      <family val="2"/>
    </font>
    <font>
      <b/>
      <sz val="9"/>
      <color indexed="81"/>
      <name val="Tahoma"/>
      <family val="2"/>
    </font>
    <font>
      <sz val="9"/>
      <color indexed="81"/>
      <name val="Tahoma"/>
      <family val="2"/>
    </font>
    <font>
      <b/>
      <sz val="13"/>
      <name val="Arial"/>
      <family val="2"/>
    </font>
    <font>
      <b/>
      <sz val="11"/>
      <color indexed="10"/>
      <name val="Calibri"/>
      <family val="2"/>
    </font>
    <font>
      <sz val="11"/>
      <color indexed="10"/>
      <name val="Calibri"/>
      <family val="2"/>
    </font>
    <font>
      <b/>
      <sz val="11"/>
      <color indexed="8"/>
      <name val="Calibri"/>
      <family val="2"/>
    </font>
    <font>
      <b/>
      <sz val="10"/>
      <color rgb="FFFF0000"/>
      <name val="Arial"/>
      <family val="2"/>
    </font>
    <font>
      <b/>
      <sz val="8"/>
      <color theme="0"/>
      <name val="Arial"/>
      <family val="2"/>
    </font>
    <font>
      <b/>
      <sz val="8"/>
      <color rgb="FF0000FF"/>
      <name val="Arial"/>
      <family val="2"/>
    </font>
    <font>
      <sz val="10"/>
      <name val="Arial"/>
      <family val="2"/>
    </font>
    <font>
      <b/>
      <sz val="11"/>
      <color rgb="FFFF0000"/>
      <name val="Arial"/>
      <family val="2"/>
    </font>
    <font>
      <b/>
      <sz val="11"/>
      <color rgb="FF7030A0"/>
      <name val="Arial"/>
      <family val="2"/>
    </font>
    <font>
      <b/>
      <sz val="12"/>
      <color indexed="8"/>
      <name val="Arial"/>
      <family val="2"/>
    </font>
    <font>
      <b/>
      <vertAlign val="superscript"/>
      <sz val="10"/>
      <name val="Arial"/>
      <family val="2"/>
    </font>
    <font>
      <sz val="10"/>
      <color rgb="FF000000"/>
      <name val="Arial"/>
      <family val="2"/>
    </font>
    <font>
      <sz val="10"/>
      <color theme="1"/>
      <name val="Arial"/>
      <family val="2"/>
    </font>
    <font>
      <sz val="16"/>
      <color theme="1"/>
      <name val="Arial"/>
      <family val="2"/>
    </font>
    <font>
      <sz val="11"/>
      <color rgb="FFFF0000"/>
      <name val="Arial"/>
      <family val="2"/>
    </font>
    <font>
      <sz val="11"/>
      <color theme="1"/>
      <name val="Arial"/>
      <family val="2"/>
    </font>
    <font>
      <vertAlign val="superscript"/>
      <sz val="11"/>
      <color theme="1"/>
      <name val="Arial"/>
      <family val="2"/>
    </font>
    <font>
      <sz val="12"/>
      <color theme="1"/>
      <name val="Arial"/>
      <family val="2"/>
    </font>
    <font>
      <i/>
      <sz val="11"/>
      <color theme="1"/>
      <name val="Inherit"/>
    </font>
    <font>
      <u/>
      <sz val="9.8000000000000007"/>
      <color theme="10"/>
      <name val="Arial"/>
      <family val="2"/>
    </font>
    <font>
      <b/>
      <sz val="10"/>
      <color theme="1"/>
      <name val="Arial"/>
      <family val="2"/>
    </font>
    <font>
      <u/>
      <sz val="10"/>
      <color theme="1"/>
      <name val="Arial"/>
      <family val="2"/>
    </font>
    <font>
      <sz val="14"/>
      <name val="Arial"/>
      <family val="2"/>
    </font>
    <font>
      <b/>
      <sz val="12"/>
      <color theme="1"/>
      <name val="Calibri"/>
      <family val="2"/>
      <scheme val="minor"/>
    </font>
    <font>
      <b/>
      <sz val="36"/>
      <color theme="1"/>
      <name val="Arial"/>
      <family val="2"/>
    </font>
    <font>
      <b/>
      <sz val="22"/>
      <name val="Arial"/>
      <family val="2"/>
    </font>
    <font>
      <b/>
      <sz val="14"/>
      <color theme="1"/>
      <name val="Arial"/>
      <family val="2"/>
    </font>
    <font>
      <sz val="14"/>
      <color theme="1"/>
      <name val="Arial"/>
      <family val="2"/>
    </font>
    <font>
      <sz val="18"/>
      <name val="Arial"/>
      <family val="2"/>
    </font>
    <font>
      <b/>
      <sz val="13"/>
      <name val="Calibri"/>
      <family val="2"/>
    </font>
    <font>
      <b/>
      <sz val="14"/>
      <color indexed="10"/>
      <name val="Arial"/>
      <family val="2"/>
    </font>
    <font>
      <b/>
      <u/>
      <sz val="14"/>
      <color indexed="10"/>
      <name val="Arial"/>
      <family val="2"/>
    </font>
    <font>
      <u/>
      <sz val="12"/>
      <name val="Arial"/>
      <family val="2"/>
    </font>
    <font>
      <sz val="8"/>
      <color theme="1"/>
      <name val="Calibri"/>
      <family val="2"/>
      <scheme val="minor"/>
    </font>
    <font>
      <b/>
      <sz val="10"/>
      <color rgb="FFFFFF00"/>
      <name val="Arial"/>
      <family val="2"/>
    </font>
    <font>
      <b/>
      <sz val="10"/>
      <color rgb="FF00B050"/>
      <name val="Arial"/>
      <family val="2"/>
    </font>
    <font>
      <sz val="10"/>
      <color theme="1"/>
      <name val="Calibri"/>
      <family val="2"/>
      <scheme val="minor"/>
    </font>
    <font>
      <b/>
      <sz val="11"/>
      <color indexed="81"/>
      <name val="Tahoma"/>
      <family val="2"/>
    </font>
    <font>
      <sz val="22"/>
      <name val="Arial"/>
      <family val="2"/>
    </font>
    <font>
      <b/>
      <sz val="12"/>
      <color theme="1"/>
      <name val="Arial"/>
      <family val="2"/>
    </font>
    <font>
      <sz val="18"/>
      <color theme="1"/>
      <name val="Calibri"/>
      <family val="2"/>
      <scheme val="minor"/>
    </font>
    <font>
      <b/>
      <sz val="11"/>
      <color theme="1"/>
      <name val="Arial"/>
      <family val="2"/>
    </font>
    <font>
      <b/>
      <sz val="11"/>
      <color theme="1"/>
      <name val="Tahoma"/>
      <family val="2"/>
    </font>
    <font>
      <sz val="11"/>
      <color theme="1"/>
      <name val="Tahoma"/>
      <family val="2"/>
    </font>
    <font>
      <sz val="28"/>
      <name val="Arial"/>
      <family val="2"/>
    </font>
    <font>
      <sz val="18"/>
      <color rgb="FFFF0000"/>
      <name val="Trebuchet MS"/>
      <family val="2"/>
    </font>
    <font>
      <u/>
      <sz val="18"/>
      <color theme="10"/>
      <name val="Arial"/>
      <family val="2"/>
    </font>
    <font>
      <b/>
      <sz val="10"/>
      <color rgb="FF00B0F0"/>
      <name val="Arial"/>
      <family val="2"/>
    </font>
    <font>
      <b/>
      <sz val="10"/>
      <color rgb="FF006600"/>
      <name val="Arial"/>
      <family val="2"/>
    </font>
    <font>
      <b/>
      <sz val="14"/>
      <color theme="1"/>
      <name val="Calibri"/>
      <family val="2"/>
      <scheme val="minor"/>
    </font>
    <font>
      <b/>
      <sz val="11"/>
      <name val="Calibri"/>
      <family val="2"/>
      <scheme val="minor"/>
    </font>
    <font>
      <sz val="14"/>
      <color rgb="FF222222"/>
      <name val="Arial"/>
      <family val="2"/>
    </font>
    <font>
      <sz val="10"/>
      <name val="Arial"/>
      <family val="2"/>
    </font>
    <font>
      <sz val="11"/>
      <name val="Calibri"/>
      <family val="2"/>
      <scheme val="minor"/>
    </font>
    <font>
      <vertAlign val="superscript"/>
      <sz val="9"/>
      <color indexed="81"/>
      <name val="Tahoma"/>
      <family val="2"/>
    </font>
    <font>
      <b/>
      <sz val="10"/>
      <color indexed="10"/>
      <name val="Wingdings 3"/>
      <family val="1"/>
      <charset val="2"/>
    </font>
    <font>
      <vertAlign val="subscript"/>
      <sz val="11"/>
      <color theme="1"/>
      <name val="Arial"/>
      <family val="2"/>
    </font>
    <font>
      <b/>
      <vertAlign val="superscript"/>
      <sz val="11"/>
      <color theme="1"/>
      <name val="Arial"/>
      <family val="2"/>
    </font>
    <font>
      <b/>
      <sz val="18"/>
      <color theme="1"/>
      <name val="Calibri"/>
      <family val="2"/>
      <scheme val="minor"/>
    </font>
    <font>
      <b/>
      <sz val="16"/>
      <color theme="1"/>
      <name val="Arial"/>
      <family val="2"/>
    </font>
    <font>
      <sz val="9"/>
      <color theme="1"/>
      <name val="Calibri"/>
      <family val="2"/>
      <scheme val="minor"/>
    </font>
    <font>
      <b/>
      <u/>
      <sz val="10"/>
      <color theme="0"/>
      <name val="Arial"/>
      <family val="2"/>
    </font>
    <font>
      <b/>
      <u/>
      <sz val="10"/>
      <color rgb="FF0000FF"/>
      <name val="Arial"/>
      <family val="2"/>
    </font>
    <font>
      <b/>
      <sz val="11"/>
      <color rgb="FF0000FF"/>
      <name val="Calibri"/>
      <family val="2"/>
      <scheme val="minor"/>
    </font>
    <font>
      <b/>
      <u/>
      <sz val="9.8000000000000007"/>
      <color theme="0"/>
      <name val="Arial"/>
      <family val="2"/>
    </font>
    <font>
      <sz val="8"/>
      <name val="Calibri"/>
      <family val="2"/>
      <scheme val="minor"/>
    </font>
    <font>
      <sz val="8"/>
      <color rgb="FF0000FF"/>
      <name val="Calibri"/>
      <family val="2"/>
      <scheme val="minor"/>
    </font>
    <font>
      <sz val="6"/>
      <name val="Arial"/>
      <family val="2"/>
    </font>
    <font>
      <sz val="12"/>
      <color theme="1"/>
      <name val="Calibri"/>
      <family val="2"/>
      <scheme val="minor"/>
    </font>
    <font>
      <sz val="12"/>
      <color theme="1"/>
      <name val="Calibri"/>
      <family val="2"/>
    </font>
    <font>
      <u/>
      <sz val="9.8000000000000007"/>
      <color rgb="FF0000FF"/>
      <name val="Arial"/>
      <family val="2"/>
    </font>
    <font>
      <b/>
      <sz val="7.5"/>
      <color indexed="18"/>
      <name val="Comic Sans MS"/>
      <family val="4"/>
    </font>
    <font>
      <b/>
      <sz val="7.5"/>
      <color indexed="9"/>
      <name val="MS Sans Serif"/>
      <family val="2"/>
    </font>
    <font>
      <b/>
      <sz val="11"/>
      <color rgb="FFFF0000"/>
      <name val="Comic Sans MS"/>
      <family val="4"/>
    </font>
    <font>
      <b/>
      <sz val="10"/>
      <color theme="0"/>
      <name val="Comic Sans MS"/>
      <family val="4"/>
    </font>
    <font>
      <sz val="10"/>
      <color theme="0"/>
      <name val="Comic Sans MS"/>
      <family val="4"/>
    </font>
    <font>
      <b/>
      <sz val="11"/>
      <color rgb="FFA800A8"/>
      <name val="Comic Sans MS"/>
      <family val="4"/>
    </font>
    <font>
      <b/>
      <sz val="8"/>
      <name val="MS Sans Serif"/>
      <family val="2"/>
    </font>
    <font>
      <u/>
      <sz val="8"/>
      <color theme="10"/>
      <name val="Arial"/>
      <family val="2"/>
    </font>
    <font>
      <u/>
      <sz val="8"/>
      <color rgb="FF0000FF"/>
      <name val="Arial"/>
      <family val="2"/>
    </font>
    <font>
      <sz val="8"/>
      <color theme="1"/>
      <name val="Arial"/>
      <family val="2"/>
    </font>
    <font>
      <sz val="8"/>
      <color rgb="FF0000FF"/>
      <name val="Arial"/>
      <family val="2"/>
    </font>
    <font>
      <b/>
      <u/>
      <sz val="10"/>
      <color indexed="10"/>
      <name val="Arial"/>
      <family val="2"/>
    </font>
    <font>
      <b/>
      <u/>
      <sz val="9.8000000000000007"/>
      <color rgb="FF0000FF"/>
      <name val="Arial"/>
      <family val="2"/>
    </font>
    <font>
      <sz val="10"/>
      <color theme="1" tint="0.499984740745262"/>
      <name val="Arial"/>
      <family val="2"/>
    </font>
    <font>
      <sz val="9"/>
      <color indexed="81"/>
      <name val="Tahoma"/>
      <charset val="1"/>
    </font>
    <font>
      <b/>
      <sz val="9"/>
      <color indexed="81"/>
      <name val="Tahoma"/>
      <charset val="1"/>
    </font>
  </fonts>
  <fills count="98">
    <fill>
      <patternFill patternType="none"/>
    </fill>
    <fill>
      <patternFill patternType="gray125"/>
    </fill>
    <fill>
      <patternFill patternType="solid">
        <fgColor rgb="FF000066"/>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1"/>
        <bgColor indexed="64"/>
      </patternFill>
    </fill>
    <fill>
      <patternFill patternType="solid">
        <fgColor theme="0"/>
        <bgColor indexed="64"/>
      </patternFill>
    </fill>
    <fill>
      <patternFill patternType="solid">
        <fgColor rgb="FF02AAEF"/>
        <bgColor indexed="64"/>
      </patternFill>
    </fill>
    <fill>
      <patternFill patternType="solid">
        <fgColor rgb="FFE1F6FF"/>
        <bgColor indexed="64"/>
      </patternFill>
    </fill>
    <fill>
      <patternFill patternType="solid">
        <fgColor indexed="15"/>
        <bgColor indexed="27"/>
      </patternFill>
    </fill>
    <fill>
      <patternFill patternType="solid">
        <fgColor indexed="13"/>
        <bgColor indexed="27"/>
      </patternFill>
    </fill>
    <fill>
      <patternFill patternType="solid">
        <fgColor indexed="42"/>
        <bgColor indexed="27"/>
      </patternFill>
    </fill>
    <fill>
      <patternFill patternType="solid">
        <fgColor indexed="44"/>
        <bgColor indexed="27"/>
      </patternFill>
    </fill>
    <fill>
      <patternFill patternType="solid">
        <fgColor indexed="9"/>
        <bgColor indexed="27"/>
      </patternFill>
    </fill>
    <fill>
      <patternFill patternType="solid">
        <fgColor indexed="42"/>
        <bgColor indexed="64"/>
      </patternFill>
    </fill>
    <fill>
      <patternFill patternType="solid">
        <fgColor indexed="43"/>
        <bgColor indexed="64"/>
      </patternFill>
    </fill>
    <fill>
      <patternFill patternType="solid">
        <fgColor rgb="FFFF6699"/>
        <bgColor indexed="64"/>
      </patternFill>
    </fill>
    <fill>
      <patternFill patternType="solid">
        <fgColor indexed="49"/>
        <bgColor indexed="64"/>
      </patternFill>
    </fill>
    <fill>
      <patternFill patternType="solid">
        <fgColor theme="5" tint="0.59996337778862885"/>
        <bgColor indexed="64"/>
      </patternFill>
    </fill>
    <fill>
      <patternFill patternType="solid">
        <fgColor indexed="41"/>
        <bgColor indexed="64"/>
      </patternFill>
    </fill>
    <fill>
      <patternFill patternType="solid">
        <fgColor theme="5" tint="0.59999389629810485"/>
        <bgColor indexed="64"/>
      </patternFill>
    </fill>
    <fill>
      <patternFill patternType="solid">
        <fgColor indexed="15"/>
        <bgColor indexed="64"/>
      </patternFill>
    </fill>
    <fill>
      <patternFill patternType="solid">
        <fgColor rgb="FF969696"/>
        <bgColor indexed="64"/>
      </patternFill>
    </fill>
    <fill>
      <patternFill patternType="solid">
        <fgColor indexed="55"/>
        <bgColor indexed="64"/>
      </patternFill>
    </fill>
    <fill>
      <patternFill patternType="solid">
        <fgColor indexed="50"/>
        <bgColor indexed="64"/>
      </patternFill>
    </fill>
    <fill>
      <patternFill patternType="solid">
        <fgColor indexed="31"/>
        <bgColor indexed="64"/>
      </patternFill>
    </fill>
    <fill>
      <patternFill patternType="solid">
        <fgColor indexed="11"/>
        <bgColor indexed="64"/>
      </patternFill>
    </fill>
    <fill>
      <patternFill patternType="solid">
        <fgColor indexed="47"/>
        <bgColor indexed="64"/>
      </patternFill>
    </fill>
    <fill>
      <patternFill patternType="solid">
        <fgColor indexed="13"/>
        <bgColor indexed="64"/>
      </patternFill>
    </fill>
    <fill>
      <patternFill patternType="solid">
        <fgColor indexed="46"/>
        <bgColor indexed="64"/>
      </patternFill>
    </fill>
    <fill>
      <patternFill patternType="solid">
        <fgColor indexed="22"/>
        <bgColor indexed="64"/>
      </patternFill>
    </fill>
    <fill>
      <patternFill patternType="solid">
        <fgColor indexed="40"/>
        <bgColor indexed="64"/>
      </patternFill>
    </fill>
    <fill>
      <patternFill patternType="solid">
        <fgColor indexed="51"/>
        <bgColor indexed="64"/>
      </patternFill>
    </fill>
    <fill>
      <patternFill patternType="solid">
        <fgColor rgb="FFE0B972"/>
        <bgColor indexed="64"/>
      </patternFill>
    </fill>
    <fill>
      <patternFill patternType="solid">
        <fgColor rgb="FFFFCC99"/>
        <bgColor indexed="64"/>
      </patternFill>
    </fill>
    <fill>
      <patternFill patternType="solid">
        <fgColor indexed="9"/>
        <bgColor indexed="64"/>
      </patternFill>
    </fill>
    <fill>
      <patternFill patternType="solid">
        <fgColor theme="1" tint="0.34998626667073579"/>
        <bgColor indexed="64"/>
      </patternFill>
    </fill>
    <fill>
      <patternFill patternType="solid">
        <fgColor rgb="FFFFFF00"/>
        <bgColor indexed="64"/>
      </patternFill>
    </fill>
    <fill>
      <patternFill patternType="solid">
        <fgColor indexed="27"/>
        <bgColor indexed="64"/>
      </patternFill>
    </fill>
    <fill>
      <patternFill patternType="solid">
        <fgColor rgb="FF99CCFF"/>
        <bgColor indexed="64"/>
      </patternFill>
    </fill>
    <fill>
      <patternFill patternType="solid">
        <fgColor rgb="FFFF9999"/>
        <bgColor indexed="64"/>
      </patternFill>
    </fill>
    <fill>
      <patternFill patternType="solid">
        <fgColor rgb="FFFFC000"/>
        <bgColor indexed="64"/>
      </patternFill>
    </fill>
    <fill>
      <patternFill patternType="solid">
        <fgColor indexed="10"/>
        <bgColor indexed="64"/>
      </patternFill>
    </fill>
    <fill>
      <patternFill patternType="solid">
        <fgColor rgb="FFCCFFFF"/>
        <bgColor indexed="64"/>
      </patternFill>
    </fill>
    <fill>
      <patternFill patternType="solid">
        <fgColor indexed="29"/>
        <bgColor indexed="64"/>
      </patternFill>
    </fill>
    <fill>
      <patternFill patternType="solid">
        <fgColor indexed="52"/>
        <bgColor indexed="64"/>
      </patternFill>
    </fill>
    <fill>
      <patternFill patternType="solid">
        <fgColor indexed="53"/>
        <bgColor indexed="64"/>
      </patternFill>
    </fill>
    <fill>
      <patternFill patternType="solid">
        <fgColor indexed="58"/>
        <bgColor indexed="64"/>
      </patternFill>
    </fill>
    <fill>
      <patternFill patternType="solid">
        <fgColor theme="5" tint="-0.24994659260841701"/>
        <bgColor indexed="64"/>
      </patternFill>
    </fill>
    <fill>
      <patternFill patternType="solid">
        <fgColor indexed="26"/>
        <bgColor indexed="64"/>
      </patternFill>
    </fill>
    <fill>
      <patternFill patternType="solid">
        <fgColor indexed="41"/>
        <bgColor indexed="24"/>
      </patternFill>
    </fill>
    <fill>
      <patternFill patternType="solid">
        <fgColor indexed="29"/>
        <bgColor indexed="29"/>
      </patternFill>
    </fill>
    <fill>
      <patternFill patternType="solid">
        <fgColor indexed="54"/>
        <bgColor indexed="64"/>
      </patternFill>
    </fill>
    <fill>
      <patternFill patternType="solid">
        <fgColor theme="7" tint="0.39994506668294322"/>
        <bgColor indexed="64"/>
      </patternFill>
    </fill>
    <fill>
      <patternFill patternType="solid">
        <fgColor rgb="FF00B0F0"/>
        <bgColor indexed="64"/>
      </patternFill>
    </fill>
    <fill>
      <patternFill patternType="solid">
        <fgColor theme="0" tint="-0.249977111117893"/>
        <bgColor indexed="64"/>
      </patternFill>
    </fill>
    <fill>
      <patternFill patternType="solid">
        <fgColor theme="2" tint="-0.499984740745262"/>
        <bgColor indexed="64"/>
      </patternFill>
    </fill>
    <fill>
      <patternFill patternType="solid">
        <fgColor theme="6" tint="0.39997558519241921"/>
        <bgColor indexed="64"/>
      </patternFill>
    </fill>
    <fill>
      <patternFill patternType="solid">
        <fgColor rgb="FFFFCCFF"/>
        <bgColor indexed="64"/>
      </patternFill>
    </fill>
    <fill>
      <patternFill patternType="solid">
        <fgColor theme="0" tint="-0.14999847407452621"/>
        <bgColor indexed="64"/>
      </patternFill>
    </fill>
    <fill>
      <patternFill patternType="solid">
        <fgColor rgb="FFFF9900"/>
        <bgColor indexed="64"/>
      </patternFill>
    </fill>
    <fill>
      <patternFill patternType="solid">
        <fgColor theme="9" tint="0.39997558519241921"/>
        <bgColor indexed="64"/>
      </patternFill>
    </fill>
    <fill>
      <patternFill patternType="solid">
        <fgColor rgb="FFFABF8F"/>
        <bgColor indexed="64"/>
      </patternFill>
    </fill>
    <fill>
      <patternFill patternType="solid">
        <fgColor theme="9" tint="-0.249977111117893"/>
        <bgColor indexed="64"/>
      </patternFill>
    </fill>
    <fill>
      <patternFill patternType="solid">
        <fgColor theme="9" tint="0.39994506668294322"/>
        <bgColor indexed="64"/>
      </patternFill>
    </fill>
    <fill>
      <patternFill patternType="solid">
        <fgColor rgb="FF92D050"/>
        <bgColor indexed="64"/>
      </patternFill>
    </fill>
    <fill>
      <patternFill patternType="solid">
        <fgColor rgb="FFCCFFCC"/>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1" tint="0.249977111117893"/>
        <bgColor indexed="64"/>
      </patternFill>
    </fill>
    <fill>
      <patternFill patternType="solid">
        <fgColor indexed="41"/>
        <bgColor indexed="9"/>
      </patternFill>
    </fill>
    <fill>
      <patternFill patternType="solid">
        <fgColor theme="3" tint="0.39997558519241921"/>
        <bgColor indexed="64"/>
      </patternFill>
    </fill>
    <fill>
      <patternFill patternType="solid">
        <fgColor rgb="FFFF5050"/>
        <bgColor indexed="64"/>
      </patternFill>
    </fill>
    <fill>
      <patternFill patternType="solid">
        <fgColor rgb="FFFFCC00"/>
        <bgColor indexed="64"/>
      </patternFill>
    </fill>
    <fill>
      <gradientFill degree="90">
        <stop position="0">
          <color theme="0"/>
        </stop>
        <stop position="1">
          <color theme="0" tint="-0.25098422193060094"/>
        </stop>
      </gradientFill>
    </fill>
    <fill>
      <patternFill patternType="solid">
        <fgColor rgb="FF99FF99"/>
        <bgColor indexed="64"/>
      </patternFill>
    </fill>
    <fill>
      <patternFill patternType="solid">
        <fgColor rgb="FFFFCC66"/>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0000FF"/>
        <bgColor indexed="64"/>
      </patternFill>
    </fill>
    <fill>
      <patternFill patternType="solid">
        <fgColor rgb="FFFF0066"/>
        <bgColor indexed="64"/>
      </patternFill>
    </fill>
    <fill>
      <patternFill patternType="solid">
        <fgColor rgb="FFFF3399"/>
        <bgColor indexed="64"/>
      </patternFill>
    </fill>
    <fill>
      <patternFill patternType="solid">
        <fgColor rgb="FF00FF00"/>
        <bgColor indexed="64"/>
      </patternFill>
    </fill>
    <fill>
      <patternFill patternType="solid">
        <fgColor rgb="FF333399"/>
        <bgColor indexed="64"/>
      </patternFill>
    </fill>
    <fill>
      <patternFill patternType="solid">
        <fgColor rgb="FF008080"/>
        <bgColor indexed="64"/>
      </patternFill>
    </fill>
    <fill>
      <patternFill patternType="solid">
        <fgColor rgb="FF800000"/>
        <bgColor indexed="64"/>
      </patternFill>
    </fill>
    <fill>
      <patternFill patternType="solid">
        <fgColor rgb="FF00CCFF"/>
        <bgColor indexed="64"/>
      </patternFill>
    </fill>
    <fill>
      <patternFill patternType="solid">
        <fgColor rgb="FF808000"/>
        <bgColor indexed="64"/>
      </patternFill>
    </fill>
    <fill>
      <patternFill patternType="solid">
        <fgColor rgb="FFFF0000"/>
        <bgColor indexed="64"/>
      </patternFill>
    </fill>
    <fill>
      <patternFill patternType="solid">
        <fgColor rgb="FFFFFF99"/>
        <bgColor indexed="64"/>
      </patternFill>
    </fill>
    <fill>
      <patternFill patternType="solid">
        <fgColor rgb="FF7030A0"/>
        <bgColor indexed="64"/>
      </patternFill>
    </fill>
    <fill>
      <patternFill patternType="solid">
        <fgColor rgb="FF336600"/>
        <bgColor indexed="64"/>
      </patternFill>
    </fill>
    <fill>
      <patternFill patternType="solid">
        <fgColor rgb="FFCC3300"/>
        <bgColor indexed="64"/>
      </patternFill>
    </fill>
    <fill>
      <patternFill patternType="solid">
        <fgColor rgb="FFCCFF33"/>
        <bgColor indexed="64"/>
      </patternFill>
    </fill>
    <fill>
      <patternFill patternType="solid">
        <fgColor rgb="FF99CC00"/>
        <bgColor indexed="64"/>
      </patternFill>
    </fill>
    <fill>
      <patternFill patternType="solid">
        <fgColor rgb="FFBA16AE"/>
        <bgColor indexed="64"/>
      </patternFill>
    </fill>
    <fill>
      <patternFill patternType="solid">
        <fgColor rgb="FFFFE6CD"/>
        <bgColor indexed="64"/>
      </patternFill>
    </fill>
  </fills>
  <borders count="25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bottom style="thin">
        <color theme="0"/>
      </bottom>
      <diagonal/>
    </border>
    <border>
      <left style="thin">
        <color theme="0"/>
      </left>
      <right/>
      <top style="thin">
        <color theme="0"/>
      </top>
      <bottom/>
      <diagonal/>
    </border>
    <border>
      <left/>
      <right/>
      <top style="thin">
        <color theme="0"/>
      </top>
      <bottom/>
      <diagonal/>
    </border>
    <border>
      <left style="thin">
        <color theme="0"/>
      </left>
      <right style="thin">
        <color theme="0"/>
      </right>
      <top/>
      <bottom/>
      <diagonal/>
    </border>
    <border>
      <left/>
      <right/>
      <top style="thin">
        <color theme="0"/>
      </top>
      <bottom style="thin">
        <color theme="0"/>
      </bottom>
      <diagonal/>
    </border>
    <border>
      <left/>
      <right style="thin">
        <color theme="0"/>
      </right>
      <top/>
      <bottom/>
      <diagonal/>
    </border>
    <border>
      <left style="thin">
        <color theme="0"/>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style="medium">
        <color indexed="64"/>
      </left>
      <right/>
      <top/>
      <bottom style="medium">
        <color indexed="64"/>
      </bottom>
      <diagonal/>
    </border>
    <border>
      <left style="thin">
        <color theme="0"/>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rgb="FF028EC6"/>
      </left>
      <right style="thin">
        <color rgb="FF028EC6"/>
      </right>
      <top style="thin">
        <color rgb="FF028EC6"/>
      </top>
      <bottom style="thin">
        <color rgb="FF028EC6"/>
      </bottom>
      <diagonal/>
    </border>
    <border>
      <left style="thin">
        <color rgb="FF028EC6"/>
      </left>
      <right style="thin">
        <color rgb="FF028EC6"/>
      </right>
      <top style="thin">
        <color rgb="FF028EC6"/>
      </top>
      <bottom/>
      <diagonal/>
    </border>
    <border>
      <left style="thin">
        <color rgb="FF028EC6"/>
      </left>
      <right style="thin">
        <color rgb="FF028EC6"/>
      </right>
      <top/>
      <bottom style="thin">
        <color rgb="FF028EC6"/>
      </bottom>
      <diagonal/>
    </border>
    <border>
      <left style="thin">
        <color theme="0"/>
      </left>
      <right style="thin">
        <color theme="0"/>
      </right>
      <top style="thin">
        <color rgb="FF028EC6"/>
      </top>
      <bottom style="thin">
        <color theme="0"/>
      </bottom>
      <diagonal/>
    </border>
    <border>
      <left style="thin">
        <color rgb="FF028EC6"/>
      </left>
      <right style="thin">
        <color theme="0"/>
      </right>
      <top style="thin">
        <color theme="0"/>
      </top>
      <bottom style="thin">
        <color theme="0"/>
      </bottom>
      <diagonal/>
    </border>
    <border>
      <left style="thin">
        <color theme="0"/>
      </left>
      <right style="thin">
        <color rgb="FF028EC6"/>
      </right>
      <top style="thin">
        <color theme="0"/>
      </top>
      <bottom style="thin">
        <color theme="0"/>
      </bottom>
      <diagonal/>
    </border>
    <border>
      <left style="thin">
        <color rgb="FF028EC6"/>
      </left>
      <right style="thin">
        <color theme="0"/>
      </right>
      <top style="thin">
        <color theme="0"/>
      </top>
      <bottom style="thin">
        <color rgb="FF028EC6"/>
      </bottom>
      <diagonal/>
    </border>
    <border>
      <left style="thin">
        <color theme="0"/>
      </left>
      <right style="thin">
        <color theme="0"/>
      </right>
      <top style="thin">
        <color theme="0"/>
      </top>
      <bottom style="thin">
        <color rgb="FF028EC6"/>
      </bottom>
      <diagonal/>
    </border>
    <border>
      <left style="thin">
        <color theme="0"/>
      </left>
      <right style="thin">
        <color rgb="FF028EC6"/>
      </right>
      <top style="thin">
        <color theme="0"/>
      </top>
      <bottom style="thin">
        <color rgb="FF028EC6"/>
      </bottom>
      <diagonal/>
    </border>
    <border>
      <left style="thin">
        <color rgb="FF028EC6"/>
      </left>
      <right/>
      <top style="thin">
        <color rgb="FF028EC6"/>
      </top>
      <bottom style="thin">
        <color rgb="FF028EC6"/>
      </bottom>
      <diagonal/>
    </border>
    <border>
      <left/>
      <right/>
      <top style="thin">
        <color rgb="FF028EC6"/>
      </top>
      <bottom style="thin">
        <color rgb="FF028EC6"/>
      </bottom>
      <diagonal/>
    </border>
    <border>
      <left/>
      <right style="thin">
        <color rgb="FF028EC6"/>
      </right>
      <top style="thin">
        <color rgb="FF028EC6"/>
      </top>
      <bottom style="thin">
        <color rgb="FF028EC6"/>
      </bottom>
      <diagonal/>
    </border>
    <border>
      <left style="thin">
        <color rgb="FF028EC6"/>
      </left>
      <right style="thin">
        <color theme="0"/>
      </right>
      <top style="thin">
        <color rgb="FF028EC6"/>
      </top>
      <bottom style="thin">
        <color theme="0"/>
      </bottom>
      <diagonal/>
    </border>
    <border>
      <left style="thin">
        <color theme="0"/>
      </left>
      <right style="thin">
        <color rgb="FF028EC6"/>
      </right>
      <top style="thin">
        <color rgb="FF028EC6"/>
      </top>
      <bottom style="thin">
        <color theme="0"/>
      </bottom>
      <diagonal/>
    </border>
    <border>
      <left style="thin">
        <color rgb="FF028EC6"/>
      </left>
      <right style="thin">
        <color rgb="FF028EC6"/>
      </right>
      <top/>
      <bottom/>
      <diagonal/>
    </border>
    <border>
      <left style="thin">
        <color theme="0"/>
      </left>
      <right style="thin">
        <color theme="0"/>
      </right>
      <top style="thin">
        <color rgb="FF028EC6"/>
      </top>
      <bottom/>
      <diagonal/>
    </border>
    <border>
      <left style="thin">
        <color theme="0"/>
      </left>
      <right/>
      <top style="thin">
        <color rgb="FF028EC6"/>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style="thin">
        <color theme="0"/>
      </top>
      <bottom style="thin">
        <color theme="0"/>
      </bottom>
      <diagonal/>
    </border>
    <border>
      <left/>
      <right/>
      <top style="medium">
        <color indexed="64"/>
      </top>
      <bottom/>
      <diagonal/>
    </border>
    <border>
      <left/>
      <right/>
      <top/>
      <bottom style="medium">
        <color indexed="64"/>
      </bottom>
      <diagonal/>
    </border>
    <border>
      <left/>
      <right style="medium">
        <color theme="1"/>
      </right>
      <top style="thin">
        <color theme="0"/>
      </top>
      <bottom style="thin">
        <color theme="0"/>
      </bottom>
      <diagonal/>
    </border>
    <border>
      <left/>
      <right style="medium">
        <color theme="1"/>
      </right>
      <top style="thin">
        <color theme="0"/>
      </top>
      <bottom/>
      <diagonal/>
    </border>
    <border>
      <left style="thin">
        <color theme="0"/>
      </left>
      <right style="medium">
        <color theme="1"/>
      </right>
      <top style="thin">
        <color theme="0"/>
      </top>
      <bottom style="medium">
        <color indexed="64"/>
      </bottom>
      <diagonal/>
    </border>
    <border>
      <left style="medium">
        <color indexed="64"/>
      </left>
      <right style="thin">
        <color theme="0"/>
      </right>
      <top style="thin">
        <color theme="0"/>
      </top>
      <bottom style="thin">
        <color theme="0"/>
      </bottom>
      <diagonal/>
    </border>
    <border>
      <left style="medium">
        <color indexed="64"/>
      </left>
      <right/>
      <top style="thin">
        <color theme="0"/>
      </top>
      <bottom style="thin">
        <color theme="0"/>
      </bottom>
      <diagonal/>
    </border>
    <border>
      <left/>
      <right/>
      <top style="medium">
        <color indexed="64"/>
      </top>
      <bottom style="thin">
        <color theme="0"/>
      </bottom>
      <diagonal/>
    </border>
    <border>
      <left/>
      <right style="thin">
        <color theme="0"/>
      </right>
      <top style="medium">
        <color indexed="64"/>
      </top>
      <bottom style="thin">
        <color theme="0"/>
      </bottom>
      <diagonal/>
    </border>
    <border>
      <left style="medium">
        <color indexed="64"/>
      </left>
      <right/>
      <top style="medium">
        <color indexed="64"/>
      </top>
      <bottom style="thin">
        <color theme="0"/>
      </bottom>
      <diagonal/>
    </border>
    <border>
      <left style="medium">
        <color indexed="64"/>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theme="1"/>
      </left>
      <right/>
      <top style="medium">
        <color indexed="64"/>
      </top>
      <bottom/>
      <diagonal/>
    </border>
    <border>
      <left style="medium">
        <color theme="1"/>
      </left>
      <right/>
      <top/>
      <bottom/>
      <diagonal/>
    </border>
    <border>
      <left style="medium">
        <color indexed="64"/>
      </left>
      <right/>
      <top/>
      <bottom/>
      <diagonal/>
    </border>
    <border>
      <left style="thin">
        <color theme="0"/>
      </left>
      <right/>
      <top style="medium">
        <color indexed="64"/>
      </top>
      <bottom/>
      <diagonal/>
    </border>
    <border>
      <left/>
      <right style="medium">
        <color indexed="64"/>
      </right>
      <top style="medium">
        <color indexed="64"/>
      </top>
      <bottom/>
      <diagonal/>
    </border>
    <border>
      <left style="thin">
        <color rgb="FF028EC6"/>
      </left>
      <right/>
      <top style="thin">
        <color rgb="FF028EC6"/>
      </top>
      <bottom/>
      <diagonal/>
    </border>
    <border>
      <left/>
      <right/>
      <top style="thin">
        <color rgb="FF028EC6"/>
      </top>
      <bottom/>
      <diagonal/>
    </border>
    <border>
      <left/>
      <right style="thin">
        <color rgb="FF028EC6"/>
      </right>
      <top style="thin">
        <color rgb="FF028EC6"/>
      </top>
      <bottom/>
      <diagonal/>
    </border>
    <border>
      <left style="thin">
        <color rgb="FF028EC6"/>
      </left>
      <right/>
      <top/>
      <bottom/>
      <diagonal/>
    </border>
    <border>
      <left/>
      <right style="thin">
        <color rgb="FF028EC6"/>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right style="hair">
        <color indexed="64"/>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style="hair">
        <color indexed="64"/>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right style="medium">
        <color indexed="64"/>
      </right>
      <top/>
      <bottom style="hair">
        <color indexed="64"/>
      </bottom>
      <diagonal/>
    </border>
    <border>
      <left style="medium">
        <color indexed="64"/>
      </left>
      <right style="hair">
        <color indexed="64"/>
      </right>
      <top/>
      <bottom style="medium">
        <color indexed="64"/>
      </bottom>
      <diagonal/>
    </border>
    <border>
      <left style="thin">
        <color indexed="64"/>
      </left>
      <right style="hair">
        <color indexed="64"/>
      </right>
      <top/>
      <bottom style="medium">
        <color indexed="64"/>
      </bottom>
      <diagonal/>
    </border>
    <border>
      <left/>
      <right style="hair">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right/>
      <top style="thin">
        <color indexed="64"/>
      </top>
      <bottom/>
      <diagonal/>
    </border>
    <border>
      <left/>
      <right style="thin">
        <color indexed="64"/>
      </right>
      <top style="medium">
        <color indexed="64"/>
      </top>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thin">
        <color indexed="64"/>
      </left>
      <right style="hair">
        <color indexed="64"/>
      </right>
      <top style="medium">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hair">
        <color indexed="64"/>
      </right>
      <top/>
      <bottom style="thin">
        <color indexed="64"/>
      </bottom>
      <diagonal/>
    </border>
    <border>
      <left style="hair">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medium">
        <color indexed="8"/>
      </left>
      <right style="medium">
        <color indexed="64"/>
      </right>
      <top style="medium">
        <color indexed="64"/>
      </top>
      <bottom/>
      <diagonal/>
    </border>
    <border>
      <left style="medium">
        <color indexed="8"/>
      </left>
      <right style="medium">
        <color indexed="64"/>
      </right>
      <top style="medium">
        <color indexed="8"/>
      </top>
      <bottom/>
      <diagonal/>
    </border>
    <border>
      <left style="medium">
        <color indexed="8"/>
      </left>
      <right/>
      <top style="medium">
        <color indexed="8"/>
      </top>
      <bottom style="medium">
        <color indexed="8"/>
      </bottom>
      <diagonal/>
    </border>
    <border>
      <left style="medium">
        <color indexed="64"/>
      </left>
      <right style="medium">
        <color indexed="8"/>
      </right>
      <top/>
      <bottom style="medium">
        <color indexed="64"/>
      </bottom>
      <diagonal/>
    </border>
    <border>
      <left style="thin">
        <color indexed="8"/>
      </left>
      <right style="thin">
        <color indexed="8"/>
      </right>
      <top style="thin">
        <color indexed="8"/>
      </top>
      <bottom style="thin">
        <color indexed="8"/>
      </bottom>
      <diagonal/>
    </border>
    <border>
      <left style="hair">
        <color indexed="64"/>
      </left>
      <right style="hair">
        <color indexed="64"/>
      </right>
      <top style="hair">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medium">
        <color indexed="64"/>
      </right>
      <top style="thin">
        <color indexed="64"/>
      </top>
      <bottom/>
      <diagonal/>
    </border>
    <border>
      <left style="thin">
        <color indexed="64"/>
      </left>
      <right/>
      <top style="medium">
        <color indexed="64"/>
      </top>
      <bottom/>
      <diagonal/>
    </border>
    <border>
      <left style="medium">
        <color indexed="64"/>
      </left>
      <right style="medium">
        <color indexed="64"/>
      </right>
      <top/>
      <bottom style="medium">
        <color indexed="64"/>
      </bottom>
      <diagonal/>
    </border>
    <border>
      <left/>
      <right style="thin">
        <color indexed="0"/>
      </right>
      <top/>
      <bottom/>
      <diagonal/>
    </border>
    <border>
      <left/>
      <right/>
      <top/>
      <bottom style="thin">
        <color indexed="0"/>
      </bottom>
      <diagonal/>
    </border>
    <border>
      <left/>
      <right/>
      <top style="thin">
        <color indexed="0"/>
      </top>
      <bottom/>
      <diagonal/>
    </border>
    <border>
      <left style="thin">
        <color indexed="0"/>
      </left>
      <right style="thin">
        <color indexed="0"/>
      </right>
      <top style="thin">
        <color indexed="0"/>
      </top>
      <bottom style="thin">
        <color indexed="0"/>
      </bottom>
      <diagonal/>
    </border>
    <border>
      <left/>
      <right style="thin">
        <color indexed="0"/>
      </right>
      <top style="thin">
        <color indexed="0"/>
      </top>
      <bottom/>
      <diagonal/>
    </border>
    <border>
      <left style="medium">
        <color indexed="64"/>
      </left>
      <right/>
      <top style="thin">
        <color indexed="0"/>
      </top>
      <bottom/>
      <diagonal/>
    </border>
    <border>
      <left style="medium">
        <color indexed="64"/>
      </left>
      <right/>
      <top/>
      <bottom style="thin">
        <color indexed="0"/>
      </bottom>
      <diagonal/>
    </border>
    <border>
      <left style="medium">
        <color indexed="64"/>
      </left>
      <right style="thin">
        <color indexed="64"/>
      </right>
      <top/>
      <bottom/>
      <diagonal/>
    </border>
    <border>
      <left style="thin">
        <color indexed="64"/>
      </left>
      <right/>
      <top/>
      <bottom style="medium">
        <color indexed="64"/>
      </bottom>
      <diagonal/>
    </border>
    <border>
      <left/>
      <right/>
      <top/>
      <bottom style="double">
        <color auto="1"/>
      </bottom>
      <diagonal/>
    </border>
    <border>
      <left style="double">
        <color auto="1"/>
      </left>
      <right style="thin">
        <color auto="1"/>
      </right>
      <top style="double">
        <color auto="1"/>
      </top>
      <bottom/>
      <diagonal/>
    </border>
    <border>
      <left style="thin">
        <color auto="1"/>
      </left>
      <right style="thin">
        <color indexed="64"/>
      </right>
      <top style="double">
        <color auto="1"/>
      </top>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diagonal/>
    </border>
    <border>
      <left/>
      <right style="double">
        <color auto="1"/>
      </right>
      <top style="double">
        <color auto="1"/>
      </top>
      <bottom/>
      <diagonal/>
    </border>
    <border>
      <left style="double">
        <color auto="1"/>
      </left>
      <right style="thin">
        <color auto="1"/>
      </right>
      <top/>
      <bottom/>
      <diagonal/>
    </border>
    <border>
      <left style="thin">
        <color auto="1"/>
      </left>
      <right style="double">
        <color auto="1"/>
      </right>
      <top/>
      <bottom/>
      <diagonal/>
    </border>
    <border>
      <left/>
      <right style="double">
        <color auto="1"/>
      </right>
      <top/>
      <bottom/>
      <diagonal/>
    </border>
    <border>
      <left style="double">
        <color auto="1"/>
      </left>
      <right/>
      <top style="medium">
        <color indexed="64"/>
      </top>
      <bottom style="medium">
        <color indexed="64"/>
      </bottom>
      <diagonal/>
    </border>
    <border>
      <left style="thin">
        <color indexed="64"/>
      </left>
      <right style="double">
        <color auto="1"/>
      </right>
      <top style="medium">
        <color indexed="64"/>
      </top>
      <bottom style="medium">
        <color indexed="64"/>
      </bottom>
      <diagonal/>
    </border>
    <border>
      <left style="double">
        <color auto="1"/>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double">
        <color auto="1"/>
      </right>
      <top/>
      <bottom style="thin">
        <color auto="1"/>
      </bottom>
      <diagonal/>
    </border>
    <border>
      <left/>
      <right style="double">
        <color auto="1"/>
      </right>
      <top/>
      <bottom style="thin">
        <color auto="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left>
      <right/>
      <top style="thin">
        <color theme="0"/>
      </top>
      <bottom style="thin">
        <color rgb="FF028EC6"/>
      </bottom>
      <diagonal/>
    </border>
    <border>
      <left/>
      <right/>
      <top style="thin">
        <color theme="0"/>
      </top>
      <bottom style="thin">
        <color rgb="FF028EC6"/>
      </bottom>
      <diagonal/>
    </border>
    <border>
      <left/>
      <right style="thin">
        <color theme="0"/>
      </right>
      <top style="thin">
        <color theme="0"/>
      </top>
      <bottom style="thin">
        <color rgb="FF028EC6"/>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style="thin">
        <color indexed="64"/>
      </right>
      <top/>
      <bottom style="thin">
        <color indexed="8"/>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bottom style="thin">
        <color indexed="64"/>
      </bottom>
      <diagonal/>
    </border>
    <border>
      <left style="hair">
        <color indexed="64"/>
      </left>
      <right style="medium">
        <color indexed="64"/>
      </right>
      <top/>
      <bottom style="medium">
        <color indexed="64"/>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ck">
        <color indexed="64"/>
      </left>
      <right/>
      <top style="thick">
        <color indexed="64"/>
      </top>
      <bottom/>
      <diagonal/>
    </border>
    <border>
      <left/>
      <right/>
      <top style="thick">
        <color indexed="64"/>
      </top>
      <bottom/>
      <diagonal/>
    </border>
    <border>
      <left/>
      <right style="medium">
        <color indexed="64"/>
      </right>
      <top style="thick">
        <color indexed="64"/>
      </top>
      <bottom/>
      <diagonal/>
    </border>
    <border>
      <left style="medium">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n">
        <color indexed="64"/>
      </left>
      <right style="thick">
        <color indexed="64"/>
      </right>
      <top style="thin">
        <color indexed="64"/>
      </top>
      <bottom style="thin">
        <color indexed="64"/>
      </bottom>
      <diagonal/>
    </border>
    <border>
      <left/>
      <right style="thick">
        <color indexed="64"/>
      </right>
      <top/>
      <bottom style="medium">
        <color indexed="64"/>
      </bottom>
      <diagonal/>
    </border>
    <border>
      <left/>
      <right style="thick">
        <color indexed="64"/>
      </right>
      <top style="medium">
        <color indexed="64"/>
      </top>
      <bottom/>
      <diagonal/>
    </border>
    <border>
      <left style="thick">
        <color indexed="64"/>
      </left>
      <right/>
      <top/>
      <bottom style="thick">
        <color indexed="64"/>
      </bottom>
      <diagonal/>
    </border>
    <border>
      <left style="medium">
        <color indexed="64"/>
      </left>
      <right/>
      <top/>
      <bottom style="thick">
        <color indexed="64"/>
      </bottom>
      <diagonal/>
    </border>
    <border>
      <left/>
      <right/>
      <top/>
      <bottom style="thick">
        <color indexed="64"/>
      </bottom>
      <diagonal/>
    </border>
    <border>
      <left/>
      <right style="medium">
        <color indexed="64"/>
      </right>
      <top/>
      <bottom style="thick">
        <color indexed="64"/>
      </bottom>
      <diagonal/>
    </border>
    <border>
      <left/>
      <right style="thick">
        <color indexed="64"/>
      </right>
      <top/>
      <bottom style="thick">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medium">
        <color indexed="64"/>
      </top>
      <bottom style="medium">
        <color indexed="64"/>
      </bottom>
      <diagonal/>
    </border>
    <border>
      <left style="thick">
        <color indexed="64"/>
      </left>
      <right/>
      <top/>
      <bottom style="medium">
        <color indexed="64"/>
      </bottom>
      <diagonal/>
    </border>
    <border>
      <left style="thick">
        <color indexed="64"/>
      </left>
      <right/>
      <top style="medium">
        <color indexed="64"/>
      </top>
      <bottom/>
      <diagonal/>
    </border>
    <border>
      <left style="thin">
        <color indexed="64"/>
      </left>
      <right style="hair">
        <color indexed="64"/>
      </right>
      <top style="medium">
        <color indexed="64"/>
      </top>
      <bottom/>
      <diagonal/>
    </border>
    <border>
      <left/>
      <right style="thick">
        <color indexed="64"/>
      </right>
      <top style="thin">
        <color indexed="64"/>
      </top>
      <bottom style="thin">
        <color indexed="64"/>
      </bottom>
      <diagonal/>
    </border>
    <border>
      <left/>
      <right style="thick">
        <color indexed="64"/>
      </right>
      <top style="thin">
        <color indexed="64"/>
      </top>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top style="medium">
        <color indexed="64"/>
      </top>
      <bottom style="thick">
        <color indexed="64"/>
      </bottom>
      <diagonal/>
    </border>
    <border>
      <left/>
      <right style="thin">
        <color indexed="64"/>
      </right>
      <top style="medium">
        <color indexed="64"/>
      </top>
      <bottom style="thick">
        <color indexed="64"/>
      </bottom>
      <diagonal/>
    </border>
    <border>
      <left style="thin">
        <color indexed="64"/>
      </left>
      <right/>
      <top style="medium">
        <color indexed="64"/>
      </top>
      <bottom style="thick">
        <color indexed="64"/>
      </bottom>
      <diagonal/>
    </border>
    <border>
      <left/>
      <right style="thick">
        <color indexed="64"/>
      </right>
      <top style="medium">
        <color indexed="64"/>
      </top>
      <bottom style="thick">
        <color indexed="64"/>
      </bottom>
      <diagonal/>
    </border>
    <border>
      <left/>
      <right style="thick">
        <color indexed="64"/>
      </right>
      <top style="thin">
        <color indexed="64"/>
      </top>
      <bottom style="medium">
        <color indexed="64"/>
      </bottom>
      <diagonal/>
    </border>
    <border>
      <left style="medium">
        <color indexed="64"/>
      </left>
      <right/>
      <top style="medium">
        <color indexed="64"/>
      </top>
      <bottom style="thick">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medium">
        <color indexed="64"/>
      </top>
      <bottom style="thin">
        <color indexed="64"/>
      </bottom>
      <diagonal/>
    </border>
    <border>
      <left/>
      <right style="thick">
        <color indexed="64"/>
      </right>
      <top style="medium">
        <color indexed="64"/>
      </top>
      <bottom style="thin">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s>
  <cellStyleXfs count="15">
    <xf numFmtId="0" fontId="0" fillId="0" borderId="0"/>
    <xf numFmtId="9" fontId="12" fillId="0" borderId="0" applyFont="0" applyFill="0" applyBorder="0" applyAlignment="0" applyProtection="0"/>
    <xf numFmtId="165" fontId="12" fillId="0" borderId="0" applyFont="0" applyFill="0" applyBorder="0" applyAlignment="0" applyProtection="0"/>
    <xf numFmtId="0" fontId="48" fillId="0" borderId="0"/>
    <xf numFmtId="0" fontId="55" fillId="0" borderId="0"/>
    <xf numFmtId="0" fontId="69" fillId="0" borderId="0"/>
    <xf numFmtId="0" fontId="98" fillId="0" borderId="0"/>
    <xf numFmtId="0" fontId="55" fillId="0" borderId="0"/>
    <xf numFmtId="0" fontId="156" fillId="0" borderId="0" applyNumberFormat="0" applyFill="0" applyBorder="0" applyAlignment="0" applyProtection="0">
      <alignment vertical="top"/>
      <protection locked="0"/>
    </xf>
    <xf numFmtId="0" fontId="55" fillId="0" borderId="0"/>
    <xf numFmtId="9" fontId="69" fillId="0" borderId="0" applyFont="0" applyFill="0" applyBorder="0" applyAlignment="0" applyProtection="0"/>
    <xf numFmtId="0" fontId="180" fillId="0" borderId="0"/>
    <xf numFmtId="0" fontId="193" fillId="0" borderId="0" applyNumberFormat="0" applyFill="0" applyBorder="0" applyAlignment="0" applyProtection="0">
      <alignment vertical="top"/>
      <protection locked="0"/>
    </xf>
    <xf numFmtId="0" fontId="226" fillId="0" borderId="0"/>
    <xf numFmtId="0" fontId="55" fillId="0" borderId="0"/>
  </cellStyleXfs>
  <cellXfs count="3304">
    <xf numFmtId="0" fontId="0" fillId="0" borderId="0" xfId="0"/>
    <xf numFmtId="0" fontId="2" fillId="2" borderId="1" xfId="0" applyFont="1" applyFill="1" applyBorder="1" applyAlignment="1" applyProtection="1">
      <alignment horizontal="center" vertical="center"/>
    </xf>
    <xf numFmtId="0" fontId="2" fillId="2" borderId="2" xfId="0" applyFont="1" applyFill="1" applyBorder="1" applyAlignment="1" applyProtection="1">
      <alignment horizontal="center" vertical="center"/>
    </xf>
    <xf numFmtId="0" fontId="1" fillId="2" borderId="2" xfId="0" applyFont="1" applyFill="1" applyBorder="1" applyAlignment="1" applyProtection="1">
      <alignment horizontal="center" vertical="center" wrapText="1"/>
    </xf>
    <xf numFmtId="1" fontId="5" fillId="4" borderId="2" xfId="0" applyNumberFormat="1" applyFont="1" applyFill="1" applyBorder="1" applyAlignment="1" applyProtection="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xf>
    <xf numFmtId="166" fontId="4" fillId="4" borderId="2" xfId="0" applyNumberFormat="1" applyFont="1" applyFill="1" applyBorder="1" applyAlignment="1">
      <alignment horizontal="left" vertical="center"/>
    </xf>
    <xf numFmtId="0" fontId="4" fillId="0" borderId="0" xfId="0" applyFont="1" applyAlignment="1">
      <alignment horizontal="left" vertical="center"/>
    </xf>
    <xf numFmtId="0" fontId="1" fillId="2" borderId="5" xfId="0" applyFont="1" applyFill="1" applyBorder="1" applyAlignment="1" applyProtection="1">
      <alignment horizontal="center" vertical="center"/>
    </xf>
    <xf numFmtId="0" fontId="1" fillId="2" borderId="8" xfId="0" applyFont="1" applyFill="1" applyBorder="1" applyAlignment="1" applyProtection="1">
      <alignment horizontal="left" vertical="center" wrapText="1"/>
    </xf>
    <xf numFmtId="0" fontId="1" fillId="2" borderId="8" xfId="0" applyFont="1" applyFill="1" applyBorder="1" applyAlignment="1" applyProtection="1">
      <alignment horizontal="left" vertical="center"/>
    </xf>
    <xf numFmtId="0" fontId="1" fillId="2" borderId="1" xfId="0" applyFont="1" applyFill="1" applyBorder="1" applyAlignment="1" applyProtection="1">
      <alignment horizontal="left" vertical="center" wrapText="1"/>
    </xf>
    <xf numFmtId="0" fontId="4" fillId="0" borderId="9" xfId="0" applyFont="1" applyBorder="1" applyAlignment="1" applyProtection="1">
      <alignment vertical="center" shrinkToFit="1"/>
    </xf>
    <xf numFmtId="0" fontId="4" fillId="0" borderId="0" xfId="0" applyFont="1" applyAlignment="1" applyProtection="1">
      <alignment vertical="center" shrinkToFit="1"/>
    </xf>
    <xf numFmtId="0" fontId="4" fillId="0" borderId="10" xfId="0" applyFont="1" applyBorder="1" applyAlignment="1" applyProtection="1">
      <alignment vertical="center" shrinkToFit="1"/>
    </xf>
    <xf numFmtId="166" fontId="4" fillId="4" borderId="2" xfId="0" applyNumberFormat="1" applyFont="1" applyFill="1" applyBorder="1" applyAlignment="1" applyProtection="1">
      <alignment horizontal="left" vertical="center" shrinkToFit="1"/>
    </xf>
    <xf numFmtId="0" fontId="4" fillId="0" borderId="9" xfId="0" applyFont="1" applyBorder="1" applyAlignment="1" applyProtection="1">
      <alignment horizontal="center" vertical="center" shrinkToFit="1"/>
    </xf>
    <xf numFmtId="0" fontId="4" fillId="0" borderId="13" xfId="0" applyFont="1" applyBorder="1" applyAlignment="1" applyProtection="1">
      <alignment vertical="center" shrinkToFit="1"/>
    </xf>
    <xf numFmtId="0" fontId="8" fillId="0" borderId="11" xfId="0" applyFont="1" applyBorder="1" applyAlignment="1" applyProtection="1">
      <alignment vertical="center"/>
    </xf>
    <xf numFmtId="0" fontId="4" fillId="0" borderId="12" xfId="0" applyFont="1" applyBorder="1" applyAlignment="1" applyProtection="1">
      <alignment vertical="center" shrinkToFit="1"/>
    </xf>
    <xf numFmtId="0" fontId="4" fillId="0" borderId="11" xfId="0" applyFont="1" applyBorder="1" applyAlignment="1" applyProtection="1">
      <alignment vertical="center" shrinkToFit="1"/>
    </xf>
    <xf numFmtId="0" fontId="4" fillId="0" borderId="11" xfId="0" applyFont="1" applyBorder="1" applyAlignment="1" applyProtection="1">
      <alignment horizontal="center" vertical="center" shrinkToFit="1"/>
    </xf>
    <xf numFmtId="0" fontId="4" fillId="0" borderId="17" xfId="0" applyFont="1" applyBorder="1" applyAlignment="1" applyProtection="1">
      <alignment vertical="center" shrinkToFit="1"/>
    </xf>
    <xf numFmtId="0" fontId="11" fillId="0" borderId="16" xfId="0" applyFont="1" applyBorder="1" applyAlignment="1" applyProtection="1">
      <alignment vertical="center"/>
    </xf>
    <xf numFmtId="0" fontId="13" fillId="0" borderId="0" xfId="0" applyFont="1" applyAlignment="1" applyProtection="1">
      <alignment vertical="center" shrinkToFit="1"/>
    </xf>
    <xf numFmtId="0" fontId="8" fillId="0" borderId="17" xfId="0" applyFont="1" applyBorder="1" applyAlignment="1" applyProtection="1">
      <alignment vertical="center"/>
    </xf>
    <xf numFmtId="0" fontId="14" fillId="2" borderId="2" xfId="0" applyFont="1" applyFill="1" applyBorder="1" applyAlignment="1" applyProtection="1">
      <alignment horizontal="center" vertical="center"/>
    </xf>
    <xf numFmtId="0" fontId="1" fillId="2" borderId="3" xfId="0" applyFont="1" applyFill="1" applyBorder="1" applyAlignment="1" applyProtection="1">
      <alignment vertical="center" wrapText="1"/>
    </xf>
    <xf numFmtId="0" fontId="1" fillId="2" borderId="6" xfId="0" applyFont="1" applyFill="1" applyBorder="1" applyAlignment="1" applyProtection="1">
      <alignment horizontal="center" vertical="center" wrapText="1"/>
    </xf>
    <xf numFmtId="1" fontId="5" fillId="0" borderId="2" xfId="0" applyNumberFormat="1" applyFont="1" applyFill="1" applyBorder="1" applyAlignment="1" applyProtection="1">
      <alignment horizontal="center" vertical="center"/>
    </xf>
    <xf numFmtId="0" fontId="4" fillId="0" borderId="0" xfId="0" applyFont="1" applyFill="1" applyAlignment="1">
      <alignment horizontal="center" vertical="center"/>
    </xf>
    <xf numFmtId="0" fontId="4" fillId="0" borderId="0" xfId="0" applyFont="1" applyFill="1" applyAlignment="1">
      <alignment horizontal="center" vertical="center" wrapText="1"/>
    </xf>
    <xf numFmtId="2" fontId="7" fillId="0" borderId="22" xfId="0" applyNumberFormat="1" applyFont="1" applyFill="1" applyBorder="1" applyAlignment="1" applyProtection="1">
      <alignment horizontal="center" vertical="center"/>
    </xf>
    <xf numFmtId="2" fontId="7" fillId="0" borderId="2" xfId="0" applyNumberFormat="1" applyFont="1" applyFill="1" applyBorder="1" applyAlignment="1" applyProtection="1">
      <alignment horizontal="center" vertical="center"/>
    </xf>
    <xf numFmtId="1" fontId="5" fillId="0" borderId="22" xfId="0" applyNumberFormat="1" applyFont="1" applyFill="1" applyBorder="1" applyAlignment="1" applyProtection="1">
      <alignment horizontal="center" vertical="center"/>
    </xf>
    <xf numFmtId="1" fontId="7" fillId="0" borderId="2" xfId="0" applyNumberFormat="1" applyFont="1" applyFill="1" applyBorder="1" applyAlignment="1" applyProtection="1">
      <alignment horizontal="center" vertical="center"/>
    </xf>
    <xf numFmtId="0" fontId="2" fillId="0" borderId="0" xfId="0" applyFont="1" applyAlignment="1" applyProtection="1">
      <alignment vertical="center" shrinkToFit="1"/>
    </xf>
    <xf numFmtId="0" fontId="4" fillId="0" borderId="0" xfId="0" applyFont="1" applyAlignment="1" applyProtection="1">
      <alignment horizontal="center" vertical="center"/>
    </xf>
    <xf numFmtId="0" fontId="4" fillId="4" borderId="2" xfId="0" applyFont="1" applyFill="1" applyBorder="1" applyAlignment="1" applyProtection="1">
      <alignment horizontal="left" vertical="center" shrinkToFit="1"/>
    </xf>
    <xf numFmtId="0" fontId="4" fillId="4" borderId="2" xfId="0" applyFont="1" applyFill="1" applyBorder="1" applyAlignment="1" applyProtection="1">
      <alignment horizontal="center" vertical="center" shrinkToFit="1"/>
    </xf>
    <xf numFmtId="168" fontId="4" fillId="4" borderId="2" xfId="0" applyNumberFormat="1" applyFont="1" applyFill="1" applyBorder="1" applyAlignment="1" applyProtection="1">
      <alignment horizontal="center" vertical="center" shrinkToFit="1"/>
    </xf>
    <xf numFmtId="167" fontId="4" fillId="4" borderId="2" xfId="0" applyNumberFormat="1" applyFont="1" applyFill="1" applyBorder="1" applyAlignment="1" applyProtection="1">
      <alignment horizontal="center" vertical="center" shrinkToFit="1"/>
    </xf>
    <xf numFmtId="1" fontId="4" fillId="4" borderId="2" xfId="0" applyNumberFormat="1" applyFont="1" applyFill="1" applyBorder="1" applyAlignment="1" applyProtection="1">
      <alignment horizontal="center" vertical="center" shrinkToFit="1"/>
    </xf>
    <xf numFmtId="0" fontId="4" fillId="4" borderId="2" xfId="0" applyFont="1" applyFill="1" applyBorder="1" applyAlignment="1" applyProtection="1">
      <alignment vertical="center" shrinkToFit="1"/>
    </xf>
    <xf numFmtId="169" fontId="4" fillId="4" borderId="2" xfId="0" applyNumberFormat="1" applyFont="1" applyFill="1" applyBorder="1" applyAlignment="1" applyProtection="1">
      <alignment horizontal="center" vertical="center" shrinkToFit="1"/>
    </xf>
    <xf numFmtId="171" fontId="4" fillId="4" borderId="2" xfId="0" applyNumberFormat="1" applyFont="1" applyFill="1" applyBorder="1" applyAlignment="1" applyProtection="1">
      <alignment horizontal="right" vertical="center" shrinkToFit="1"/>
    </xf>
    <xf numFmtId="0" fontId="16" fillId="4" borderId="2" xfId="0" applyFont="1" applyFill="1" applyBorder="1" applyAlignment="1" applyProtection="1">
      <alignment horizontal="center" vertical="center" shrinkToFit="1"/>
    </xf>
    <xf numFmtId="170" fontId="4" fillId="4" borderId="2" xfId="0" applyNumberFormat="1" applyFont="1" applyFill="1" applyBorder="1" applyAlignment="1" applyProtection="1">
      <alignment horizontal="center" vertical="center" shrinkToFit="1"/>
    </xf>
    <xf numFmtId="0" fontId="1" fillId="2" borderId="2" xfId="0" applyFont="1" applyFill="1" applyBorder="1" applyAlignment="1" applyProtection="1">
      <alignment horizontal="center" vertical="center"/>
    </xf>
    <xf numFmtId="166" fontId="18" fillId="0" borderId="2" xfId="0" applyNumberFormat="1" applyFont="1" applyFill="1" applyBorder="1" applyAlignment="1">
      <alignment horizontal="left" vertical="top"/>
    </xf>
    <xf numFmtId="166" fontId="18" fillId="0" borderId="2" xfId="0" applyNumberFormat="1" applyFont="1" applyFill="1" applyBorder="1" applyAlignment="1" applyProtection="1">
      <alignment horizontal="left" vertical="top" wrapText="1"/>
    </xf>
    <xf numFmtId="171" fontId="18" fillId="0" borderId="2" xfId="0" applyNumberFormat="1" applyFont="1" applyFill="1" applyBorder="1" applyAlignment="1" applyProtection="1">
      <alignment horizontal="center" vertical="center"/>
    </xf>
    <xf numFmtId="171" fontId="18" fillId="0" borderId="2" xfId="0" applyNumberFormat="1" applyFont="1" applyFill="1" applyBorder="1" applyAlignment="1" applyProtection="1">
      <alignment horizontal="center" vertical="center" wrapText="1"/>
    </xf>
    <xf numFmtId="167" fontId="5" fillId="4" borderId="2" xfId="0" applyNumberFormat="1" applyFont="1" applyFill="1" applyBorder="1" applyAlignment="1" applyProtection="1">
      <alignment horizontal="center" vertical="center"/>
    </xf>
    <xf numFmtId="0" fontId="0" fillId="0" borderId="0" xfId="0"/>
    <xf numFmtId="0" fontId="4" fillId="0" borderId="0" xfId="0" applyFont="1" applyAlignment="1">
      <alignment horizontal="left" vertical="center" wrapText="1"/>
    </xf>
    <xf numFmtId="1" fontId="5" fillId="0" borderId="2" xfId="0" applyNumberFormat="1" applyFont="1" applyFill="1" applyBorder="1" applyAlignment="1" applyProtection="1">
      <alignment horizontal="left" vertical="center"/>
    </xf>
    <xf numFmtId="1" fontId="5" fillId="0" borderId="22" xfId="0" applyNumberFormat="1" applyFont="1" applyFill="1" applyBorder="1" applyAlignment="1" applyProtection="1">
      <alignment horizontal="left" vertical="center"/>
    </xf>
    <xf numFmtId="169" fontId="5" fillId="0" borderId="2" xfId="0" applyNumberFormat="1" applyFont="1" applyFill="1" applyBorder="1" applyAlignment="1" applyProtection="1">
      <alignment horizontal="center" vertical="center" shrinkToFit="1"/>
    </xf>
    <xf numFmtId="167" fontId="4" fillId="0" borderId="2" xfId="0" applyNumberFormat="1" applyFont="1" applyFill="1" applyBorder="1" applyAlignment="1">
      <alignment horizontal="center" vertical="center" shrinkToFit="1"/>
    </xf>
    <xf numFmtId="0" fontId="1" fillId="2" borderId="2" xfId="0" applyFont="1" applyFill="1" applyBorder="1" applyAlignment="1" applyProtection="1">
      <alignment horizontal="center" vertical="center" wrapText="1"/>
    </xf>
    <xf numFmtId="0" fontId="19" fillId="0" borderId="9" xfId="0" applyFont="1" applyBorder="1" applyAlignment="1" applyProtection="1">
      <alignment vertical="center" shrinkToFit="1"/>
    </xf>
    <xf numFmtId="0" fontId="19" fillId="0" borderId="13" xfId="0" applyFont="1" applyBorder="1" applyAlignment="1" applyProtection="1">
      <alignment vertical="center" shrinkToFit="1"/>
    </xf>
    <xf numFmtId="0" fontId="19" fillId="0" borderId="15" xfId="0" applyFont="1" applyBorder="1" applyAlignment="1" applyProtection="1">
      <alignment vertical="center" shrinkToFit="1"/>
    </xf>
    <xf numFmtId="169" fontId="5" fillId="0" borderId="27" xfId="0" applyNumberFormat="1" applyFont="1" applyFill="1" applyBorder="1" applyAlignment="1" applyProtection="1">
      <alignment vertical="top" shrinkToFit="1"/>
    </xf>
    <xf numFmtId="1" fontId="5" fillId="0" borderId="6" xfId="0" applyNumberFormat="1" applyFont="1" applyFill="1" applyBorder="1" applyAlignment="1" applyProtection="1">
      <alignment vertical="top" wrapText="1" shrinkToFit="1"/>
    </xf>
    <xf numFmtId="1" fontId="5" fillId="0" borderId="27" xfId="0" applyNumberFormat="1" applyFont="1" applyFill="1" applyBorder="1" applyAlignment="1" applyProtection="1">
      <alignment vertical="top" wrapText="1" shrinkToFit="1"/>
    </xf>
    <xf numFmtId="167" fontId="0" fillId="0" borderId="2" xfId="0" applyNumberFormat="1" applyBorder="1"/>
    <xf numFmtId="0" fontId="0" fillId="0" borderId="2" xfId="0" applyBorder="1"/>
    <xf numFmtId="2" fontId="0" fillId="0" borderId="2" xfId="0" applyNumberFormat="1" applyBorder="1"/>
    <xf numFmtId="0" fontId="2" fillId="2" borderId="2" xfId="0" applyFont="1" applyFill="1" applyBorder="1" applyAlignment="1" applyProtection="1">
      <alignment horizontal="center" vertical="center" wrapText="1"/>
    </xf>
    <xf numFmtId="0" fontId="14" fillId="2" borderId="2" xfId="0" applyFont="1" applyFill="1" applyBorder="1" applyAlignment="1" applyProtection="1">
      <alignment horizontal="center" vertical="center" wrapText="1"/>
    </xf>
    <xf numFmtId="2" fontId="5" fillId="4" borderId="2" xfId="0" applyNumberFormat="1" applyFont="1" applyFill="1" applyBorder="1" applyAlignment="1" applyProtection="1">
      <alignment horizontal="center" vertical="center"/>
    </xf>
    <xf numFmtId="0" fontId="1" fillId="2" borderId="2" xfId="0" applyFont="1" applyFill="1" applyBorder="1" applyAlignment="1" applyProtection="1">
      <alignment horizontal="center" vertical="center" wrapText="1"/>
    </xf>
    <xf numFmtId="1" fontId="5" fillId="4" borderId="2" xfId="0" applyNumberFormat="1" applyFont="1" applyFill="1" applyBorder="1" applyAlignment="1" applyProtection="1">
      <alignment horizontal="left" vertical="center"/>
    </xf>
    <xf numFmtId="2" fontId="5" fillId="0" borderId="2" xfId="0" applyNumberFormat="1" applyFont="1" applyFill="1" applyBorder="1" applyAlignment="1" applyProtection="1">
      <alignment horizontal="center" vertical="center" shrinkToFit="1"/>
    </xf>
    <xf numFmtId="167" fontId="5" fillId="0" borderId="2" xfId="0" applyNumberFormat="1" applyFont="1" applyFill="1" applyBorder="1" applyAlignment="1" applyProtection="1">
      <alignment horizontal="center" vertical="center" shrinkToFit="1"/>
    </xf>
    <xf numFmtId="167" fontId="7" fillId="0" borderId="22" xfId="0" applyNumberFormat="1" applyFont="1" applyFill="1" applyBorder="1" applyAlignment="1" applyProtection="1">
      <alignment horizontal="center" vertical="center"/>
    </xf>
    <xf numFmtId="167" fontId="7" fillId="0" borderId="2" xfId="0" applyNumberFormat="1" applyFont="1" applyFill="1" applyBorder="1" applyAlignment="1" applyProtection="1">
      <alignment horizontal="center" vertical="center"/>
    </xf>
    <xf numFmtId="167" fontId="5" fillId="0" borderId="2" xfId="0" applyNumberFormat="1" applyFont="1" applyFill="1" applyBorder="1" applyAlignment="1" applyProtection="1">
      <alignment horizontal="center" vertical="center"/>
    </xf>
    <xf numFmtId="2" fontId="5" fillId="0" borderId="2" xfId="0" applyNumberFormat="1" applyFont="1" applyFill="1" applyBorder="1" applyAlignment="1" applyProtection="1">
      <alignment horizontal="center" vertical="center"/>
    </xf>
    <xf numFmtId="173" fontId="4" fillId="0" borderId="2" xfId="0" applyNumberFormat="1" applyFont="1" applyFill="1" applyBorder="1" applyAlignment="1">
      <alignment horizontal="center" vertical="center"/>
    </xf>
    <xf numFmtId="0" fontId="2" fillId="0" borderId="9" xfId="0" applyFont="1" applyBorder="1" applyAlignment="1" applyProtection="1">
      <alignment vertical="center" shrinkToFit="1"/>
    </xf>
    <xf numFmtId="0" fontId="2" fillId="0" borderId="10" xfId="0" applyFont="1" applyBorder="1" applyAlignment="1" applyProtection="1">
      <alignment vertical="center" shrinkToFit="1"/>
    </xf>
    <xf numFmtId="0" fontId="20" fillId="0" borderId="10" xfId="0" applyFont="1" applyBorder="1" applyAlignment="1" applyProtection="1">
      <alignment vertical="center" shrinkToFit="1"/>
    </xf>
    <xf numFmtId="0" fontId="21" fillId="0" borderId="10" xfId="0" applyFont="1" applyBorder="1" applyAlignment="1" applyProtection="1">
      <alignment vertical="center" shrinkToFit="1"/>
    </xf>
    <xf numFmtId="0" fontId="2" fillId="0" borderId="13" xfId="0" applyFont="1" applyBorder="1" applyAlignment="1" applyProtection="1">
      <alignment vertical="center" shrinkToFit="1"/>
    </xf>
    <xf numFmtId="0" fontId="4" fillId="0" borderId="18" xfId="0" applyFont="1" applyBorder="1" applyAlignment="1" applyProtection="1">
      <alignment vertical="center" shrinkToFit="1"/>
    </xf>
    <xf numFmtId="0" fontId="4" fillId="0" borderId="11" xfId="0" applyFont="1" applyBorder="1" applyAlignment="1" applyProtection="1">
      <alignment horizontal="right" vertical="center" shrinkToFit="1"/>
    </xf>
    <xf numFmtId="0" fontId="4" fillId="0" borderId="12" xfId="0" applyFont="1" applyBorder="1" applyAlignment="1" applyProtection="1">
      <alignment horizontal="center" vertical="center" shrinkToFit="1"/>
    </xf>
    <xf numFmtId="0" fontId="4" fillId="0" borderId="17" xfId="0" applyFont="1" applyBorder="1" applyAlignment="1" applyProtection="1">
      <alignment horizontal="right" vertical="center" shrinkToFit="1"/>
    </xf>
    <xf numFmtId="0" fontId="4" fillId="0" borderId="14" xfId="0" applyFont="1" applyBorder="1" applyAlignment="1" applyProtection="1">
      <alignment horizontal="right" vertical="center" shrinkToFit="1"/>
    </xf>
    <xf numFmtId="171" fontId="5" fillId="4" borderId="2" xfId="0" applyNumberFormat="1" applyFont="1" applyFill="1" applyBorder="1" applyAlignment="1" applyProtection="1">
      <alignment horizontal="center" vertical="center"/>
    </xf>
    <xf numFmtId="0" fontId="4" fillId="4" borderId="2" xfId="0" applyNumberFormat="1" applyFont="1" applyFill="1" applyBorder="1" applyAlignment="1">
      <alignment horizontal="center" vertical="center"/>
    </xf>
    <xf numFmtId="168" fontId="5" fillId="4" borderId="2" xfId="0" applyNumberFormat="1" applyFont="1" applyFill="1" applyBorder="1" applyAlignment="1" applyProtection="1">
      <alignment horizontal="center" vertical="center"/>
    </xf>
    <xf numFmtId="168" fontId="4" fillId="4" borderId="2" xfId="0" applyNumberFormat="1" applyFont="1" applyFill="1" applyBorder="1" applyAlignment="1">
      <alignment horizontal="center" vertical="center"/>
    </xf>
    <xf numFmtId="168" fontId="4" fillId="0" borderId="0" xfId="0" applyNumberFormat="1" applyFont="1" applyAlignment="1">
      <alignment horizontal="center" vertical="center"/>
    </xf>
    <xf numFmtId="166" fontId="4" fillId="4" borderId="2" xfId="0" applyNumberFormat="1" applyFont="1" applyFill="1" applyBorder="1" applyAlignment="1">
      <alignment horizontal="center" vertical="center"/>
    </xf>
    <xf numFmtId="175" fontId="5" fillId="4" borderId="2" xfId="0" applyNumberFormat="1" applyFont="1" applyFill="1" applyBorder="1" applyAlignment="1" applyProtection="1">
      <alignment horizontal="center" vertical="center"/>
    </xf>
    <xf numFmtId="174" fontId="5" fillId="4" borderId="2" xfId="0" applyNumberFormat="1" applyFont="1" applyFill="1" applyBorder="1" applyAlignment="1" applyProtection="1">
      <alignment horizontal="center" vertical="center"/>
    </xf>
    <xf numFmtId="172" fontId="5" fillId="4" borderId="2" xfId="0" applyNumberFormat="1" applyFont="1" applyFill="1" applyBorder="1" applyAlignment="1" applyProtection="1">
      <alignment horizontal="center" vertical="center"/>
    </xf>
    <xf numFmtId="168" fontId="5" fillId="3" borderId="2" xfId="0" applyNumberFormat="1" applyFont="1" applyFill="1" applyBorder="1" applyAlignment="1" applyProtection="1">
      <alignment horizontal="center" vertical="center" wrapText="1"/>
    </xf>
    <xf numFmtId="176" fontId="5" fillId="3" borderId="2" xfId="0" applyNumberFormat="1" applyFont="1" applyFill="1" applyBorder="1" applyAlignment="1" applyProtection="1">
      <alignment horizontal="center" vertical="center" wrapText="1"/>
    </xf>
    <xf numFmtId="1" fontId="5" fillId="3" borderId="2" xfId="0" applyNumberFormat="1" applyFont="1" applyFill="1" applyBorder="1" applyAlignment="1" applyProtection="1">
      <alignment horizontal="center" vertical="center" wrapText="1"/>
    </xf>
    <xf numFmtId="166" fontId="4" fillId="3" borderId="2" xfId="0" applyNumberFormat="1" applyFont="1" applyFill="1" applyBorder="1" applyAlignment="1" applyProtection="1">
      <alignment horizontal="left" vertical="center" wrapText="1"/>
    </xf>
    <xf numFmtId="170" fontId="5" fillId="3" borderId="2" xfId="0" applyNumberFormat="1" applyFont="1" applyFill="1" applyBorder="1" applyAlignment="1" applyProtection="1">
      <alignment horizontal="center" vertical="center"/>
    </xf>
    <xf numFmtId="176" fontId="5" fillId="3" borderId="2" xfId="0" applyNumberFormat="1" applyFont="1" applyFill="1" applyBorder="1" applyAlignment="1" applyProtection="1">
      <alignment horizontal="center" vertical="center"/>
    </xf>
    <xf numFmtId="0" fontId="0" fillId="0" borderId="0" xfId="0" applyAlignment="1">
      <alignment horizontal="center" vertical="center"/>
    </xf>
    <xf numFmtId="166" fontId="4" fillId="3" borderId="2" xfId="0" applyNumberFormat="1" applyFont="1" applyFill="1" applyBorder="1" applyAlignment="1" applyProtection="1">
      <alignment horizontal="center" vertical="center" wrapText="1"/>
    </xf>
    <xf numFmtId="168" fontId="4" fillId="3" borderId="2" xfId="0" applyNumberFormat="1" applyFont="1" applyFill="1" applyBorder="1" applyAlignment="1" applyProtection="1">
      <alignment horizontal="center" vertical="center" wrapText="1"/>
    </xf>
    <xf numFmtId="0" fontId="1" fillId="2" borderId="2" xfId="0" applyFont="1" applyFill="1" applyBorder="1" applyAlignment="1" applyProtection="1">
      <alignment horizontal="center" vertical="center" shrinkToFit="1"/>
    </xf>
    <xf numFmtId="0" fontId="2" fillId="2" borderId="1" xfId="0" applyFont="1" applyFill="1" applyBorder="1" applyAlignment="1" applyProtection="1">
      <alignment horizontal="center" vertical="center" shrinkToFit="1"/>
    </xf>
    <xf numFmtId="1" fontId="5" fillId="0" borderId="2" xfId="0" applyNumberFormat="1" applyFont="1" applyFill="1" applyBorder="1" applyAlignment="1" applyProtection="1">
      <alignment horizontal="center" vertical="center" shrinkToFit="1"/>
    </xf>
    <xf numFmtId="167" fontId="2" fillId="0" borderId="10" xfId="0" applyNumberFormat="1" applyFont="1" applyBorder="1" applyAlignment="1" applyProtection="1">
      <alignment vertical="center" shrinkToFit="1"/>
    </xf>
    <xf numFmtId="0" fontId="24" fillId="7" borderId="29" xfId="0" applyFont="1" applyFill="1" applyBorder="1" applyAlignment="1" applyProtection="1">
      <alignment horizontal="center" vertical="center"/>
    </xf>
    <xf numFmtId="2" fontId="24" fillId="7" borderId="29" xfId="0" applyNumberFormat="1" applyFont="1" applyFill="1" applyBorder="1" applyAlignment="1" applyProtection="1">
      <alignment horizontal="center" vertical="center"/>
    </xf>
    <xf numFmtId="1" fontId="24" fillId="7" borderId="29" xfId="0" applyNumberFormat="1" applyFont="1" applyFill="1" applyBorder="1" applyAlignment="1" applyProtection="1">
      <alignment horizontal="center" vertical="center"/>
    </xf>
    <xf numFmtId="2" fontId="24" fillId="0" borderId="29" xfId="0" applyNumberFormat="1" applyFont="1" applyFill="1" applyBorder="1" applyAlignment="1" applyProtection="1">
      <alignment horizontal="center" vertical="center"/>
    </xf>
    <xf numFmtId="167" fontId="24" fillId="0" borderId="29" xfId="0" applyNumberFormat="1" applyFont="1" applyFill="1" applyBorder="1" applyAlignment="1" applyProtection="1">
      <alignment horizontal="center" vertical="center"/>
    </xf>
    <xf numFmtId="0" fontId="4" fillId="7" borderId="29" xfId="0" applyFont="1" applyFill="1" applyBorder="1" applyAlignment="1" applyProtection="1">
      <alignment horizontal="center" vertical="center" shrinkToFit="1"/>
    </xf>
    <xf numFmtId="167" fontId="4" fillId="7" borderId="29" xfId="0" applyNumberFormat="1" applyFont="1" applyFill="1" applyBorder="1" applyAlignment="1" applyProtection="1">
      <alignment horizontal="right" vertical="center" shrinkToFit="1"/>
    </xf>
    <xf numFmtId="9" fontId="4" fillId="7" borderId="29" xfId="1" applyFont="1" applyFill="1" applyBorder="1" applyAlignment="1" applyProtection="1">
      <alignment horizontal="right" vertical="center" shrinkToFit="1"/>
    </xf>
    <xf numFmtId="0" fontId="22" fillId="7" borderId="29" xfId="0" applyFont="1" applyFill="1" applyBorder="1" applyAlignment="1" applyProtection="1">
      <alignment horizontal="center" vertical="center" shrinkToFit="1"/>
    </xf>
    <xf numFmtId="169" fontId="4" fillId="7" borderId="29" xfId="0" applyNumberFormat="1" applyFont="1" applyFill="1" applyBorder="1" applyAlignment="1" applyProtection="1">
      <alignment horizontal="center" vertical="center" shrinkToFit="1"/>
    </xf>
    <xf numFmtId="0" fontId="4" fillId="0" borderId="32" xfId="0" applyFont="1" applyBorder="1" applyAlignment="1" applyProtection="1">
      <alignment vertical="center" shrinkToFit="1"/>
    </xf>
    <xf numFmtId="0" fontId="19" fillId="0" borderId="32" xfId="0" applyFont="1" applyBorder="1" applyAlignment="1" applyProtection="1">
      <alignment vertical="center" shrinkToFit="1"/>
    </xf>
    <xf numFmtId="1" fontId="4" fillId="8" borderId="29" xfId="0" applyNumberFormat="1" applyFont="1" applyFill="1" applyBorder="1" applyAlignment="1" applyProtection="1">
      <alignment horizontal="center" vertical="center" shrinkToFit="1"/>
      <protection locked="0"/>
    </xf>
    <xf numFmtId="167" fontId="4" fillId="3" borderId="29" xfId="0" applyNumberFormat="1" applyFont="1" applyFill="1" applyBorder="1" applyAlignment="1" applyProtection="1">
      <alignment horizontal="center" vertical="center" shrinkToFit="1"/>
      <protection locked="0"/>
    </xf>
    <xf numFmtId="0" fontId="36" fillId="0" borderId="32" xfId="0" applyFont="1" applyBorder="1" applyAlignment="1" applyProtection="1">
      <alignment horizontal="right" vertical="center" shrinkToFit="1"/>
    </xf>
    <xf numFmtId="1" fontId="4" fillId="8" borderId="29" xfId="0" applyNumberFormat="1" applyFont="1" applyFill="1" applyBorder="1" applyAlignment="1" applyProtection="1">
      <alignment horizontal="center" vertical="center" shrinkToFit="1"/>
    </xf>
    <xf numFmtId="1" fontId="4" fillId="8" borderId="29" xfId="0" applyNumberFormat="1" applyFont="1" applyFill="1" applyBorder="1" applyAlignment="1" applyProtection="1">
      <alignment horizontal="left" vertical="center" shrinkToFit="1"/>
    </xf>
    <xf numFmtId="0" fontId="19" fillId="6" borderId="2" xfId="0" applyFont="1" applyFill="1" applyBorder="1" applyAlignment="1" applyProtection="1">
      <alignment vertical="center" shrinkToFit="1"/>
    </xf>
    <xf numFmtId="0" fontId="19" fillId="0" borderId="2" xfId="0" applyFont="1" applyFill="1" applyBorder="1" applyAlignment="1" applyProtection="1">
      <alignment vertical="center" shrinkToFit="1"/>
    </xf>
    <xf numFmtId="167" fontId="19" fillId="0" borderId="2" xfId="0" applyNumberFormat="1" applyFont="1" applyFill="1" applyBorder="1" applyAlignment="1" applyProtection="1">
      <alignment vertical="center" shrinkToFit="1"/>
    </xf>
    <xf numFmtId="173" fontId="8" fillId="7" borderId="29" xfId="0" applyNumberFormat="1" applyFont="1" applyFill="1" applyBorder="1" applyAlignment="1" applyProtection="1">
      <alignment horizontal="center" vertical="center" shrinkToFit="1"/>
    </xf>
    <xf numFmtId="0" fontId="38" fillId="0" borderId="33" xfId="0" applyFont="1" applyFill="1" applyBorder="1" applyAlignment="1" applyProtection="1">
      <alignment vertical="center" shrinkToFit="1"/>
    </xf>
    <xf numFmtId="0" fontId="38" fillId="0" borderId="9" xfId="0" applyFont="1" applyFill="1" applyBorder="1" applyAlignment="1" applyProtection="1">
      <alignment vertical="center" shrinkToFit="1"/>
    </xf>
    <xf numFmtId="0" fontId="38" fillId="0" borderId="34" xfId="0" applyFont="1" applyFill="1" applyBorder="1" applyAlignment="1" applyProtection="1">
      <alignment vertical="center" shrinkToFit="1"/>
    </xf>
    <xf numFmtId="2" fontId="4" fillId="3" borderId="29" xfId="0" applyNumberFormat="1" applyFont="1" applyFill="1" applyBorder="1" applyAlignment="1" applyProtection="1">
      <alignment horizontal="center" vertical="center" shrinkToFit="1"/>
      <protection locked="0"/>
    </xf>
    <xf numFmtId="0" fontId="19" fillId="0" borderId="33" xfId="0" applyFont="1" applyFill="1" applyBorder="1" applyAlignment="1" applyProtection="1">
      <alignment vertical="center" shrinkToFit="1"/>
    </xf>
    <xf numFmtId="0" fontId="19" fillId="0" borderId="9" xfId="0" applyFont="1" applyFill="1" applyBorder="1" applyAlignment="1" applyProtection="1">
      <alignment vertical="center" shrinkToFit="1"/>
    </xf>
    <xf numFmtId="167" fontId="19" fillId="0" borderId="9" xfId="0" applyNumberFormat="1" applyFont="1" applyFill="1" applyBorder="1" applyAlignment="1" applyProtection="1">
      <alignment vertical="center" shrinkToFit="1"/>
    </xf>
    <xf numFmtId="1" fontId="19" fillId="0" borderId="9" xfId="0" applyNumberFormat="1" applyFont="1" applyFill="1" applyBorder="1" applyAlignment="1" applyProtection="1">
      <alignment vertical="center" shrinkToFit="1"/>
    </xf>
    <xf numFmtId="0" fontId="19" fillId="0" borderId="34" xfId="0" applyFont="1" applyFill="1" applyBorder="1" applyAlignment="1" applyProtection="1">
      <alignment vertical="center" shrinkToFit="1"/>
    </xf>
    <xf numFmtId="0" fontId="19" fillId="0" borderId="9" xfId="0" applyFont="1" applyFill="1" applyBorder="1" applyAlignment="1" applyProtection="1">
      <alignment horizontal="left" vertical="center" shrinkToFit="1"/>
    </xf>
    <xf numFmtId="0" fontId="19" fillId="0" borderId="35" xfId="0" applyFont="1" applyFill="1" applyBorder="1" applyAlignment="1" applyProtection="1">
      <alignment vertical="center" shrinkToFit="1"/>
    </xf>
    <xf numFmtId="0" fontId="19" fillId="0" borderId="36" xfId="0" applyFont="1" applyFill="1" applyBorder="1" applyAlignment="1" applyProtection="1">
      <alignment vertical="center" shrinkToFit="1"/>
    </xf>
    <xf numFmtId="0" fontId="19" fillId="0" borderId="36" xfId="0" applyFont="1" applyFill="1" applyBorder="1" applyAlignment="1" applyProtection="1">
      <alignment horizontal="left" vertical="center" shrinkToFit="1"/>
    </xf>
    <xf numFmtId="167" fontId="19" fillId="0" borderId="36" xfId="0" applyNumberFormat="1" applyFont="1" applyFill="1" applyBorder="1" applyAlignment="1" applyProtection="1">
      <alignment vertical="center" shrinkToFit="1"/>
    </xf>
    <xf numFmtId="0" fontId="19" fillId="0" borderId="37" xfId="0" applyFont="1" applyFill="1" applyBorder="1" applyAlignment="1" applyProtection="1">
      <alignment vertical="center" shrinkToFit="1"/>
    </xf>
    <xf numFmtId="173" fontId="4" fillId="7" borderId="29" xfId="0" applyNumberFormat="1" applyFont="1" applyFill="1" applyBorder="1" applyAlignment="1" applyProtection="1">
      <alignment horizontal="center" vertical="center" shrinkToFit="1"/>
    </xf>
    <xf numFmtId="172" fontId="4" fillId="7" borderId="29" xfId="0" applyNumberFormat="1" applyFont="1" applyFill="1" applyBorder="1" applyAlignment="1" applyProtection="1">
      <alignment horizontal="center" vertical="center" shrinkToFit="1"/>
    </xf>
    <xf numFmtId="171" fontId="5" fillId="0" borderId="2" xfId="0" applyNumberFormat="1" applyFont="1" applyFill="1" applyBorder="1" applyAlignment="1" applyProtection="1">
      <alignment horizontal="center" vertical="center"/>
    </xf>
    <xf numFmtId="0" fontId="4" fillId="0" borderId="18" xfId="0" applyFont="1" applyBorder="1" applyAlignment="1" applyProtection="1">
      <alignment horizontal="center" vertical="center" shrinkToFit="1"/>
    </xf>
    <xf numFmtId="0" fontId="19" fillId="0" borderId="10" xfId="0" applyFont="1" applyBorder="1" applyAlignment="1" applyProtection="1">
      <alignment vertical="center" shrinkToFit="1"/>
    </xf>
    <xf numFmtId="0" fontId="19" fillId="6" borderId="44" xfId="0" applyFont="1" applyFill="1" applyBorder="1" applyAlignment="1" applyProtection="1">
      <alignment vertical="center" shrinkToFit="1"/>
    </xf>
    <xf numFmtId="0" fontId="19" fillId="0" borderId="44" xfId="0" applyFont="1" applyBorder="1" applyAlignment="1" applyProtection="1">
      <alignment vertical="center" shrinkToFit="1"/>
    </xf>
    <xf numFmtId="0" fontId="19" fillId="0" borderId="45" xfId="0" applyFont="1" applyBorder="1" applyAlignment="1" applyProtection="1">
      <alignment vertical="center" shrinkToFit="1"/>
    </xf>
    <xf numFmtId="0" fontId="4" fillId="0" borderId="44" xfId="0" applyFont="1" applyBorder="1" applyAlignment="1" applyProtection="1">
      <alignment vertical="center" shrinkToFit="1"/>
    </xf>
    <xf numFmtId="2" fontId="4" fillId="0" borderId="17" xfId="0" applyNumberFormat="1" applyFont="1" applyBorder="1" applyAlignment="1" applyProtection="1">
      <alignment vertical="center" shrinkToFit="1"/>
    </xf>
    <xf numFmtId="0" fontId="19" fillId="6" borderId="0" xfId="0" applyFont="1" applyFill="1" applyBorder="1" applyAlignment="1" applyProtection="1">
      <alignment horizontal="center" vertical="center" shrinkToFit="1"/>
    </xf>
    <xf numFmtId="0" fontId="19" fillId="0" borderId="0" xfId="0" applyFont="1" applyFill="1" applyBorder="1" applyAlignment="1" applyProtection="1">
      <alignment vertical="center" shrinkToFit="1"/>
    </xf>
    <xf numFmtId="0" fontId="36" fillId="0" borderId="9" xfId="0" applyFont="1" applyBorder="1" applyAlignment="1" applyProtection="1">
      <alignment horizontal="right" vertical="center" shrinkToFit="1"/>
    </xf>
    <xf numFmtId="0" fontId="4" fillId="0" borderId="29" xfId="0" applyFont="1" applyBorder="1" applyAlignment="1" applyProtection="1">
      <alignment vertical="center" shrinkToFit="1"/>
    </xf>
    <xf numFmtId="0" fontId="4" fillId="0" borderId="29" xfId="0" applyFont="1" applyBorder="1" applyAlignment="1" applyProtection="1">
      <alignment horizontal="center" vertical="center" shrinkToFit="1"/>
    </xf>
    <xf numFmtId="177" fontId="4" fillId="7" borderId="30" xfId="1" applyNumberFormat="1" applyFont="1" applyFill="1" applyBorder="1" applyAlignment="1" applyProtection="1">
      <alignment horizontal="center" vertical="center" shrinkToFit="1"/>
    </xf>
    <xf numFmtId="0" fontId="24" fillId="7" borderId="29" xfId="0" applyFont="1" applyFill="1" applyBorder="1" applyAlignment="1" applyProtection="1">
      <alignment horizontal="center" vertical="center" wrapText="1"/>
    </xf>
    <xf numFmtId="0" fontId="8" fillId="7" borderId="29" xfId="0" applyFont="1" applyFill="1" applyBorder="1" applyAlignment="1" applyProtection="1">
      <alignment horizontal="center" vertical="center" shrinkToFit="1"/>
    </xf>
    <xf numFmtId="0" fontId="23" fillId="7" borderId="29" xfId="0" applyFont="1" applyFill="1" applyBorder="1" applyAlignment="1" applyProtection="1">
      <alignment horizontal="center" vertical="center" shrinkToFit="1"/>
    </xf>
    <xf numFmtId="0" fontId="8" fillId="7" borderId="29" xfId="0" applyFont="1" applyFill="1" applyBorder="1" applyAlignment="1" applyProtection="1">
      <alignment horizontal="center" vertical="center" wrapText="1" shrinkToFit="1"/>
    </xf>
    <xf numFmtId="0" fontId="1" fillId="2" borderId="1" xfId="0" applyFont="1" applyFill="1" applyBorder="1" applyAlignment="1" applyProtection="1">
      <alignment horizontal="center" vertical="center" shrinkToFit="1"/>
    </xf>
    <xf numFmtId="9" fontId="4" fillId="7" borderId="29" xfId="1" applyFont="1" applyFill="1" applyBorder="1" applyAlignment="1" applyProtection="1">
      <alignment horizontal="center" vertical="center" shrinkToFit="1"/>
    </xf>
    <xf numFmtId="0" fontId="10" fillId="0" borderId="49" xfId="0" applyFont="1" applyBorder="1" applyAlignment="1" applyProtection="1">
      <alignment vertical="center"/>
    </xf>
    <xf numFmtId="0" fontId="10" fillId="0" borderId="52" xfId="0" applyFont="1" applyBorder="1" applyAlignment="1" applyProtection="1">
      <alignment vertical="center"/>
    </xf>
    <xf numFmtId="0" fontId="10" fillId="0" borderId="53" xfId="0" applyFont="1" applyBorder="1" applyAlignment="1" applyProtection="1">
      <alignment vertical="center"/>
    </xf>
    <xf numFmtId="0" fontId="10" fillId="0" borderId="54" xfId="0" applyFont="1" applyBorder="1" applyAlignment="1" applyProtection="1">
      <alignment vertical="center"/>
    </xf>
    <xf numFmtId="0" fontId="15" fillId="0" borderId="55" xfId="0" applyFont="1" applyBorder="1" applyAlignment="1" applyProtection="1">
      <alignment vertical="center"/>
    </xf>
    <xf numFmtId="0" fontId="15" fillId="0" borderId="56" xfId="0" applyFont="1" applyBorder="1" applyAlignment="1" applyProtection="1">
      <alignment vertical="center"/>
    </xf>
    <xf numFmtId="0" fontId="10" fillId="0" borderId="56" xfId="0" applyFont="1" applyBorder="1" applyAlignment="1" applyProtection="1">
      <alignment vertical="center"/>
    </xf>
    <xf numFmtId="0" fontId="4" fillId="0" borderId="55" xfId="0" applyFont="1" applyBorder="1" applyAlignment="1" applyProtection="1">
      <alignment vertical="center" shrinkToFit="1"/>
    </xf>
    <xf numFmtId="1" fontId="4" fillId="8" borderId="29" xfId="0" applyNumberFormat="1" applyFont="1" applyFill="1" applyBorder="1" applyAlignment="1" applyProtection="1">
      <alignment horizontal="center" vertical="center" shrinkToFit="1"/>
      <protection locked="0"/>
    </xf>
    <xf numFmtId="171" fontId="24" fillId="7" borderId="29" xfId="0" applyNumberFormat="1" applyFont="1" applyFill="1" applyBorder="1" applyAlignment="1" applyProtection="1">
      <alignment horizontal="right" vertical="center" shrinkToFit="1"/>
    </xf>
    <xf numFmtId="171" fontId="25" fillId="7" borderId="29" xfId="0" applyNumberFormat="1" applyFont="1" applyFill="1" applyBorder="1" applyAlignment="1" applyProtection="1">
      <alignment horizontal="right" vertical="center" shrinkToFit="1"/>
    </xf>
    <xf numFmtId="0" fontId="45" fillId="0" borderId="0" xfId="0" applyFont="1" applyAlignment="1">
      <alignment horizontal="center" vertical="center"/>
    </xf>
    <xf numFmtId="0" fontId="46" fillId="0" borderId="2" xfId="0" applyFont="1" applyFill="1" applyBorder="1" applyAlignment="1" applyProtection="1">
      <alignment horizontal="center" vertical="center"/>
    </xf>
    <xf numFmtId="0" fontId="47" fillId="0" borderId="0" xfId="0" applyFont="1" applyAlignment="1" applyProtection="1">
      <alignment vertical="center"/>
    </xf>
    <xf numFmtId="0" fontId="47" fillId="0" borderId="14" xfId="0" applyFont="1" applyFill="1" applyBorder="1" applyAlignment="1" applyProtection="1">
      <alignment horizontal="center" vertical="center"/>
    </xf>
    <xf numFmtId="0" fontId="48" fillId="0" borderId="2" xfId="3" applyFont="1" applyFill="1" applyBorder="1" applyAlignment="1" applyProtection="1">
      <alignment horizontal="center" vertical="center"/>
    </xf>
    <xf numFmtId="0" fontId="48" fillId="0" borderId="7" xfId="3" applyFont="1" applyFill="1" applyBorder="1" applyAlignment="1" applyProtection="1">
      <alignment horizontal="center" vertical="center"/>
    </xf>
    <xf numFmtId="0" fontId="49" fillId="9" borderId="7" xfId="3" applyFont="1" applyFill="1" applyBorder="1" applyAlignment="1" applyProtection="1">
      <alignment horizontal="center" vertical="center"/>
    </xf>
    <xf numFmtId="0" fontId="49" fillId="0" borderId="7" xfId="3" applyFont="1" applyFill="1" applyBorder="1" applyAlignment="1" applyProtection="1">
      <alignment horizontal="center" vertical="center"/>
    </xf>
    <xf numFmtId="0" fontId="49" fillId="0" borderId="73" xfId="3" applyFont="1" applyFill="1" applyBorder="1" applyAlignment="1" applyProtection="1">
      <alignment horizontal="center" vertical="center"/>
    </xf>
    <xf numFmtId="0" fontId="49" fillId="0" borderId="0" xfId="3" applyFont="1" applyFill="1" applyAlignment="1" applyProtection="1">
      <alignment horizontal="center" vertical="center"/>
    </xf>
    <xf numFmtId="0" fontId="48" fillId="0" borderId="0" xfId="3" applyFont="1" applyFill="1" applyAlignment="1" applyProtection="1">
      <alignment horizontal="center" vertical="center"/>
    </xf>
    <xf numFmtId="14" fontId="48" fillId="0" borderId="22" xfId="3" applyNumberFormat="1" applyFont="1" applyFill="1" applyBorder="1" applyAlignment="1" applyProtection="1">
      <alignment horizontal="center" vertical="center"/>
    </xf>
    <xf numFmtId="14" fontId="48" fillId="0" borderId="21" xfId="3" applyNumberFormat="1" applyFont="1" applyFill="1" applyBorder="1" applyAlignment="1" applyProtection="1">
      <alignment horizontal="center" vertical="center"/>
    </xf>
    <xf numFmtId="14" fontId="48" fillId="0" borderId="21" xfId="3" applyNumberFormat="1" applyFont="1" applyFill="1" applyBorder="1" applyAlignment="1" applyProtection="1">
      <alignment horizontal="right" vertical="center"/>
    </xf>
    <xf numFmtId="0" fontId="48" fillId="0" borderId="21" xfId="3" applyFont="1" applyFill="1" applyBorder="1" applyAlignment="1" applyProtection="1">
      <alignment horizontal="center" vertical="center"/>
    </xf>
    <xf numFmtId="0" fontId="48" fillId="0" borderId="74" xfId="3" applyFont="1" applyFill="1" applyBorder="1" applyAlignment="1" applyProtection="1">
      <alignment horizontal="center" vertical="center"/>
    </xf>
    <xf numFmtId="14" fontId="48" fillId="0" borderId="0" xfId="3" applyNumberFormat="1" applyFont="1" applyFill="1" applyAlignment="1" applyProtection="1">
      <alignment horizontal="center" vertical="center"/>
    </xf>
    <xf numFmtId="0" fontId="49" fillId="10" borderId="22" xfId="3" applyFont="1" applyFill="1" applyBorder="1" applyAlignment="1" applyProtection="1">
      <alignment horizontal="center" vertical="center"/>
    </xf>
    <xf numFmtId="0" fontId="49" fillId="10" borderId="21" xfId="3" applyFont="1" applyFill="1" applyBorder="1" applyAlignment="1" applyProtection="1">
      <alignment horizontal="center" vertical="center"/>
    </xf>
    <xf numFmtId="0" fontId="50" fillId="0" borderId="0" xfId="3" quotePrefix="1" applyFont="1" applyFill="1" applyAlignment="1" applyProtection="1">
      <alignment horizontal="left" vertical="center"/>
    </xf>
    <xf numFmtId="0" fontId="51" fillId="0" borderId="0" xfId="3" quotePrefix="1" applyFont="1" applyFill="1" applyAlignment="1" applyProtection="1">
      <alignment horizontal="left" vertical="center"/>
    </xf>
    <xf numFmtId="0" fontId="51" fillId="0" borderId="0" xfId="3" applyFont="1" applyFill="1" applyAlignment="1" applyProtection="1">
      <alignment vertical="center"/>
    </xf>
    <xf numFmtId="0" fontId="48" fillId="0" borderId="0" xfId="3" applyFont="1" applyFill="1" applyAlignment="1" applyProtection="1">
      <alignment vertical="center"/>
    </xf>
    <xf numFmtId="0" fontId="52" fillId="0" borderId="0" xfId="3" applyFont="1" applyFill="1" applyAlignment="1" applyProtection="1">
      <alignment horizontal="left" vertical="center"/>
    </xf>
    <xf numFmtId="0" fontId="53" fillId="0" borderId="0" xfId="3" applyFont="1" applyFill="1" applyAlignment="1" applyProtection="1">
      <alignment horizontal="center" vertical="center"/>
    </xf>
    <xf numFmtId="0" fontId="48" fillId="0" borderId="75" xfId="3" quotePrefix="1" applyFont="1" applyFill="1" applyBorder="1" applyAlignment="1" applyProtection="1">
      <alignment horizontal="left" vertical="center"/>
    </xf>
    <xf numFmtId="0" fontId="48" fillId="0" borderId="50" xfId="3" applyFont="1" applyFill="1" applyBorder="1" applyAlignment="1" applyProtection="1">
      <alignment horizontal="center" vertical="center"/>
    </xf>
    <xf numFmtId="0" fontId="48" fillId="0" borderId="67" xfId="3" applyFont="1" applyFill="1" applyBorder="1" applyAlignment="1" applyProtection="1">
      <alignment horizontal="center" vertical="center"/>
    </xf>
    <xf numFmtId="0" fontId="48" fillId="0" borderId="65" xfId="3" quotePrefix="1" applyFont="1" applyFill="1" applyBorder="1" applyAlignment="1" applyProtection="1">
      <alignment horizontal="left" vertical="center"/>
    </xf>
    <xf numFmtId="0" fontId="48" fillId="0" borderId="0" xfId="3" applyFont="1" applyFill="1" applyBorder="1" applyAlignment="1" applyProtection="1">
      <alignment horizontal="center" vertical="center"/>
    </xf>
    <xf numFmtId="0" fontId="48" fillId="0" borderId="48" xfId="3" applyFont="1" applyFill="1" applyBorder="1" applyAlignment="1" applyProtection="1">
      <alignment horizontal="center" vertical="center"/>
    </xf>
    <xf numFmtId="0" fontId="50" fillId="0" borderId="65" xfId="3" applyFont="1" applyFill="1" applyBorder="1" applyAlignment="1" applyProtection="1">
      <alignment vertical="center"/>
    </xf>
    <xf numFmtId="0" fontId="48" fillId="0" borderId="0" xfId="3" applyFont="1" applyFill="1" applyBorder="1" applyAlignment="1" applyProtection="1">
      <alignment vertical="center"/>
    </xf>
    <xf numFmtId="0" fontId="48" fillId="0" borderId="48" xfId="3" applyFont="1" applyFill="1" applyBorder="1" applyAlignment="1" applyProtection="1">
      <alignment vertical="center"/>
    </xf>
    <xf numFmtId="0" fontId="56" fillId="0" borderId="65" xfId="3" applyFont="1" applyFill="1" applyBorder="1" applyAlignment="1" applyProtection="1">
      <alignment horizontal="center" vertical="center"/>
    </xf>
    <xf numFmtId="0" fontId="57" fillId="0" borderId="0" xfId="3" applyFont="1" applyFill="1" applyBorder="1" applyAlignment="1" applyProtection="1">
      <alignment horizontal="center" vertical="center"/>
    </xf>
    <xf numFmtId="0" fontId="56" fillId="0" borderId="0" xfId="3" applyFont="1" applyFill="1" applyAlignment="1" applyProtection="1">
      <alignment horizontal="center" vertical="center"/>
    </xf>
    <xf numFmtId="0" fontId="48" fillId="0" borderId="65" xfId="3" applyFont="1" applyFill="1" applyBorder="1" applyAlignment="1" applyProtection="1">
      <alignment horizontal="center" vertical="center"/>
    </xf>
    <xf numFmtId="0" fontId="50" fillId="0" borderId="65" xfId="3" applyFont="1" applyFill="1" applyBorder="1" applyAlignment="1" applyProtection="1">
      <alignment horizontal="center" vertical="center"/>
    </xf>
    <xf numFmtId="0" fontId="59" fillId="11" borderId="80" xfId="3" applyFont="1" applyFill="1" applyBorder="1" applyAlignment="1" applyProtection="1">
      <alignment horizontal="center" vertical="center"/>
    </xf>
    <xf numFmtId="0" fontId="60" fillId="0" borderId="81" xfId="3" applyFont="1" applyFill="1" applyBorder="1" applyAlignment="1" applyProtection="1">
      <alignment horizontal="center" vertical="center"/>
    </xf>
    <xf numFmtId="0" fontId="53" fillId="0" borderId="82" xfId="3" applyFont="1" applyFill="1" applyBorder="1" applyAlignment="1" applyProtection="1">
      <alignment horizontal="center" vertical="center"/>
    </xf>
    <xf numFmtId="0" fontId="60" fillId="0" borderId="83" xfId="3" applyFont="1" applyFill="1" applyBorder="1" applyAlignment="1" applyProtection="1">
      <alignment horizontal="center" vertical="center"/>
    </xf>
    <xf numFmtId="0" fontId="50" fillId="0" borderId="0" xfId="3" applyFont="1" applyFill="1" applyBorder="1" applyAlignment="1" applyProtection="1">
      <alignment horizontal="center" vertical="center"/>
    </xf>
    <xf numFmtId="0" fontId="61" fillId="11" borderId="84" xfId="3" applyFont="1" applyFill="1" applyBorder="1" applyAlignment="1" applyProtection="1">
      <alignment horizontal="center" vertical="center"/>
    </xf>
    <xf numFmtId="0" fontId="59" fillId="11" borderId="84" xfId="3" applyFont="1" applyFill="1" applyBorder="1" applyAlignment="1" applyProtection="1">
      <alignment horizontal="center" vertical="center"/>
    </xf>
    <xf numFmtId="0" fontId="60" fillId="13" borderId="85" xfId="3" applyFont="1" applyFill="1" applyBorder="1" applyAlignment="1" applyProtection="1">
      <alignment horizontal="center" vertical="center"/>
    </xf>
    <xf numFmtId="0" fontId="53" fillId="0" borderId="86" xfId="3" applyFont="1" applyFill="1" applyBorder="1" applyAlignment="1" applyProtection="1">
      <alignment horizontal="center" vertical="center"/>
    </xf>
    <xf numFmtId="0" fontId="60" fillId="0" borderId="87" xfId="3" applyFont="1" applyFill="1" applyBorder="1" applyAlignment="1" applyProtection="1">
      <alignment horizontal="center" vertical="center"/>
    </xf>
    <xf numFmtId="0" fontId="60" fillId="0" borderId="86" xfId="3" applyFont="1" applyFill="1" applyBorder="1" applyAlignment="1" applyProtection="1">
      <alignment horizontal="center" vertical="center"/>
    </xf>
    <xf numFmtId="0" fontId="59" fillId="11" borderId="88" xfId="3" applyFont="1" applyFill="1" applyBorder="1" applyAlignment="1" applyProtection="1">
      <alignment horizontal="center" vertical="center"/>
    </xf>
    <xf numFmtId="0" fontId="60" fillId="13" borderId="89" xfId="3" applyFont="1" applyFill="1" applyBorder="1" applyAlignment="1" applyProtection="1">
      <alignment horizontal="center" vertical="center"/>
    </xf>
    <xf numFmtId="0" fontId="53" fillId="0" borderId="90" xfId="3" applyFont="1" applyFill="1" applyBorder="1" applyAlignment="1" applyProtection="1">
      <alignment horizontal="center" vertical="center"/>
    </xf>
    <xf numFmtId="0" fontId="60" fillId="0" borderId="91" xfId="3" applyFont="1" applyFill="1" applyBorder="1" applyAlignment="1" applyProtection="1">
      <alignment horizontal="center" vertical="center"/>
    </xf>
    <xf numFmtId="0" fontId="61" fillId="11" borderId="88" xfId="3" applyFont="1" applyFill="1" applyBorder="1" applyAlignment="1" applyProtection="1">
      <alignment horizontal="center" vertical="center"/>
    </xf>
    <xf numFmtId="0" fontId="60" fillId="0" borderId="89" xfId="3" applyFont="1" applyFill="1" applyBorder="1" applyAlignment="1" applyProtection="1">
      <alignment horizontal="center" vertical="center"/>
    </xf>
    <xf numFmtId="0" fontId="62" fillId="0" borderId="0" xfId="3" applyFont="1" applyFill="1" applyBorder="1" applyAlignment="1" applyProtection="1">
      <alignment horizontal="center" vertical="center"/>
    </xf>
    <xf numFmtId="0" fontId="63" fillId="0" borderId="0" xfId="3" applyFont="1" applyFill="1" applyBorder="1" applyAlignment="1" applyProtection="1">
      <alignment horizontal="center" vertical="center"/>
    </xf>
    <xf numFmtId="0" fontId="61" fillId="11" borderId="80" xfId="3" applyFont="1" applyFill="1" applyBorder="1" applyAlignment="1" applyProtection="1">
      <alignment horizontal="center" vertical="center"/>
    </xf>
    <xf numFmtId="0" fontId="61" fillId="0" borderId="0" xfId="3" applyFont="1" applyFill="1" applyBorder="1" applyAlignment="1" applyProtection="1">
      <alignment horizontal="center" vertical="center"/>
    </xf>
    <xf numFmtId="0" fontId="60" fillId="0" borderId="0" xfId="3" applyFont="1" applyFill="1" applyBorder="1" applyAlignment="1" applyProtection="1">
      <alignment horizontal="center" vertical="center"/>
    </xf>
    <xf numFmtId="0" fontId="53" fillId="0" borderId="0" xfId="3" applyFont="1" applyFill="1" applyBorder="1" applyAlignment="1" applyProtection="1">
      <alignment horizontal="center" vertical="center"/>
    </xf>
    <xf numFmtId="0" fontId="64" fillId="0" borderId="82" xfId="3" applyFont="1" applyFill="1" applyBorder="1" applyAlignment="1" applyProtection="1">
      <alignment horizontal="center" vertical="center"/>
    </xf>
    <xf numFmtId="0" fontId="64" fillId="0" borderId="86" xfId="3" applyFont="1" applyFill="1" applyBorder="1" applyAlignment="1" applyProtection="1">
      <alignment horizontal="center" vertical="center"/>
    </xf>
    <xf numFmtId="0" fontId="60" fillId="13" borderId="81" xfId="3" applyFont="1" applyFill="1" applyBorder="1" applyAlignment="1" applyProtection="1">
      <alignment horizontal="center" vertical="center"/>
    </xf>
    <xf numFmtId="0" fontId="53" fillId="13" borderId="82" xfId="3" applyFont="1" applyFill="1" applyBorder="1" applyAlignment="1" applyProtection="1">
      <alignment horizontal="center" vertical="center"/>
    </xf>
    <xf numFmtId="0" fontId="60" fillId="0" borderId="85" xfId="3" applyFont="1" applyFill="1" applyBorder="1" applyAlignment="1" applyProtection="1">
      <alignment horizontal="center" vertical="center"/>
    </xf>
    <xf numFmtId="0" fontId="53" fillId="13" borderId="86" xfId="3" applyFont="1" applyFill="1" applyBorder="1" applyAlignment="1" applyProtection="1">
      <alignment horizontal="center" vertical="center"/>
    </xf>
    <xf numFmtId="0" fontId="48" fillId="0" borderId="24" xfId="3" applyFont="1" applyFill="1" applyBorder="1" applyAlignment="1" applyProtection="1">
      <alignment horizontal="center" vertical="center"/>
    </xf>
    <xf numFmtId="0" fontId="48" fillId="0" borderId="51" xfId="3" applyFont="1" applyFill="1" applyBorder="1" applyAlignment="1" applyProtection="1">
      <alignment horizontal="center" vertical="center"/>
    </xf>
    <xf numFmtId="0" fontId="65" fillId="0" borderId="51" xfId="3" applyFont="1" applyFill="1" applyBorder="1" applyAlignment="1" applyProtection="1">
      <alignment horizontal="left" vertical="center"/>
    </xf>
    <xf numFmtId="0" fontId="48" fillId="0" borderId="51" xfId="3" applyFont="1" applyFill="1" applyBorder="1" applyAlignment="1" applyProtection="1">
      <alignment horizontal="left" vertical="center"/>
    </xf>
    <xf numFmtId="0" fontId="66" fillId="0" borderId="51" xfId="3" applyFont="1" applyFill="1" applyBorder="1" applyAlignment="1" applyProtection="1">
      <alignment horizontal="left" vertical="center"/>
    </xf>
    <xf numFmtId="0" fontId="67" fillId="0" borderId="51" xfId="3" applyFont="1" applyFill="1" applyBorder="1" applyAlignment="1" applyProtection="1">
      <alignment horizontal="left" vertical="center"/>
    </xf>
    <xf numFmtId="0" fontId="68" fillId="0" borderId="91" xfId="3" quotePrefix="1" applyFont="1" applyFill="1" applyBorder="1" applyAlignment="1" applyProtection="1">
      <alignment horizontal="right" vertical="center"/>
    </xf>
    <xf numFmtId="0" fontId="70" fillId="0" borderId="0" xfId="5" applyFont="1" applyAlignment="1">
      <alignment horizontal="center"/>
    </xf>
    <xf numFmtId="0" fontId="71" fillId="0" borderId="0" xfId="5" applyFont="1" applyAlignment="1">
      <alignment horizontal="center"/>
    </xf>
    <xf numFmtId="1" fontId="70" fillId="0" borderId="0" xfId="5" applyNumberFormat="1" applyFont="1" applyBorder="1" applyAlignment="1">
      <alignment horizontal="center"/>
    </xf>
    <xf numFmtId="0" fontId="72" fillId="0" borderId="0" xfId="5" applyFont="1"/>
    <xf numFmtId="0" fontId="73" fillId="0" borderId="0" xfId="5" applyFont="1" applyAlignment="1">
      <alignment horizontal="center"/>
    </xf>
    <xf numFmtId="1" fontId="74" fillId="0" borderId="46" xfId="5" applyNumberFormat="1" applyFont="1" applyBorder="1" applyAlignment="1">
      <alignment horizontal="center"/>
    </xf>
    <xf numFmtId="1" fontId="70" fillId="14" borderId="92" xfId="5" applyNumberFormat="1" applyFont="1" applyFill="1" applyBorder="1" applyAlignment="1">
      <alignment horizontal="center"/>
    </xf>
    <xf numFmtId="1" fontId="70" fillId="15" borderId="93" xfId="5" applyNumberFormat="1" applyFont="1" applyFill="1" applyBorder="1" applyAlignment="1">
      <alignment horizontal="center"/>
    </xf>
    <xf numFmtId="1" fontId="70" fillId="16" borderId="92" xfId="5" applyNumberFormat="1" applyFont="1" applyFill="1" applyBorder="1" applyAlignment="1">
      <alignment horizontal="center"/>
    </xf>
    <xf numFmtId="0" fontId="75" fillId="0" borderId="0" xfId="5" applyFont="1" applyAlignment="1">
      <alignment horizontal="center"/>
    </xf>
    <xf numFmtId="0" fontId="75" fillId="17" borderId="46" xfId="5" applyFont="1" applyFill="1" applyBorder="1" applyAlignment="1">
      <alignment horizontal="center"/>
    </xf>
    <xf numFmtId="0" fontId="75" fillId="17" borderId="94" xfId="5" applyFont="1" applyFill="1" applyBorder="1"/>
    <xf numFmtId="0" fontId="75" fillId="0" borderId="93" xfId="5" applyFont="1" applyFill="1" applyBorder="1" applyAlignment="1">
      <alignment horizontal="center"/>
    </xf>
    <xf numFmtId="0" fontId="76" fillId="0" borderId="23" xfId="5" applyFont="1" applyFill="1" applyBorder="1"/>
    <xf numFmtId="0" fontId="76" fillId="0" borderId="0" xfId="5" applyFont="1"/>
    <xf numFmtId="0" fontId="76" fillId="0" borderId="28" xfId="5" applyFont="1" applyBorder="1"/>
    <xf numFmtId="1" fontId="75" fillId="0" borderId="1" xfId="5" applyNumberFormat="1" applyFont="1" applyFill="1" applyBorder="1" applyAlignment="1">
      <alignment horizontal="center"/>
    </xf>
    <xf numFmtId="167" fontId="75" fillId="0" borderId="95" xfId="5" applyNumberFormat="1" applyFont="1" applyFill="1" applyBorder="1" applyAlignment="1" applyProtection="1">
      <alignment vertical="center"/>
      <protection locked="0"/>
    </xf>
    <xf numFmtId="167" fontId="75" fillId="0" borderId="0" xfId="5" applyNumberFormat="1" applyFont="1" applyFill="1" applyBorder="1" applyAlignment="1">
      <alignment vertical="center"/>
    </xf>
    <xf numFmtId="167" fontId="75" fillId="18" borderId="22" xfId="5" applyNumberFormat="1" applyFont="1" applyFill="1" applyBorder="1" applyAlignment="1">
      <alignment vertical="center"/>
    </xf>
    <xf numFmtId="167" fontId="75" fillId="18" borderId="0" xfId="5" applyNumberFormat="1" applyFont="1" applyFill="1" applyBorder="1" applyAlignment="1">
      <alignment vertical="center"/>
    </xf>
    <xf numFmtId="167" fontId="75" fillId="0" borderId="0" xfId="5" applyNumberFormat="1" applyFont="1" applyFill="1" applyBorder="1"/>
    <xf numFmtId="0" fontId="75" fillId="19" borderId="28" xfId="5" applyFont="1" applyFill="1" applyBorder="1" applyAlignment="1">
      <alignment horizontal="center"/>
    </xf>
    <xf numFmtId="167" fontId="75" fillId="18" borderId="95" xfId="5" applyNumberFormat="1" applyFont="1" applyFill="1" applyBorder="1" applyAlignment="1" applyProtection="1">
      <alignment vertical="center"/>
      <protection locked="0"/>
    </xf>
    <xf numFmtId="167" fontId="75" fillId="18" borderId="21" xfId="5" applyNumberFormat="1" applyFont="1" applyFill="1" applyBorder="1" applyAlignment="1">
      <alignment vertical="center"/>
    </xf>
    <xf numFmtId="167" fontId="75" fillId="20" borderId="22" xfId="5" applyNumberFormat="1" applyFont="1" applyFill="1" applyBorder="1" applyAlignment="1">
      <alignment vertical="center"/>
    </xf>
    <xf numFmtId="167" fontId="75" fillId="18" borderId="28" xfId="5" applyNumberFormat="1" applyFont="1" applyFill="1" applyBorder="1" applyAlignment="1">
      <alignment vertical="center"/>
    </xf>
    <xf numFmtId="167" fontId="75" fillId="0" borderId="28" xfId="5" applyNumberFormat="1" applyFont="1" applyFill="1" applyBorder="1"/>
    <xf numFmtId="0" fontId="76" fillId="0" borderId="1" xfId="5" applyFont="1" applyBorder="1"/>
    <xf numFmtId="1" fontId="76" fillId="0" borderId="96" xfId="5" applyNumberFormat="1" applyFont="1" applyFill="1" applyBorder="1" applyAlignment="1" applyProtection="1">
      <alignment vertical="center"/>
      <protection locked="0"/>
    </xf>
    <xf numFmtId="0" fontId="76" fillId="0" borderId="7" xfId="5" applyFont="1" applyFill="1" applyBorder="1" applyAlignment="1">
      <alignment vertical="center"/>
    </xf>
    <xf numFmtId="1" fontId="76" fillId="18" borderId="2" xfId="5" applyNumberFormat="1" applyFont="1" applyFill="1" applyBorder="1" applyAlignment="1">
      <alignment vertical="center"/>
    </xf>
    <xf numFmtId="0" fontId="76" fillId="18" borderId="2" xfId="5" applyFont="1" applyFill="1" applyBorder="1" applyAlignment="1">
      <alignment vertical="center"/>
    </xf>
    <xf numFmtId="0" fontId="76" fillId="0" borderId="1" xfId="5" applyFont="1" applyFill="1" applyBorder="1" applyAlignment="1">
      <alignment vertical="center"/>
    </xf>
    <xf numFmtId="0" fontId="76" fillId="0" borderId="1" xfId="5" applyFont="1" applyFill="1" applyBorder="1"/>
    <xf numFmtId="1" fontId="76" fillId="0" borderId="3" xfId="5" applyNumberFormat="1" applyFont="1" applyFill="1" applyBorder="1" applyAlignment="1">
      <alignment vertical="center"/>
    </xf>
    <xf numFmtId="1" fontId="76" fillId="18" borderId="6" xfId="5" applyNumberFormat="1" applyFont="1" applyFill="1" applyBorder="1" applyAlignment="1">
      <alignment vertical="center"/>
    </xf>
    <xf numFmtId="1" fontId="76" fillId="0" borderId="5" xfId="5" applyNumberFormat="1" applyFont="1" applyFill="1" applyBorder="1" applyAlignment="1">
      <alignment vertical="center"/>
    </xf>
    <xf numFmtId="1" fontId="76" fillId="0" borderId="5" xfId="5" applyNumberFormat="1" applyFont="1" applyFill="1" applyBorder="1"/>
    <xf numFmtId="0" fontId="76" fillId="0" borderId="2" xfId="5" applyFont="1" applyFill="1" applyBorder="1"/>
    <xf numFmtId="0" fontId="76" fillId="0" borderId="96" xfId="5" applyFont="1" applyFill="1" applyBorder="1" applyAlignment="1" applyProtection="1">
      <alignment vertical="center"/>
      <protection locked="0"/>
    </xf>
    <xf numFmtId="0" fontId="76" fillId="0" borderId="97" xfId="5" applyFont="1" applyFill="1" applyBorder="1" applyAlignment="1" applyProtection="1">
      <alignment vertical="center"/>
      <protection locked="0"/>
    </xf>
    <xf numFmtId="0" fontId="76" fillId="0" borderId="3" xfId="5" applyFont="1" applyFill="1" applyBorder="1" applyAlignment="1">
      <alignment vertical="center"/>
    </xf>
    <xf numFmtId="0" fontId="76" fillId="18" borderId="6" xfId="5" applyFont="1" applyFill="1" applyBorder="1" applyAlignment="1">
      <alignment vertical="center"/>
    </xf>
    <xf numFmtId="0" fontId="76" fillId="0" borderId="5" xfId="5" applyFont="1" applyFill="1" applyBorder="1" applyAlignment="1">
      <alignment vertical="center"/>
    </xf>
    <xf numFmtId="0" fontId="76" fillId="0" borderId="5" xfId="5" applyFont="1" applyFill="1" applyBorder="1"/>
    <xf numFmtId="167" fontId="75" fillId="0" borderId="93" xfId="5" applyNumberFormat="1" applyFont="1" applyFill="1" applyBorder="1" applyAlignment="1" applyProtection="1">
      <alignment vertical="center"/>
      <protection locked="0"/>
    </xf>
    <xf numFmtId="167" fontId="75" fillId="0" borderId="47" xfId="5" applyNumberFormat="1" applyFont="1" applyFill="1" applyBorder="1" applyAlignment="1">
      <alignment vertical="center"/>
    </xf>
    <xf numFmtId="167" fontId="75" fillId="18" borderId="93" xfId="5" applyNumberFormat="1" applyFont="1" applyFill="1" applyBorder="1" applyAlignment="1">
      <alignment vertical="center"/>
    </xf>
    <xf numFmtId="167" fontId="75" fillId="0" borderId="46" xfId="5" applyNumberFormat="1" applyFont="1" applyFill="1" applyBorder="1" applyAlignment="1">
      <alignment vertical="center"/>
    </xf>
    <xf numFmtId="167" fontId="75" fillId="0" borderId="46" xfId="5" applyNumberFormat="1" applyFont="1" applyFill="1" applyBorder="1"/>
    <xf numFmtId="167" fontId="75" fillId="0" borderId="0" xfId="5" applyNumberFormat="1" applyFont="1" applyAlignment="1">
      <alignment horizontal="center"/>
    </xf>
    <xf numFmtId="0" fontId="76" fillId="0" borderId="2" xfId="5" applyFont="1" applyFill="1" applyBorder="1" applyAlignment="1">
      <alignment horizontal="left"/>
    </xf>
    <xf numFmtId="0" fontId="76" fillId="0" borderId="1" xfId="5" applyFont="1" applyFill="1" applyBorder="1" applyAlignment="1">
      <alignment horizontal="left"/>
    </xf>
    <xf numFmtId="167" fontId="75" fillId="20" borderId="96" xfId="5" applyNumberFormat="1" applyFont="1" applyFill="1" applyBorder="1" applyAlignment="1" applyProtection="1">
      <alignment vertical="center"/>
    </xf>
    <xf numFmtId="167" fontId="75" fillId="20" borderId="7" xfId="5" applyNumberFormat="1" applyFont="1" applyFill="1" applyBorder="1" applyAlignment="1" applyProtection="1">
      <alignment vertical="center"/>
    </xf>
    <xf numFmtId="167" fontId="75" fillId="20" borderId="2" xfId="5" applyNumberFormat="1" applyFont="1" applyFill="1" applyBorder="1" applyAlignment="1" applyProtection="1">
      <alignment vertical="center"/>
    </xf>
    <xf numFmtId="167" fontId="75" fillId="20" borderId="1" xfId="5" applyNumberFormat="1" applyFont="1" applyFill="1" applyBorder="1" applyAlignment="1" applyProtection="1">
      <alignment vertical="center"/>
    </xf>
    <xf numFmtId="167" fontId="75" fillId="0" borderId="1" xfId="5" applyNumberFormat="1" applyFont="1" applyFill="1" applyBorder="1" applyProtection="1"/>
    <xf numFmtId="0" fontId="76" fillId="0" borderId="2" xfId="5" applyFont="1" applyBorder="1"/>
    <xf numFmtId="167" fontId="75" fillId="0" borderId="96" xfId="5" applyNumberFormat="1" applyFont="1" applyFill="1" applyBorder="1" applyAlignment="1" applyProtection="1">
      <alignment vertical="center"/>
      <protection locked="0"/>
    </xf>
    <xf numFmtId="0" fontId="76" fillId="0" borderId="0" xfId="5" applyFont="1" applyFill="1" applyBorder="1" applyAlignment="1">
      <alignment vertical="center"/>
    </xf>
    <xf numFmtId="0" fontId="76" fillId="18" borderId="0" xfId="5" applyFont="1" applyFill="1" applyBorder="1" applyAlignment="1">
      <alignment vertical="center"/>
    </xf>
    <xf numFmtId="0" fontId="76" fillId="0" borderId="0" xfId="5" applyFont="1" applyFill="1" applyBorder="1"/>
    <xf numFmtId="2" fontId="76" fillId="0" borderId="96" xfId="5" applyNumberFormat="1" applyFont="1" applyFill="1" applyBorder="1" applyAlignment="1" applyProtection="1">
      <alignment vertical="center"/>
      <protection locked="0"/>
    </xf>
    <xf numFmtId="167" fontId="76" fillId="0" borderId="7" xfId="5" applyNumberFormat="1" applyFont="1" applyFill="1" applyBorder="1" applyAlignment="1">
      <alignment vertical="center"/>
    </xf>
    <xf numFmtId="167" fontId="76" fillId="0" borderId="1" xfId="5" applyNumberFormat="1" applyFont="1" applyFill="1" applyBorder="1" applyAlignment="1">
      <alignment vertical="center"/>
    </xf>
    <xf numFmtId="167" fontId="76" fillId="0" borderId="1" xfId="5" applyNumberFormat="1" applyFont="1" applyFill="1" applyBorder="1"/>
    <xf numFmtId="0" fontId="75" fillId="0" borderId="1" xfId="5" applyFont="1" applyBorder="1"/>
    <xf numFmtId="1" fontId="76" fillId="21" borderId="96" xfId="5" applyNumberFormat="1" applyFont="1" applyFill="1" applyBorder="1" applyAlignment="1" applyProtection="1">
      <alignment horizontal="center" vertical="center"/>
      <protection locked="0"/>
    </xf>
    <xf numFmtId="1" fontId="76" fillId="21" borderId="2" xfId="5" applyNumberFormat="1" applyFont="1" applyFill="1" applyBorder="1" applyAlignment="1" applyProtection="1">
      <alignment horizontal="center" vertical="center"/>
    </xf>
    <xf numFmtId="1" fontId="76" fillId="18" borderId="2" xfId="5" applyNumberFormat="1" applyFont="1" applyFill="1" applyBorder="1" applyAlignment="1" applyProtection="1">
      <alignment horizontal="center" vertical="center"/>
    </xf>
    <xf numFmtId="1" fontId="76" fillId="21" borderId="2" xfId="5" applyNumberFormat="1" applyFont="1" applyFill="1" applyBorder="1" applyAlignment="1" applyProtection="1">
      <alignment horizontal="center"/>
    </xf>
    <xf numFmtId="167" fontId="76" fillId="0" borderId="96" xfId="5" applyNumberFormat="1" applyFont="1" applyFill="1" applyBorder="1" applyAlignment="1" applyProtection="1">
      <alignment vertical="center"/>
      <protection locked="0"/>
    </xf>
    <xf numFmtId="0" fontId="76" fillId="22" borderId="2" xfId="5" applyFont="1" applyFill="1" applyBorder="1" applyAlignment="1">
      <alignment vertical="center"/>
    </xf>
    <xf numFmtId="0" fontId="76" fillId="22" borderId="0" xfId="5" applyFont="1" applyFill="1" applyBorder="1" applyAlignment="1">
      <alignment vertical="center"/>
    </xf>
    <xf numFmtId="167" fontId="76" fillId="0" borderId="0" xfId="5" applyNumberFormat="1" applyFont="1" applyFill="1" applyBorder="1" applyAlignment="1">
      <alignment vertical="center"/>
    </xf>
    <xf numFmtId="167" fontId="76" fillId="18" borderId="2" xfId="5" applyNumberFormat="1" applyFont="1" applyFill="1" applyBorder="1" applyAlignment="1">
      <alignment vertical="center"/>
    </xf>
    <xf numFmtId="167" fontId="76" fillId="23" borderId="2" xfId="5" applyNumberFormat="1" applyFont="1" applyFill="1" applyBorder="1" applyAlignment="1">
      <alignment vertical="center"/>
    </xf>
    <xf numFmtId="0" fontId="75" fillId="0" borderId="2" xfId="5" applyFont="1" applyBorder="1"/>
    <xf numFmtId="0" fontId="76" fillId="18" borderId="96" xfId="5" applyFont="1" applyFill="1" applyBorder="1" applyAlignment="1" applyProtection="1">
      <alignment vertical="center"/>
      <protection locked="0"/>
    </xf>
    <xf numFmtId="0" fontId="76" fillId="23" borderId="6" xfId="5" applyFont="1" applyFill="1" applyBorder="1" applyAlignment="1">
      <alignment vertical="center"/>
    </xf>
    <xf numFmtId="167" fontId="76" fillId="0" borderId="97" xfId="5" applyNumberFormat="1" applyFont="1" applyFill="1" applyBorder="1" applyAlignment="1" applyProtection="1">
      <alignment vertical="center"/>
      <protection locked="0"/>
    </xf>
    <xf numFmtId="0" fontId="75" fillId="0" borderId="97" xfId="5" applyFont="1" applyFill="1" applyBorder="1" applyAlignment="1" applyProtection="1">
      <alignment vertical="center"/>
      <protection locked="0"/>
    </xf>
    <xf numFmtId="0" fontId="75" fillId="24" borderId="2" xfId="5" applyFont="1" applyFill="1" applyBorder="1"/>
    <xf numFmtId="0" fontId="75" fillId="24" borderId="1" xfId="5" applyFont="1" applyFill="1" applyBorder="1"/>
    <xf numFmtId="0" fontId="75" fillId="0" borderId="98" xfId="5" applyFont="1" applyFill="1" applyBorder="1" applyAlignment="1" applyProtection="1">
      <alignment vertical="center"/>
      <protection locked="0"/>
    </xf>
    <xf numFmtId="0" fontId="75" fillId="0" borderId="99" xfId="5" applyFont="1" applyFill="1" applyBorder="1" applyAlignment="1">
      <alignment vertical="center"/>
    </xf>
    <xf numFmtId="0" fontId="75" fillId="18" borderId="100" xfId="5" applyFont="1" applyFill="1" applyBorder="1" applyAlignment="1">
      <alignment vertical="center"/>
    </xf>
    <xf numFmtId="0" fontId="75" fillId="0" borderId="101" xfId="5" applyFont="1" applyFill="1" applyBorder="1" applyAlignment="1">
      <alignment vertical="center"/>
    </xf>
    <xf numFmtId="0" fontId="75" fillId="0" borderId="101" xfId="5" applyFont="1" applyFill="1" applyBorder="1"/>
    <xf numFmtId="0" fontId="77" fillId="0" borderId="0" xfId="5" applyFont="1" applyAlignment="1">
      <alignment horizontal="center"/>
    </xf>
    <xf numFmtId="0" fontId="76" fillId="0" borderId="102" xfId="5" applyFont="1" applyFill="1" applyBorder="1" applyAlignment="1">
      <alignment vertical="center"/>
    </xf>
    <xf numFmtId="0" fontId="76" fillId="0" borderId="0" xfId="5" applyFont="1" applyFill="1" applyAlignment="1">
      <alignment vertical="center"/>
    </xf>
    <xf numFmtId="0" fontId="76" fillId="0" borderId="0" xfId="5" applyFont="1" applyFill="1"/>
    <xf numFmtId="0" fontId="78" fillId="0" borderId="46" xfId="5" applyFont="1" applyBorder="1" applyAlignment="1">
      <alignment horizontal="center"/>
    </xf>
    <xf numFmtId="0" fontId="75" fillId="0" borderId="93" xfId="5" applyFont="1" applyFill="1" applyBorder="1" applyAlignment="1">
      <alignment horizontal="center" vertical="center"/>
    </xf>
    <xf numFmtId="0" fontId="75" fillId="0" borderId="23" xfId="5" applyFont="1" applyFill="1" applyBorder="1" applyAlignment="1">
      <alignment horizontal="center" vertical="center"/>
    </xf>
    <xf numFmtId="0" fontId="75" fillId="0" borderId="23" xfId="5" applyFont="1" applyFill="1" applyBorder="1" applyAlignment="1">
      <alignment horizontal="center"/>
    </xf>
    <xf numFmtId="167" fontId="76" fillId="0" borderId="95" xfId="5" applyNumberFormat="1" applyFont="1" applyFill="1" applyBorder="1" applyAlignment="1">
      <alignment vertical="center"/>
    </xf>
    <xf numFmtId="2" fontId="76" fillId="25" borderId="21" xfId="5" applyNumberFormat="1" applyFont="1" applyFill="1" applyBorder="1" applyAlignment="1">
      <alignment vertical="center"/>
    </xf>
    <xf numFmtId="2" fontId="76" fillId="25" borderId="21" xfId="5" applyNumberFormat="1" applyFont="1" applyFill="1" applyBorder="1"/>
    <xf numFmtId="0" fontId="76" fillId="0" borderId="2" xfId="5" applyFont="1" applyBorder="1" applyAlignment="1">
      <alignment horizontal="right"/>
    </xf>
    <xf numFmtId="169" fontId="76" fillId="0" borderId="96" xfId="5" applyNumberFormat="1" applyFont="1" applyFill="1" applyBorder="1" applyAlignment="1">
      <alignment vertical="center"/>
    </xf>
    <xf numFmtId="2" fontId="76" fillId="25" borderId="7" xfId="5" applyNumberFormat="1" applyFont="1" applyFill="1" applyBorder="1" applyAlignment="1">
      <alignment vertical="center"/>
    </xf>
    <xf numFmtId="2" fontId="76" fillId="25" borderId="7" xfId="5" applyNumberFormat="1" applyFont="1" applyFill="1" applyBorder="1"/>
    <xf numFmtId="1" fontId="75" fillId="0" borderId="96" xfId="5" applyNumberFormat="1" applyFont="1" applyFill="1" applyBorder="1" applyAlignment="1">
      <alignment vertical="center"/>
    </xf>
    <xf numFmtId="167" fontId="76" fillId="25" borderId="7" xfId="5" applyNumberFormat="1" applyFont="1" applyFill="1" applyBorder="1" applyAlignment="1">
      <alignment vertical="center"/>
    </xf>
    <xf numFmtId="167" fontId="76" fillId="25" borderId="7" xfId="5" applyNumberFormat="1" applyFont="1" applyFill="1" applyBorder="1"/>
    <xf numFmtId="167" fontId="76" fillId="0" borderId="96" xfId="5" applyNumberFormat="1" applyFont="1" applyFill="1" applyBorder="1" applyAlignment="1">
      <alignment vertical="center"/>
    </xf>
    <xf numFmtId="167" fontId="76" fillId="0" borderId="7" xfId="5" applyNumberFormat="1" applyFont="1" applyFill="1" applyBorder="1"/>
    <xf numFmtId="1" fontId="75" fillId="26" borderId="1" xfId="5" applyNumberFormat="1" applyFont="1" applyFill="1" applyBorder="1" applyAlignment="1">
      <alignment horizontal="center"/>
    </xf>
    <xf numFmtId="0" fontId="76" fillId="0" borderId="7" xfId="5" applyFont="1" applyFill="1" applyBorder="1"/>
    <xf numFmtId="1" fontId="75" fillId="27" borderId="1" xfId="5" applyNumberFormat="1" applyFont="1" applyFill="1" applyBorder="1" applyAlignment="1">
      <alignment horizontal="center"/>
    </xf>
    <xf numFmtId="167" fontId="76" fillId="0" borderId="97" xfId="5" applyNumberFormat="1" applyFont="1" applyFill="1" applyBorder="1" applyAlignment="1">
      <alignment vertical="center"/>
    </xf>
    <xf numFmtId="0" fontId="76" fillId="26" borderId="2" xfId="5" applyFont="1" applyFill="1" applyBorder="1" applyAlignment="1">
      <alignment horizontal="right"/>
    </xf>
    <xf numFmtId="1" fontId="75" fillId="0" borderId="95" xfId="5" applyNumberFormat="1" applyFont="1" applyFill="1" applyBorder="1" applyAlignment="1">
      <alignment vertical="center"/>
    </xf>
    <xf numFmtId="168" fontId="76" fillId="0" borderId="7" xfId="5" applyNumberFormat="1" applyFont="1" applyFill="1" applyBorder="1" applyAlignment="1">
      <alignment vertical="center"/>
    </xf>
    <xf numFmtId="168" fontId="76" fillId="0" borderId="7" xfId="5" applyNumberFormat="1" applyFont="1" applyFill="1" applyBorder="1"/>
    <xf numFmtId="0" fontId="76" fillId="28" borderId="2" xfId="5" applyFont="1" applyFill="1" applyBorder="1" applyAlignment="1">
      <alignment horizontal="right"/>
    </xf>
    <xf numFmtId="0" fontId="76" fillId="28" borderId="1" xfId="5" applyFont="1" applyFill="1" applyBorder="1" applyAlignment="1">
      <alignment horizontal="center"/>
    </xf>
    <xf numFmtId="1" fontId="76" fillId="0" borderId="96" xfId="5" applyNumberFormat="1" applyFont="1" applyFill="1" applyBorder="1" applyAlignment="1">
      <alignment vertical="center"/>
    </xf>
    <xf numFmtId="1" fontId="76" fillId="0" borderId="7" xfId="5" applyNumberFormat="1" applyFont="1" applyFill="1" applyBorder="1" applyAlignment="1">
      <alignment vertical="center"/>
    </xf>
    <xf numFmtId="1" fontId="76" fillId="0" borderId="7" xfId="5" applyNumberFormat="1" applyFont="1" applyFill="1" applyBorder="1"/>
    <xf numFmtId="0" fontId="76" fillId="25" borderId="7" xfId="5" applyFont="1" applyFill="1" applyBorder="1" applyAlignment="1">
      <alignment vertical="center"/>
    </xf>
    <xf numFmtId="0" fontId="76" fillId="25" borderId="7" xfId="5" applyFont="1" applyFill="1" applyBorder="1"/>
    <xf numFmtId="0" fontId="75" fillId="17" borderId="2" xfId="5" applyFont="1" applyFill="1" applyBorder="1" applyAlignment="1">
      <alignment horizontal="right"/>
    </xf>
    <xf numFmtId="1" fontId="75" fillId="17" borderId="1" xfId="5" applyNumberFormat="1" applyFont="1" applyFill="1" applyBorder="1" applyAlignment="1">
      <alignment horizontal="center"/>
    </xf>
    <xf numFmtId="0" fontId="75" fillId="29" borderId="6" xfId="5" applyFont="1" applyFill="1" applyBorder="1" applyAlignment="1">
      <alignment horizontal="right"/>
    </xf>
    <xf numFmtId="1" fontId="75" fillId="29" borderId="1" xfId="5" applyNumberFormat="1" applyFont="1" applyFill="1" applyBorder="1" applyAlignment="1">
      <alignment horizontal="center"/>
    </xf>
    <xf numFmtId="1" fontId="75" fillId="0" borderId="97" xfId="5" applyNumberFormat="1" applyFont="1" applyFill="1" applyBorder="1" applyAlignment="1">
      <alignment vertical="center"/>
    </xf>
    <xf numFmtId="0" fontId="75" fillId="30" borderId="6" xfId="5" applyFont="1" applyFill="1" applyBorder="1" applyAlignment="1">
      <alignment horizontal="right"/>
    </xf>
    <xf numFmtId="0" fontId="75" fillId="30" borderId="5" xfId="5" applyFont="1" applyFill="1" applyBorder="1" applyAlignment="1">
      <alignment horizontal="center"/>
    </xf>
    <xf numFmtId="0" fontId="75" fillId="0" borderId="97" xfId="5" applyFont="1" applyFill="1" applyBorder="1" applyAlignment="1">
      <alignment vertical="center"/>
    </xf>
    <xf numFmtId="0" fontId="75" fillId="30" borderId="22" xfId="5" applyFont="1" applyFill="1" applyBorder="1" applyAlignment="1">
      <alignment horizontal="right"/>
    </xf>
    <xf numFmtId="1" fontId="75" fillId="30" borderId="1" xfId="5" applyNumberFormat="1" applyFont="1" applyFill="1" applyBorder="1" applyAlignment="1">
      <alignment horizontal="center"/>
    </xf>
    <xf numFmtId="167" fontId="75" fillId="0" borderId="95" xfId="5" applyNumberFormat="1" applyFont="1" applyFill="1" applyBorder="1" applyAlignment="1">
      <alignment vertical="center"/>
    </xf>
    <xf numFmtId="169" fontId="76" fillId="0" borderId="7" xfId="5" applyNumberFormat="1" applyFont="1" applyFill="1" applyBorder="1" applyAlignment="1">
      <alignment vertical="center"/>
    </xf>
    <xf numFmtId="169" fontId="76" fillId="0" borderId="7" xfId="5" applyNumberFormat="1" applyFont="1" applyFill="1" applyBorder="1"/>
    <xf numFmtId="0" fontId="75" fillId="31" borderId="2" xfId="5" applyFont="1" applyFill="1" applyBorder="1" applyAlignment="1">
      <alignment horizontal="right"/>
    </xf>
    <xf numFmtId="0" fontId="75" fillId="31" borderId="26" xfId="5" applyFont="1" applyFill="1" applyBorder="1" applyAlignment="1">
      <alignment horizontal="center"/>
    </xf>
    <xf numFmtId="0" fontId="75" fillId="32" borderId="2" xfId="5" applyFont="1" applyFill="1" applyBorder="1" applyAlignment="1">
      <alignment horizontal="right"/>
    </xf>
    <xf numFmtId="1" fontId="75" fillId="32" borderId="1" xfId="5" applyNumberFormat="1" applyFont="1" applyFill="1" applyBorder="1" applyAlignment="1">
      <alignment horizontal="center"/>
    </xf>
    <xf numFmtId="0" fontId="78" fillId="0" borderId="0" xfId="5" applyFont="1" applyAlignment="1">
      <alignment horizontal="center"/>
    </xf>
    <xf numFmtId="0" fontId="80" fillId="15" borderId="2" xfId="5" applyFont="1" applyFill="1" applyBorder="1" applyAlignment="1">
      <alignment horizontal="right"/>
    </xf>
    <xf numFmtId="0" fontId="79" fillId="15" borderId="8" xfId="5" applyFont="1" applyFill="1" applyBorder="1" applyAlignment="1">
      <alignment horizontal="center"/>
    </xf>
    <xf numFmtId="167" fontId="81" fillId="14" borderId="93" xfId="5" applyNumberFormat="1" applyFont="1" applyFill="1" applyBorder="1" applyAlignment="1">
      <alignment horizontal="center" vertical="center"/>
    </xf>
    <xf numFmtId="167" fontId="81" fillId="14" borderId="7" xfId="5" applyNumberFormat="1" applyFont="1" applyFill="1" applyBorder="1" applyAlignment="1">
      <alignment vertical="center"/>
    </xf>
    <xf numFmtId="167" fontId="81" fillId="14" borderId="7" xfId="5" applyNumberFormat="1" applyFont="1" applyFill="1" applyBorder="1"/>
    <xf numFmtId="0" fontId="78" fillId="0" borderId="0" xfId="5" applyFont="1"/>
    <xf numFmtId="0" fontId="79" fillId="0" borderId="0" xfId="5" applyFont="1" applyAlignment="1">
      <alignment horizontal="center"/>
    </xf>
    <xf numFmtId="0" fontId="78" fillId="0" borderId="2" xfId="5" applyFont="1" applyBorder="1" applyAlignment="1">
      <alignment horizontal="right"/>
    </xf>
    <xf numFmtId="0" fontId="78" fillId="0" borderId="1" xfId="5" applyFont="1" applyBorder="1" applyAlignment="1">
      <alignment horizontal="center"/>
    </xf>
    <xf numFmtId="0" fontId="55" fillId="0" borderId="96" xfId="5" applyFont="1" applyFill="1" applyBorder="1" applyAlignment="1">
      <alignment vertical="center"/>
    </xf>
    <xf numFmtId="0" fontId="55" fillId="0" borderId="7" xfId="5" applyFont="1" applyFill="1" applyBorder="1" applyAlignment="1">
      <alignment vertical="center"/>
    </xf>
    <xf numFmtId="0" fontId="55" fillId="0" borderId="2" xfId="5" applyFont="1" applyFill="1" applyBorder="1" applyAlignment="1">
      <alignment vertical="center"/>
    </xf>
    <xf numFmtId="0" fontId="55" fillId="0" borderId="1" xfId="5" applyFont="1" applyFill="1" applyBorder="1" applyAlignment="1">
      <alignment vertical="center"/>
    </xf>
    <xf numFmtId="0" fontId="55" fillId="0" borderId="1" xfId="5" applyFont="1" applyFill="1" applyBorder="1"/>
    <xf numFmtId="0" fontId="55" fillId="0" borderId="0" xfId="5" applyFont="1"/>
    <xf numFmtId="0" fontId="79" fillId="15" borderId="1" xfId="5" applyFont="1" applyFill="1" applyBorder="1" applyAlignment="1">
      <alignment horizontal="center"/>
    </xf>
    <xf numFmtId="167" fontId="81" fillId="14" borderId="2" xfId="5" applyNumberFormat="1" applyFont="1" applyFill="1" applyBorder="1" applyAlignment="1">
      <alignment vertical="center"/>
    </xf>
    <xf numFmtId="167" fontId="81" fillId="14" borderId="1" xfId="5" applyNumberFormat="1" applyFont="1" applyFill="1" applyBorder="1" applyAlignment="1">
      <alignment vertical="center"/>
    </xf>
    <xf numFmtId="167" fontId="81" fillId="14" borderId="1" xfId="5" applyNumberFormat="1" applyFont="1" applyFill="1" applyBorder="1"/>
    <xf numFmtId="0" fontId="75" fillId="0" borderId="2" xfId="5" applyFont="1" applyFill="1" applyBorder="1" applyAlignment="1">
      <alignment horizontal="right"/>
    </xf>
    <xf numFmtId="167" fontId="75" fillId="0" borderId="96" xfId="5" applyNumberFormat="1" applyFont="1" applyFill="1" applyBorder="1" applyAlignment="1">
      <alignment vertical="center"/>
    </xf>
    <xf numFmtId="167" fontId="75" fillId="0" borderId="7" xfId="5" applyNumberFormat="1" applyFont="1" applyFill="1" applyBorder="1" applyAlignment="1">
      <alignment vertical="center"/>
    </xf>
    <xf numFmtId="167" fontId="75" fillId="0" borderId="2" xfId="5" applyNumberFormat="1" applyFont="1" applyFill="1" applyBorder="1" applyAlignment="1">
      <alignment vertical="center"/>
    </xf>
    <xf numFmtId="167" fontId="75" fillId="0" borderId="1" xfId="5" applyNumberFormat="1" applyFont="1" applyFill="1" applyBorder="1" applyAlignment="1">
      <alignment vertical="center"/>
    </xf>
    <xf numFmtId="167" fontId="75" fillId="0" borderId="1" xfId="5" applyNumberFormat="1" applyFont="1" applyFill="1" applyBorder="1"/>
    <xf numFmtId="1" fontId="75" fillId="0" borderId="7" xfId="5" applyNumberFormat="1" applyFont="1" applyFill="1" applyBorder="1" applyAlignment="1">
      <alignment vertical="center"/>
    </xf>
    <xf numFmtId="1" fontId="75" fillId="0" borderId="2" xfId="5" applyNumberFormat="1" applyFont="1" applyFill="1" applyBorder="1" applyAlignment="1">
      <alignment vertical="center"/>
    </xf>
    <xf numFmtId="1" fontId="75" fillId="0" borderId="1" xfId="5" applyNumberFormat="1" applyFont="1" applyFill="1" applyBorder="1" applyAlignment="1">
      <alignment vertical="center"/>
    </xf>
    <xf numFmtId="1" fontId="75" fillId="0" borderId="1" xfId="5" applyNumberFormat="1" applyFont="1" applyFill="1" applyBorder="1"/>
    <xf numFmtId="0" fontId="75" fillId="0" borderId="0" xfId="5" applyFont="1" applyFill="1" applyAlignment="1">
      <alignment horizontal="center"/>
    </xf>
    <xf numFmtId="167" fontId="75" fillId="0" borderId="98" xfId="5" applyNumberFormat="1" applyFont="1" applyFill="1" applyBorder="1" applyAlignment="1">
      <alignment vertical="center"/>
    </xf>
    <xf numFmtId="0" fontId="69" fillId="0" borderId="0" xfId="5"/>
    <xf numFmtId="0" fontId="97" fillId="0" borderId="65" xfId="5" applyFont="1" applyBorder="1"/>
    <xf numFmtId="0" fontId="97" fillId="0" borderId="0" xfId="5" applyFont="1" applyBorder="1"/>
    <xf numFmtId="0" fontId="69" fillId="0" borderId="0" xfId="5" applyBorder="1"/>
    <xf numFmtId="0" fontId="69" fillId="0" borderId="48" xfId="5" applyBorder="1"/>
    <xf numFmtId="1" fontId="69" fillId="19" borderId="2" xfId="5" applyNumberFormat="1" applyFill="1" applyBorder="1" applyProtection="1">
      <protection locked="0"/>
    </xf>
    <xf numFmtId="0" fontId="55" fillId="0" borderId="2" xfId="5" applyFont="1" applyBorder="1"/>
    <xf numFmtId="0" fontId="69" fillId="0" borderId="104" xfId="5" applyBorder="1"/>
    <xf numFmtId="167" fontId="69" fillId="19" borderId="2" xfId="5" applyNumberFormat="1" applyFill="1" applyBorder="1" applyProtection="1">
      <protection locked="0"/>
    </xf>
    <xf numFmtId="1" fontId="81" fillId="33" borderId="46" xfId="5" applyNumberFormat="1" applyFont="1" applyFill="1" applyBorder="1" applyAlignment="1">
      <alignment horizontal="center"/>
    </xf>
    <xf numFmtId="0" fontId="81" fillId="33" borderId="47" xfId="5" applyFont="1" applyFill="1" applyBorder="1"/>
    <xf numFmtId="0" fontId="69" fillId="0" borderId="24" xfId="5" applyBorder="1" applyAlignment="1">
      <alignment horizontal="left"/>
    </xf>
    <xf numFmtId="0" fontId="69" fillId="0" borderId="51" xfId="5" applyBorder="1" applyAlignment="1">
      <alignment horizontal="left"/>
    </xf>
    <xf numFmtId="0" fontId="69" fillId="0" borderId="51" xfId="5" applyBorder="1"/>
    <xf numFmtId="0" fontId="69" fillId="0" borderId="51" xfId="5" applyBorder="1" applyAlignment="1">
      <alignment horizontal="center"/>
    </xf>
    <xf numFmtId="0" fontId="69" fillId="0" borderId="91" xfId="5" applyBorder="1"/>
    <xf numFmtId="167" fontId="81" fillId="33" borderId="46" xfId="5" applyNumberFormat="1" applyFont="1" applyFill="1" applyBorder="1" applyAlignment="1">
      <alignment horizontal="center"/>
    </xf>
    <xf numFmtId="0" fontId="79" fillId="0" borderId="75" xfId="5" applyFont="1" applyBorder="1" applyProtection="1">
      <protection locked="0"/>
    </xf>
    <xf numFmtId="0" fontId="69" fillId="0" borderId="50" xfId="5" applyBorder="1" applyProtection="1">
      <protection locked="0"/>
    </xf>
    <xf numFmtId="0" fontId="69" fillId="0" borderId="67" xfId="5" applyBorder="1" applyProtection="1">
      <protection locked="0"/>
    </xf>
    <xf numFmtId="0" fontId="69" fillId="0" borderId="65" xfId="5" applyBorder="1" applyAlignment="1" applyProtection="1">
      <alignment horizontal="left" vertical="center"/>
      <protection locked="0"/>
    </xf>
    <xf numFmtId="0" fontId="69" fillId="0" borderId="0" xfId="5" applyBorder="1" applyProtection="1">
      <protection locked="0"/>
    </xf>
    <xf numFmtId="0" fontId="69" fillId="0" borderId="48" xfId="5" applyBorder="1" applyProtection="1">
      <protection locked="0"/>
    </xf>
    <xf numFmtId="0" fontId="69" fillId="0" borderId="24" xfId="5" applyBorder="1" applyAlignment="1" applyProtection="1">
      <alignment horizontal="left" vertical="center"/>
      <protection locked="0"/>
    </xf>
    <xf numFmtId="0" fontId="69" fillId="0" borderId="51" xfId="5" applyBorder="1" applyProtection="1">
      <protection locked="0"/>
    </xf>
    <xf numFmtId="0" fontId="69" fillId="0" borderId="91" xfId="5" applyBorder="1" applyProtection="1">
      <protection locked="0"/>
    </xf>
    <xf numFmtId="0" fontId="69" fillId="0" borderId="0" xfId="5" applyProtection="1"/>
    <xf numFmtId="0" fontId="97" fillId="0" borderId="65" xfId="5" applyFont="1" applyBorder="1" applyProtection="1"/>
    <xf numFmtId="0" fontId="97" fillId="0" borderId="0" xfId="5" applyFont="1" applyBorder="1" applyProtection="1"/>
    <xf numFmtId="0" fontId="69" fillId="0" borderId="0" xfId="5" applyBorder="1" applyProtection="1"/>
    <xf numFmtId="0" fontId="69" fillId="0" borderId="48" xfId="5" applyBorder="1" applyProtection="1"/>
    <xf numFmtId="0" fontId="55" fillId="0" borderId="2" xfId="5" applyFont="1" applyBorder="1" applyProtection="1"/>
    <xf numFmtId="0" fontId="69" fillId="0" borderId="104" xfId="5" applyBorder="1" applyProtection="1"/>
    <xf numFmtId="167" fontId="81" fillId="33" borderId="46" xfId="5" applyNumberFormat="1" applyFont="1" applyFill="1" applyBorder="1" applyAlignment="1" applyProtection="1">
      <alignment horizontal="center"/>
    </xf>
    <xf numFmtId="0" fontId="81" fillId="33" borderId="47" xfId="5" applyFont="1" applyFill="1" applyBorder="1" applyProtection="1"/>
    <xf numFmtId="0" fontId="69" fillId="0" borderId="24" xfId="5" applyBorder="1" applyAlignment="1" applyProtection="1">
      <alignment horizontal="left"/>
    </xf>
    <xf numFmtId="0" fontId="69" fillId="0" borderId="51" xfId="5" applyBorder="1" applyAlignment="1" applyProtection="1">
      <alignment horizontal="left"/>
    </xf>
    <xf numFmtId="0" fontId="69" fillId="0" borderId="51" xfId="5" applyBorder="1" applyProtection="1"/>
    <xf numFmtId="0" fontId="69" fillId="0" borderId="51" xfId="5" applyBorder="1" applyAlignment="1" applyProtection="1">
      <alignment horizontal="center"/>
    </xf>
    <xf numFmtId="0" fontId="69" fillId="0" borderId="91" xfId="5" applyBorder="1" applyProtection="1"/>
    <xf numFmtId="0" fontId="55" fillId="0" borderId="0" xfId="5" applyFont="1" applyProtection="1"/>
    <xf numFmtId="0" fontId="97" fillId="0" borderId="65" xfId="5" applyFont="1" applyBorder="1" applyAlignment="1">
      <alignment horizontal="left"/>
    </xf>
    <xf numFmtId="0" fontId="69" fillId="19" borderId="2" xfId="5" applyFill="1" applyBorder="1" applyAlignment="1" applyProtection="1">
      <alignment horizontal="center"/>
      <protection locked="0"/>
    </xf>
    <xf numFmtId="0" fontId="97" fillId="0" borderId="2" xfId="5" applyFont="1" applyBorder="1" applyAlignment="1">
      <alignment horizontal="left"/>
    </xf>
    <xf numFmtId="0" fontId="97" fillId="0" borderId="0" xfId="5" applyFont="1" applyBorder="1" applyAlignment="1">
      <alignment horizontal="center"/>
    </xf>
    <xf numFmtId="0" fontId="97" fillId="0" borderId="48" xfId="5" applyFont="1" applyBorder="1"/>
    <xf numFmtId="0" fontId="69" fillId="0" borderId="65" xfId="5" applyBorder="1" applyAlignment="1">
      <alignment horizontal="left"/>
    </xf>
    <xf numFmtId="0" fontId="79" fillId="0" borderId="65" xfId="5" applyFont="1" applyBorder="1" applyAlignment="1">
      <alignment horizontal="left"/>
    </xf>
    <xf numFmtId="0" fontId="69" fillId="34" borderId="2" xfId="5" applyFill="1" applyBorder="1" applyAlignment="1">
      <alignment horizontal="center"/>
    </xf>
    <xf numFmtId="0" fontId="97" fillId="0" borderId="105" xfId="5" applyFont="1" applyBorder="1" applyAlignment="1">
      <alignment horizontal="left"/>
    </xf>
    <xf numFmtId="0" fontId="69" fillId="34" borderId="6" xfId="5" applyFill="1" applyBorder="1" applyAlignment="1">
      <alignment horizontal="center"/>
    </xf>
    <xf numFmtId="0" fontId="81" fillId="0" borderId="65" xfId="5" applyFont="1" applyBorder="1" applyAlignment="1">
      <alignment horizontal="left"/>
    </xf>
    <xf numFmtId="167" fontId="81" fillId="34" borderId="106" xfId="5" applyNumberFormat="1" applyFont="1" applyFill="1" applyBorder="1" applyAlignment="1">
      <alignment horizontal="center"/>
    </xf>
    <xf numFmtId="0" fontId="69" fillId="0" borderId="24" xfId="5" applyBorder="1"/>
    <xf numFmtId="0" fontId="69" fillId="0" borderId="65" xfId="5" applyBorder="1"/>
    <xf numFmtId="0" fontId="104" fillId="35" borderId="0" xfId="5" applyFont="1" applyFill="1"/>
    <xf numFmtId="0" fontId="69" fillId="35" borderId="0" xfId="5" applyFill="1"/>
    <xf numFmtId="0" fontId="104" fillId="35" borderId="2" xfId="5" applyFont="1" applyFill="1" applyBorder="1"/>
    <xf numFmtId="0" fontId="69" fillId="28" borderId="2" xfId="5" applyFill="1" applyBorder="1"/>
    <xf numFmtId="0" fontId="69" fillId="35" borderId="2" xfId="5" applyFill="1" applyBorder="1"/>
    <xf numFmtId="0" fontId="69" fillId="35" borderId="2" xfId="5" applyFill="1" applyBorder="1" applyAlignment="1">
      <alignment horizontal="center"/>
    </xf>
    <xf numFmtId="0" fontId="69" fillId="35" borderId="0" xfId="5" applyFill="1" applyBorder="1"/>
    <xf numFmtId="0" fontId="69" fillId="36" borderId="2" xfId="5" applyFill="1" applyBorder="1" applyAlignment="1">
      <alignment horizontal="center"/>
    </xf>
    <xf numFmtId="0" fontId="69" fillId="36" borderId="2" xfId="5" applyFill="1" applyBorder="1"/>
    <xf numFmtId="0" fontId="79" fillId="35" borderId="2" xfId="5" applyFont="1" applyFill="1" applyBorder="1"/>
    <xf numFmtId="0" fontId="105" fillId="35" borderId="107" xfId="5" applyFont="1" applyFill="1" applyBorder="1"/>
    <xf numFmtId="0" fontId="105" fillId="35" borderId="26" xfId="5" applyFont="1" applyFill="1" applyBorder="1"/>
    <xf numFmtId="0" fontId="105" fillId="35" borderId="21" xfId="5" applyFont="1" applyFill="1" applyBorder="1"/>
    <xf numFmtId="0" fontId="69" fillId="0" borderId="0" xfId="5" applyAlignment="1">
      <alignment horizontal="left"/>
    </xf>
    <xf numFmtId="0" fontId="69" fillId="0" borderId="0" xfId="5" applyAlignment="1">
      <alignment horizontal="center"/>
    </xf>
    <xf numFmtId="0" fontId="106" fillId="0" borderId="75" xfId="5" applyFont="1" applyBorder="1" applyAlignment="1">
      <alignment horizontal="left"/>
    </xf>
    <xf numFmtId="0" fontId="106" fillId="0" borderId="50" xfId="5" applyFont="1" applyBorder="1" applyAlignment="1">
      <alignment horizontal="left"/>
    </xf>
    <xf numFmtId="0" fontId="69" fillId="0" borderId="50" xfId="5" applyBorder="1"/>
    <xf numFmtId="0" fontId="69" fillId="0" borderId="50" xfId="5" applyBorder="1" applyAlignment="1">
      <alignment horizontal="center"/>
    </xf>
    <xf numFmtId="0" fontId="69" fillId="0" borderId="67" xfId="5" applyBorder="1"/>
    <xf numFmtId="0" fontId="96" fillId="0" borderId="0" xfId="5" applyFont="1" applyBorder="1" applyAlignment="1"/>
    <xf numFmtId="0" fontId="69" fillId="0" borderId="0" xfId="5" applyBorder="1" applyAlignment="1">
      <alignment horizontal="center"/>
    </xf>
    <xf numFmtId="0" fontId="69" fillId="0" borderId="0" xfId="5" applyBorder="1" applyAlignment="1">
      <alignment horizontal="left"/>
    </xf>
    <xf numFmtId="0" fontId="97" fillId="0" borderId="0" xfId="5" applyFont="1" applyBorder="1" applyAlignment="1">
      <alignment horizontal="left"/>
    </xf>
    <xf numFmtId="0" fontId="97" fillId="0" borderId="0" xfId="5" applyFont="1" applyBorder="1" applyAlignment="1"/>
    <xf numFmtId="0" fontId="97" fillId="0" borderId="0" xfId="5" applyFont="1" applyBorder="1" applyAlignment="1">
      <alignment horizontal="left" indent="4"/>
    </xf>
    <xf numFmtId="0" fontId="69" fillId="19" borderId="2" xfId="5" applyFill="1" applyBorder="1" applyAlignment="1">
      <alignment horizontal="center"/>
    </xf>
    <xf numFmtId="0" fontId="69" fillId="27" borderId="2" xfId="5" applyFill="1" applyBorder="1" applyAlignment="1">
      <alignment horizontal="center"/>
    </xf>
    <xf numFmtId="0" fontId="97" fillId="0" borderId="1" xfId="5" applyFont="1" applyBorder="1" applyAlignment="1">
      <alignment horizontal="left"/>
    </xf>
    <xf numFmtId="0" fontId="81" fillId="27" borderId="2" xfId="5" applyFont="1" applyFill="1" applyBorder="1" applyAlignment="1">
      <alignment horizontal="center"/>
    </xf>
    <xf numFmtId="0" fontId="81" fillId="27" borderId="2" xfId="5" applyFont="1" applyFill="1" applyBorder="1"/>
    <xf numFmtId="0" fontId="97" fillId="0" borderId="24" xfId="5" applyFont="1" applyBorder="1" applyAlignment="1">
      <alignment horizontal="left"/>
    </xf>
    <xf numFmtId="0" fontId="97" fillId="0" borderId="51" xfId="5" applyFont="1" applyBorder="1" applyAlignment="1">
      <alignment horizontal="left"/>
    </xf>
    <xf numFmtId="0" fontId="97" fillId="0" borderId="0" xfId="5" applyFont="1" applyAlignment="1">
      <alignment horizontal="left"/>
    </xf>
    <xf numFmtId="0" fontId="97" fillId="0" borderId="50" xfId="5" applyFont="1" applyBorder="1" applyAlignment="1">
      <alignment horizontal="left"/>
    </xf>
    <xf numFmtId="0" fontId="96" fillId="0" borderId="0" xfId="5" applyFont="1" applyBorder="1" applyAlignment="1">
      <alignment horizontal="left" indent="4"/>
    </xf>
    <xf numFmtId="0" fontId="107" fillId="0" borderId="0" xfId="5" applyFont="1" applyBorder="1" applyAlignment="1">
      <alignment horizontal="left"/>
    </xf>
    <xf numFmtId="0" fontId="69" fillId="0" borderId="0" xfId="5" quotePrefix="1" applyBorder="1" applyAlignment="1">
      <alignment horizontal="center"/>
    </xf>
    <xf numFmtId="0" fontId="107" fillId="0" borderId="0" xfId="5" applyFont="1" applyBorder="1" applyAlignment="1">
      <alignment horizontal="center"/>
    </xf>
    <xf numFmtId="0" fontId="97" fillId="0" borderId="0" xfId="5" applyFont="1" applyBorder="1" applyAlignment="1">
      <alignment horizontal="left" indent="8"/>
    </xf>
    <xf numFmtId="0" fontId="107" fillId="0" borderId="65" xfId="5" applyFont="1" applyBorder="1" applyAlignment="1">
      <alignment horizontal="left"/>
    </xf>
    <xf numFmtId="0" fontId="107" fillId="0" borderId="0" xfId="5" applyFont="1" applyBorder="1"/>
    <xf numFmtId="0" fontId="109" fillId="0" borderId="65" xfId="5" applyFont="1" applyBorder="1" applyAlignment="1">
      <alignment horizontal="left"/>
    </xf>
    <xf numFmtId="0" fontId="109" fillId="0" borderId="0" xfId="5" applyFont="1" applyBorder="1" applyAlignment="1">
      <alignment horizontal="left"/>
    </xf>
    <xf numFmtId="0" fontId="109" fillId="0" borderId="24" xfId="5" applyFont="1" applyBorder="1" applyAlignment="1">
      <alignment horizontal="left"/>
    </xf>
    <xf numFmtId="0" fontId="109" fillId="0" borderId="51" xfId="5" applyFont="1" applyBorder="1" applyAlignment="1">
      <alignment horizontal="left"/>
    </xf>
    <xf numFmtId="0" fontId="109" fillId="0" borderId="0" xfId="5" applyFont="1" applyAlignment="1">
      <alignment horizontal="left"/>
    </xf>
    <xf numFmtId="0" fontId="110" fillId="0" borderId="75" xfId="5" applyFont="1" applyBorder="1" applyAlignment="1">
      <alignment horizontal="left"/>
    </xf>
    <xf numFmtId="0" fontId="110" fillId="0" borderId="50" xfId="5" applyFont="1" applyBorder="1" applyAlignment="1">
      <alignment horizontal="left"/>
    </xf>
    <xf numFmtId="0" fontId="97" fillId="0" borderId="2" xfId="5" applyFont="1" applyBorder="1"/>
    <xf numFmtId="0" fontId="111" fillId="0" borderId="2" xfId="5" applyFont="1" applyBorder="1"/>
    <xf numFmtId="0" fontId="81" fillId="27" borderId="103" xfId="5" applyFont="1" applyFill="1" applyBorder="1"/>
    <xf numFmtId="0" fontId="81" fillId="0" borderId="0" xfId="5" applyFont="1" applyBorder="1"/>
    <xf numFmtId="0" fontId="96" fillId="0" borderId="75" xfId="5" applyFont="1" applyBorder="1"/>
    <xf numFmtId="0" fontId="96" fillId="0" borderId="65" xfId="5" applyFont="1" applyBorder="1"/>
    <xf numFmtId="0" fontId="97" fillId="0" borderId="65" xfId="5" applyFont="1" applyBorder="1" applyAlignment="1">
      <alignment horizontal="right"/>
    </xf>
    <xf numFmtId="0" fontId="69" fillId="0" borderId="0" xfId="5" quotePrefix="1" applyBorder="1"/>
    <xf numFmtId="167" fontId="81" fillId="27" borderId="2" xfId="5" applyNumberFormat="1" applyFont="1" applyFill="1" applyBorder="1" applyAlignment="1">
      <alignment horizontal="center"/>
    </xf>
    <xf numFmtId="0" fontId="79" fillId="0" borderId="50" xfId="5" applyFont="1" applyBorder="1"/>
    <xf numFmtId="0" fontId="112" fillId="0" borderId="0" xfId="5" applyFont="1" applyBorder="1"/>
    <xf numFmtId="0" fontId="97" fillId="0" borderId="6" xfId="5" applyFont="1" applyBorder="1"/>
    <xf numFmtId="0" fontId="81" fillId="27" borderId="46" xfId="5" applyFont="1" applyFill="1" applyBorder="1" applyAlignment="1">
      <alignment horizontal="right"/>
    </xf>
    <xf numFmtId="167" fontId="81" fillId="27" borderId="23" xfId="5" applyNumberFormat="1" applyFont="1" applyFill="1" applyBorder="1" applyAlignment="1">
      <alignment horizontal="right"/>
    </xf>
    <xf numFmtId="0" fontId="81" fillId="27" borderId="47" xfId="5" applyFont="1" applyFill="1" applyBorder="1"/>
    <xf numFmtId="0" fontId="113" fillId="27" borderId="24" xfId="5" applyFont="1" applyFill="1" applyBorder="1" applyAlignment="1">
      <alignment horizontal="right"/>
    </xf>
    <xf numFmtId="167" fontId="113" fillId="27" borderId="51" xfId="5" applyNumberFormat="1" applyFont="1" applyFill="1" applyBorder="1" applyAlignment="1">
      <alignment horizontal="right"/>
    </xf>
    <xf numFmtId="0" fontId="81" fillId="27" borderId="91" xfId="5" applyFont="1" applyFill="1" applyBorder="1"/>
    <xf numFmtId="0" fontId="69" fillId="0" borderId="75" xfId="5" applyBorder="1"/>
    <xf numFmtId="0" fontId="69" fillId="0" borderId="108" xfId="5" applyBorder="1"/>
    <xf numFmtId="0" fontId="69" fillId="0" borderId="4" xfId="5" applyBorder="1"/>
    <xf numFmtId="0" fontId="69" fillId="0" borderId="105" xfId="5" applyBorder="1"/>
    <xf numFmtId="0" fontId="79" fillId="0" borderId="0" xfId="5" applyFont="1" applyBorder="1"/>
    <xf numFmtId="0" fontId="79" fillId="0" borderId="65" xfId="5" applyFont="1" applyBorder="1"/>
    <xf numFmtId="0" fontId="79" fillId="0" borderId="4" xfId="5" applyFont="1" applyBorder="1"/>
    <xf numFmtId="0" fontId="79" fillId="0" borderId="105" xfId="5" applyFont="1" applyBorder="1"/>
    <xf numFmtId="0" fontId="79" fillId="0" borderId="48" xfId="5" applyFont="1" applyBorder="1"/>
    <xf numFmtId="0" fontId="79" fillId="0" borderId="0" xfId="5" applyFont="1"/>
    <xf numFmtId="0" fontId="79" fillId="0" borderId="2" xfId="5" applyFont="1" applyBorder="1" applyAlignment="1">
      <alignment horizontal="center"/>
    </xf>
    <xf numFmtId="0" fontId="69" fillId="0" borderId="118" xfId="5" applyBorder="1"/>
    <xf numFmtId="0" fontId="69" fillId="0" borderId="21" xfId="5" applyBorder="1"/>
    <xf numFmtId="0" fontId="69" fillId="0" borderId="28" xfId="5" applyBorder="1"/>
    <xf numFmtId="0" fontId="69" fillId="0" borderId="119" xfId="5" applyBorder="1"/>
    <xf numFmtId="0" fontId="69" fillId="0" borderId="3" xfId="5" applyBorder="1"/>
    <xf numFmtId="0" fontId="69" fillId="0" borderId="5" xfId="5" applyBorder="1"/>
    <xf numFmtId="178" fontId="69" fillId="0" borderId="4" xfId="5" applyNumberFormat="1" applyBorder="1"/>
    <xf numFmtId="0" fontId="79" fillId="0" borderId="0" xfId="5" applyFont="1" applyBorder="1" applyAlignment="1">
      <alignment horizontal="center"/>
    </xf>
    <xf numFmtId="0" fontId="55" fillId="0" borderId="4" xfId="5" applyFont="1" applyBorder="1"/>
    <xf numFmtId="0" fontId="55" fillId="0" borderId="105" xfId="5" applyFont="1" applyBorder="1"/>
    <xf numFmtId="0" fontId="79" fillId="0" borderId="103" xfId="5" applyFont="1" applyBorder="1"/>
    <xf numFmtId="0" fontId="69" fillId="39" borderId="2" xfId="5" applyFill="1" applyBorder="1" applyAlignment="1">
      <alignment horizontal="center"/>
    </xf>
    <xf numFmtId="0" fontId="69" fillId="39" borderId="1" xfId="5" applyFill="1" applyBorder="1" applyAlignment="1">
      <alignment horizontal="center"/>
    </xf>
    <xf numFmtId="0" fontId="69" fillId="40" borderId="96" xfId="5" applyFill="1" applyBorder="1" applyAlignment="1">
      <alignment horizontal="center"/>
    </xf>
    <xf numFmtId="0" fontId="79" fillId="0" borderId="122" xfId="5" applyFont="1" applyBorder="1"/>
    <xf numFmtId="0" fontId="69" fillId="39" borderId="6" xfId="5" applyFill="1" applyBorder="1" applyAlignment="1">
      <alignment horizontal="center"/>
    </xf>
    <xf numFmtId="0" fontId="69" fillId="39" borderId="5" xfId="5" applyFill="1" applyBorder="1" applyAlignment="1">
      <alignment horizontal="center"/>
    </xf>
    <xf numFmtId="0" fontId="69" fillId="40" borderId="98" xfId="5" applyFill="1" applyBorder="1" applyAlignment="1">
      <alignment horizontal="center"/>
    </xf>
    <xf numFmtId="167" fontId="69" fillId="0" borderId="0" xfId="5" applyNumberFormat="1" applyBorder="1"/>
    <xf numFmtId="0" fontId="98" fillId="0" borderId="47" xfId="5" applyFont="1" applyBorder="1" applyAlignment="1">
      <alignment horizontal="center"/>
    </xf>
    <xf numFmtId="2" fontId="81" fillId="41" borderId="0" xfId="5" applyNumberFormat="1" applyFont="1" applyFill="1" applyBorder="1" applyAlignment="1">
      <alignment horizontal="right"/>
    </xf>
    <xf numFmtId="0" fontId="81" fillId="41" borderId="67" xfId="5" applyFont="1" applyFill="1" applyBorder="1" applyAlignment="1">
      <alignment horizontal="left"/>
    </xf>
    <xf numFmtId="0" fontId="118" fillId="41" borderId="23" xfId="5" applyFont="1" applyFill="1" applyBorder="1" applyAlignment="1">
      <alignment horizontal="left"/>
    </xf>
    <xf numFmtId="0" fontId="69" fillId="41" borderId="23" xfId="5" applyFill="1" applyBorder="1"/>
    <xf numFmtId="0" fontId="69" fillId="41" borderId="47" xfId="5" applyFill="1" applyBorder="1"/>
    <xf numFmtId="0" fontId="81" fillId="41" borderId="46" xfId="5" applyFont="1" applyFill="1" applyBorder="1" applyAlignment="1">
      <alignment horizontal="center"/>
    </xf>
    <xf numFmtId="0" fontId="81" fillId="41" borderId="23" xfId="5" applyFont="1" applyFill="1" applyBorder="1" applyAlignment="1">
      <alignment horizontal="center"/>
    </xf>
    <xf numFmtId="0" fontId="81" fillId="0" borderId="47" xfId="5" applyFont="1" applyBorder="1"/>
    <xf numFmtId="0" fontId="69" fillId="0" borderId="123" xfId="5" applyBorder="1"/>
    <xf numFmtId="0" fontId="69" fillId="0" borderId="99" xfId="5" applyBorder="1"/>
    <xf numFmtId="0" fontId="69" fillId="0" borderId="101" xfId="5" applyBorder="1"/>
    <xf numFmtId="0" fontId="79" fillId="0" borderId="51" xfId="5" applyFont="1" applyBorder="1"/>
    <xf numFmtId="0" fontId="55" fillId="0" borderId="92" xfId="5" applyFont="1" applyBorder="1" applyAlignment="1">
      <alignment horizontal="center"/>
    </xf>
    <xf numFmtId="0" fontId="120" fillId="43" borderId="46" xfId="5" applyFont="1" applyFill="1" applyBorder="1" applyAlignment="1">
      <alignment horizontal="center" vertical="center"/>
    </xf>
    <xf numFmtId="0" fontId="79" fillId="0" borderId="124" xfId="5" applyFont="1" applyBorder="1" applyAlignment="1">
      <alignment horizontal="center" vertical="center" wrapText="1"/>
    </xf>
    <xf numFmtId="0" fontId="79" fillId="0" borderId="125" xfId="5" applyFont="1" applyBorder="1" applyAlignment="1">
      <alignment horizontal="center" vertical="center" wrapText="1"/>
    </xf>
    <xf numFmtId="0" fontId="81" fillId="0" borderId="126" xfId="5" applyFont="1" applyBorder="1" applyAlignment="1">
      <alignment horizontal="center" vertical="center" wrapText="1"/>
    </xf>
    <xf numFmtId="0" fontId="69" fillId="0" borderId="76" xfId="5" applyBorder="1"/>
    <xf numFmtId="167" fontId="69" fillId="19" borderId="77" xfId="5" applyNumberFormat="1" applyFill="1" applyBorder="1" applyProtection="1">
      <protection locked="0"/>
    </xf>
    <xf numFmtId="0" fontId="79" fillId="0" borderId="127" xfId="5" applyFont="1" applyBorder="1"/>
    <xf numFmtId="0" fontId="79" fillId="29" borderId="76" xfId="5" applyFont="1" applyFill="1" applyBorder="1" applyAlignment="1">
      <alignment horizontal="center" vertical="center"/>
    </xf>
    <xf numFmtId="3" fontId="114" fillId="29" borderId="77" xfId="5" applyNumberFormat="1" applyFont="1" applyFill="1" applyBorder="1" applyAlignment="1" applyProtection="1">
      <alignment horizontal="center"/>
    </xf>
    <xf numFmtId="167" fontId="79" fillId="0" borderId="77" xfId="5" applyNumberFormat="1" applyFont="1" applyBorder="1" applyAlignment="1">
      <alignment horizontal="center" vertical="center"/>
    </xf>
    <xf numFmtId="0" fontId="69" fillId="0" borderId="103" xfId="5" applyBorder="1"/>
    <xf numFmtId="0" fontId="79" fillId="0" borderId="104" xfId="5" applyFont="1" applyBorder="1"/>
    <xf numFmtId="0" fontId="79" fillId="29" borderId="103" xfId="5" applyFont="1" applyFill="1" applyBorder="1" applyAlignment="1">
      <alignment horizontal="center" vertical="center"/>
    </xf>
    <xf numFmtId="3" fontId="114" fillId="29" borderId="2" xfId="5" applyNumberFormat="1" applyFont="1" applyFill="1" applyBorder="1" applyAlignment="1" applyProtection="1">
      <alignment horizontal="center"/>
    </xf>
    <xf numFmtId="167" fontId="79" fillId="0" borderId="22" xfId="5" applyNumberFormat="1" applyFont="1" applyBorder="1" applyAlignment="1">
      <alignment horizontal="center" vertical="center"/>
    </xf>
    <xf numFmtId="169" fontId="69" fillId="45" borderId="2" xfId="5" applyNumberFormat="1" applyFill="1" applyBorder="1" applyProtection="1"/>
    <xf numFmtId="0" fontId="69" fillId="0" borderId="103" xfId="5" quotePrefix="1" applyBorder="1"/>
    <xf numFmtId="0" fontId="69" fillId="0" borderId="128" xfId="5" applyBorder="1"/>
    <xf numFmtId="0" fontId="79" fillId="0" borderId="129" xfId="5" applyFont="1" applyBorder="1"/>
    <xf numFmtId="0" fontId="79" fillId="29" borderId="130" xfId="5" applyFont="1" applyFill="1" applyBorder="1" applyAlignment="1">
      <alignment horizontal="center" vertical="center"/>
    </xf>
    <xf numFmtId="3" fontId="114" fillId="29" borderId="22" xfId="5" applyNumberFormat="1" applyFont="1" applyFill="1" applyBorder="1" applyAlignment="1" applyProtection="1">
      <alignment horizontal="center"/>
    </xf>
    <xf numFmtId="167" fontId="79" fillId="0" borderId="2" xfId="5" applyNumberFormat="1" applyFont="1" applyBorder="1" applyAlignment="1">
      <alignment horizontal="center" vertical="center"/>
    </xf>
    <xf numFmtId="0" fontId="79" fillId="0" borderId="104" xfId="5" quotePrefix="1" applyFont="1" applyBorder="1"/>
    <xf numFmtId="0" fontId="69" fillId="28" borderId="93" xfId="5" applyFill="1" applyBorder="1" applyAlignment="1">
      <alignment horizontal="right"/>
    </xf>
    <xf numFmtId="169" fontId="69" fillId="15" borderId="46" xfId="5" applyNumberFormat="1" applyFill="1" applyBorder="1"/>
    <xf numFmtId="0" fontId="69" fillId="28" borderId="47" xfId="5" applyFill="1" applyBorder="1"/>
    <xf numFmtId="0" fontId="55" fillId="0" borderId="124" xfId="5" applyFont="1" applyBorder="1"/>
    <xf numFmtId="167" fontId="69" fillId="19" borderId="125" xfId="5" applyNumberFormat="1" applyFill="1" applyBorder="1" applyProtection="1">
      <protection locked="0"/>
    </xf>
    <xf numFmtId="0" fontId="79" fillId="0" borderId="126" xfId="5" applyFont="1" applyBorder="1"/>
    <xf numFmtId="0" fontId="69" fillId="0" borderId="106" xfId="5" applyBorder="1"/>
    <xf numFmtId="0" fontId="55" fillId="0" borderId="132" xfId="5" applyFont="1" applyBorder="1"/>
    <xf numFmtId="0" fontId="81" fillId="0" borderId="115" xfId="5" applyFont="1" applyBorder="1"/>
    <xf numFmtId="0" fontId="106" fillId="0" borderId="22" xfId="5" applyFont="1" applyBorder="1" applyAlignment="1">
      <alignment horizontal="center"/>
    </xf>
    <xf numFmtId="167" fontId="98" fillId="0" borderId="22" xfId="5" applyNumberFormat="1" applyFont="1" applyBorder="1" applyAlignment="1">
      <alignment horizontal="center"/>
    </xf>
    <xf numFmtId="0" fontId="106" fillId="0" borderId="2" xfId="5" applyFont="1" applyBorder="1" applyAlignment="1">
      <alignment horizontal="center"/>
    </xf>
    <xf numFmtId="167" fontId="98" fillId="0" borderId="2" xfId="5" applyNumberFormat="1" applyFont="1" applyBorder="1" applyAlignment="1">
      <alignment horizontal="center"/>
    </xf>
    <xf numFmtId="0" fontId="79" fillId="29" borderId="128" xfId="5" applyFont="1" applyFill="1" applyBorder="1" applyAlignment="1">
      <alignment horizontal="center" vertical="center"/>
    </xf>
    <xf numFmtId="3" fontId="114" fillId="29" borderId="100" xfId="5" applyNumberFormat="1" applyFont="1" applyFill="1" applyBorder="1" applyAlignment="1" applyProtection="1">
      <alignment horizontal="center"/>
    </xf>
    <xf numFmtId="167" fontId="79" fillId="0" borderId="100" xfId="5" applyNumberFormat="1" applyFont="1" applyBorder="1" applyAlignment="1">
      <alignment horizontal="center" vertical="center"/>
    </xf>
    <xf numFmtId="0" fontId="111" fillId="0" borderId="65" xfId="5" applyFont="1" applyBorder="1" applyAlignment="1">
      <alignment horizontal="left" indent="7"/>
    </xf>
    <xf numFmtId="0" fontId="111" fillId="0" borderId="65" xfId="5" applyFont="1" applyBorder="1"/>
    <xf numFmtId="0" fontId="97" fillId="0" borderId="0" xfId="5" applyFont="1" applyBorder="1" applyAlignment="1">
      <alignment horizontal="left" indent="7"/>
    </xf>
    <xf numFmtId="0" fontId="69" fillId="19" borderId="7" xfId="5" applyFill="1" applyBorder="1"/>
    <xf numFmtId="0" fontId="110" fillId="0" borderId="65" xfId="5" applyFont="1" applyBorder="1" applyAlignment="1"/>
    <xf numFmtId="0" fontId="97" fillId="0" borderId="0" xfId="5" applyFont="1" applyBorder="1" applyAlignment="1">
      <alignment horizontal="left" indent="2"/>
    </xf>
    <xf numFmtId="0" fontId="69" fillId="0" borderId="2" xfId="5" applyBorder="1"/>
    <xf numFmtId="2" fontId="69" fillId="27" borderId="2" xfId="5" applyNumberFormat="1" applyFill="1" applyBorder="1" applyProtection="1">
      <protection locked="0"/>
    </xf>
    <xf numFmtId="0" fontId="69" fillId="0" borderId="0" xfId="5" applyFill="1" applyBorder="1"/>
    <xf numFmtId="0" fontId="123" fillId="27" borderId="134" xfId="5" applyFont="1" applyFill="1" applyBorder="1"/>
    <xf numFmtId="0" fontId="110" fillId="0" borderId="65" xfId="5" applyFont="1" applyBorder="1"/>
    <xf numFmtId="0" fontId="69" fillId="43" borderId="2" xfId="5" applyFill="1" applyBorder="1"/>
    <xf numFmtId="0" fontId="69" fillId="0" borderId="6" xfId="5" applyBorder="1"/>
    <xf numFmtId="0" fontId="69" fillId="0" borderId="65" xfId="5" applyFill="1" applyBorder="1"/>
    <xf numFmtId="0" fontId="79" fillId="0" borderId="2" xfId="5" applyFont="1" applyBorder="1"/>
    <xf numFmtId="0" fontId="69" fillId="0" borderId="0" xfId="5" applyFill="1" applyBorder="1" applyAlignment="1">
      <alignment horizontal="right"/>
    </xf>
    <xf numFmtId="170" fontId="79" fillId="28" borderId="2" xfId="5" applyNumberFormat="1" applyFont="1" applyFill="1" applyBorder="1" applyProtection="1">
      <protection locked="0"/>
    </xf>
    <xf numFmtId="0" fontId="127" fillId="28" borderId="103" xfId="5" applyFont="1" applyFill="1" applyBorder="1"/>
    <xf numFmtId="0" fontId="69" fillId="0" borderId="2" xfId="5" applyBorder="1" applyAlignment="1">
      <alignment horizontal="center"/>
    </xf>
    <xf numFmtId="0" fontId="79" fillId="0" borderId="103" xfId="5" applyFont="1" applyBorder="1" applyAlignment="1">
      <alignment horizontal="center" wrapText="1"/>
    </xf>
    <xf numFmtId="0" fontId="79" fillId="0" borderId="2" xfId="5" applyFont="1" applyBorder="1" applyAlignment="1">
      <alignment horizontal="center" wrapText="1"/>
    </xf>
    <xf numFmtId="0" fontId="69" fillId="0" borderId="103" xfId="5" applyBorder="1" applyAlignment="1">
      <alignment horizontal="left"/>
    </xf>
    <xf numFmtId="0" fontId="69" fillId="0" borderId="2" xfId="5" applyBorder="1" applyAlignment="1">
      <alignment horizontal="left"/>
    </xf>
    <xf numFmtId="167" fontId="69" fillId="0" borderId="2" xfId="5" applyNumberFormat="1" applyBorder="1" applyAlignment="1">
      <alignment horizontal="left"/>
    </xf>
    <xf numFmtId="0" fontId="128" fillId="47" borderId="103" xfId="5" applyFont="1" applyFill="1" applyBorder="1"/>
    <xf numFmtId="167" fontId="69" fillId="0" borderId="0" xfId="5" applyNumberFormat="1" applyBorder="1" applyAlignment="1">
      <alignment horizontal="left"/>
    </xf>
    <xf numFmtId="167" fontId="69" fillId="0" borderId="51" xfId="5" applyNumberFormat="1" applyBorder="1" applyAlignment="1">
      <alignment horizontal="left"/>
    </xf>
    <xf numFmtId="0" fontId="129" fillId="47" borderId="2" xfId="5" applyFont="1" applyFill="1" applyBorder="1"/>
    <xf numFmtId="0" fontId="129" fillId="47" borderId="103" xfId="5" applyFont="1" applyFill="1" applyBorder="1"/>
    <xf numFmtId="0" fontId="69" fillId="0" borderId="50" xfId="5" applyBorder="1" applyAlignment="1">
      <alignment horizontal="left"/>
    </xf>
    <xf numFmtId="0" fontId="105" fillId="47" borderId="103" xfId="5" applyFont="1" applyFill="1" applyBorder="1"/>
    <xf numFmtId="0" fontId="105" fillId="47" borderId="2" xfId="5" applyFont="1" applyFill="1" applyBorder="1"/>
    <xf numFmtId="0" fontId="105" fillId="48" borderId="103" xfId="5" applyFont="1" applyFill="1" applyBorder="1"/>
    <xf numFmtId="0" fontId="55" fillId="0" borderId="2" xfId="5" applyFont="1" applyBorder="1" applyAlignment="1">
      <alignment horizontal="center"/>
    </xf>
    <xf numFmtId="0" fontId="69" fillId="0" borderId="8" xfId="5" applyBorder="1"/>
    <xf numFmtId="0" fontId="98" fillId="0" borderId="0" xfId="6"/>
    <xf numFmtId="0" fontId="98" fillId="0" borderId="75" xfId="6" applyBorder="1"/>
    <xf numFmtId="0" fontId="98" fillId="0" borderId="67" xfId="6" applyBorder="1"/>
    <xf numFmtId="0" fontId="98" fillId="0" borderId="65" xfId="6" applyBorder="1"/>
    <xf numFmtId="0" fontId="98" fillId="0" borderId="48" xfId="6" applyBorder="1"/>
    <xf numFmtId="0" fontId="79" fillId="27" borderId="47" xfId="5" applyFont="1" applyFill="1" applyBorder="1"/>
    <xf numFmtId="0" fontId="98" fillId="0" borderId="24" xfId="6" applyBorder="1"/>
    <xf numFmtId="0" fontId="134" fillId="0" borderId="51" xfId="5" applyFont="1" applyBorder="1"/>
    <xf numFmtId="0" fontId="98" fillId="0" borderId="91" xfId="6" applyBorder="1"/>
    <xf numFmtId="0" fontId="113" fillId="0" borderId="75" xfId="5" applyFont="1" applyBorder="1"/>
    <xf numFmtId="0" fontId="113" fillId="0" borderId="50" xfId="5" applyFont="1" applyBorder="1"/>
    <xf numFmtId="0" fontId="97" fillId="0" borderId="65" xfId="5" applyFont="1" applyBorder="1" applyAlignment="1">
      <alignment horizontal="left" indent="2"/>
    </xf>
    <xf numFmtId="0" fontId="69" fillId="0" borderId="6" xfId="5" applyBorder="1" applyAlignment="1">
      <alignment wrapText="1"/>
    </xf>
    <xf numFmtId="2" fontId="69" fillId="27" borderId="6" xfId="5" applyNumberFormat="1" applyFill="1" applyBorder="1" applyProtection="1">
      <protection locked="0"/>
    </xf>
    <xf numFmtId="0" fontId="123" fillId="27" borderId="46" xfId="5" applyFont="1" applyFill="1" applyBorder="1"/>
    <xf numFmtId="169" fontId="123" fillId="27" borderId="135" xfId="5" applyNumberFormat="1" applyFont="1" applyFill="1" applyBorder="1"/>
    <xf numFmtId="167" fontId="69" fillId="19" borderId="6" xfId="5" applyNumberFormat="1" applyFill="1" applyBorder="1" applyProtection="1">
      <protection locked="0"/>
    </xf>
    <xf numFmtId="0" fontId="123" fillId="0" borderId="46" xfId="5" applyFont="1" applyBorder="1"/>
    <xf numFmtId="181" fontId="123" fillId="27" borderId="93" xfId="5" applyNumberFormat="1" applyFont="1" applyFill="1" applyBorder="1"/>
    <xf numFmtId="0" fontId="96" fillId="0" borderId="0" xfId="5" applyFont="1" applyBorder="1"/>
    <xf numFmtId="170" fontId="69" fillId="19" borderId="2" xfId="5" applyNumberFormat="1" applyFill="1" applyBorder="1" applyProtection="1">
      <protection locked="0"/>
    </xf>
    <xf numFmtId="0" fontId="69" fillId="19" borderId="2" xfId="5" applyFill="1" applyBorder="1" applyProtection="1">
      <protection locked="0"/>
    </xf>
    <xf numFmtId="0" fontId="69" fillId="0" borderId="2" xfId="5" applyBorder="1" applyProtection="1">
      <protection locked="0"/>
    </xf>
    <xf numFmtId="0" fontId="105" fillId="27" borderId="106" xfId="5" applyFont="1" applyFill="1" applyBorder="1"/>
    <xf numFmtId="167" fontId="105" fillId="27" borderId="136" xfId="5" applyNumberFormat="1" applyFont="1" applyFill="1" applyBorder="1"/>
    <xf numFmtId="0" fontId="105" fillId="27" borderId="134" xfId="5" applyFont="1" applyFill="1" applyBorder="1"/>
    <xf numFmtId="1" fontId="105" fillId="27" borderId="136" xfId="5" applyNumberFormat="1" applyFont="1" applyFill="1" applyBorder="1"/>
    <xf numFmtId="2" fontId="69" fillId="19" borderId="6" xfId="5" applyNumberFormat="1" applyFill="1" applyBorder="1" applyProtection="1">
      <protection locked="0"/>
    </xf>
    <xf numFmtId="0" fontId="123" fillId="27" borderId="106" xfId="5" applyFont="1" applyFill="1" applyBorder="1"/>
    <xf numFmtId="181" fontId="123" fillId="27" borderId="132" xfId="5" applyNumberFormat="1" applyFont="1" applyFill="1" applyBorder="1"/>
    <xf numFmtId="0" fontId="113" fillId="0" borderId="0" xfId="5" applyFont="1" applyBorder="1"/>
    <xf numFmtId="0" fontId="69" fillId="0" borderId="2" xfId="5" applyBorder="1" applyProtection="1"/>
    <xf numFmtId="0" fontId="79" fillId="0" borderId="2" xfId="5" applyFont="1" applyBorder="1" applyProtection="1"/>
    <xf numFmtId="0" fontId="104" fillId="0" borderId="67" xfId="5" applyFont="1" applyBorder="1" applyAlignment="1">
      <alignment horizontal="center"/>
    </xf>
    <xf numFmtId="0" fontId="55" fillId="37" borderId="50" xfId="5" applyFont="1" applyFill="1" applyBorder="1"/>
    <xf numFmtId="0" fontId="104" fillId="0" borderId="48" xfId="5" applyFont="1" applyBorder="1" applyAlignment="1">
      <alignment horizontal="center"/>
    </xf>
    <xf numFmtId="0" fontId="97" fillId="0" borderId="0" xfId="5" applyFont="1" applyBorder="1" applyAlignment="1">
      <alignment horizontal="right"/>
    </xf>
    <xf numFmtId="0" fontId="107" fillId="0" borderId="0" xfId="5" applyFont="1" applyBorder="1" applyAlignment="1">
      <alignment horizontal="left" indent="4"/>
    </xf>
    <xf numFmtId="0" fontId="107" fillId="0" borderId="48" xfId="5" applyFont="1" applyBorder="1" applyAlignment="1">
      <alignment horizontal="left" indent="4"/>
    </xf>
    <xf numFmtId="0" fontId="69" fillId="19" borderId="137" xfId="5" applyFill="1" applyBorder="1" applyProtection="1">
      <protection locked="0"/>
    </xf>
    <xf numFmtId="0" fontId="69" fillId="0" borderId="138" xfId="5" applyBorder="1"/>
    <xf numFmtId="0" fontId="69" fillId="0" borderId="8" xfId="5" applyBorder="1" applyProtection="1">
      <protection locked="0"/>
    </xf>
    <xf numFmtId="0" fontId="69" fillId="19" borderId="139" xfId="5" applyFill="1" applyBorder="1" applyProtection="1">
      <protection locked="0"/>
    </xf>
    <xf numFmtId="0" fontId="69" fillId="0" borderId="107" xfId="5" applyBorder="1" applyProtection="1">
      <protection locked="0"/>
    </xf>
    <xf numFmtId="0" fontId="55" fillId="0" borderId="6" xfId="5" applyFont="1" applyBorder="1"/>
    <xf numFmtId="0" fontId="69" fillId="34" borderId="2" xfId="5" applyFill="1" applyBorder="1" applyAlignment="1">
      <alignment horizontal="right"/>
    </xf>
    <xf numFmtId="0" fontId="69" fillId="34" borderId="104" xfId="5" applyFill="1" applyBorder="1" applyProtection="1">
      <protection locked="0"/>
    </xf>
    <xf numFmtId="0" fontId="55" fillId="0" borderId="76" xfId="5" applyFont="1" applyBorder="1"/>
    <xf numFmtId="0" fontId="55" fillId="19" borderId="140" xfId="5" applyFont="1" applyFill="1" applyBorder="1"/>
    <xf numFmtId="0" fontId="55" fillId="0" borderId="141" xfId="5" applyFont="1" applyBorder="1"/>
    <xf numFmtId="0" fontId="133" fillId="0" borderId="103" xfId="5" applyFont="1" applyBorder="1"/>
    <xf numFmtId="2" fontId="133" fillId="27" borderId="137" xfId="5" applyNumberFormat="1" applyFont="1" applyFill="1" applyBorder="1"/>
    <xf numFmtId="0" fontId="133" fillId="0" borderId="142" xfId="5" applyFont="1" applyBorder="1"/>
    <xf numFmtId="169" fontId="133" fillId="34" borderId="137" xfId="5" applyNumberFormat="1" applyFont="1" applyFill="1" applyBorder="1"/>
    <xf numFmtId="169" fontId="133" fillId="27" borderId="137" xfId="5" applyNumberFormat="1" applyFont="1" applyFill="1" applyBorder="1"/>
    <xf numFmtId="0" fontId="98" fillId="0" borderId="65" xfId="5" applyFont="1" applyBorder="1"/>
    <xf numFmtId="0" fontId="123" fillId="0" borderId="106" xfId="5" applyFont="1" applyBorder="1"/>
    <xf numFmtId="167" fontId="123" fillId="27" borderId="136" xfId="5" applyNumberFormat="1" applyFont="1" applyFill="1" applyBorder="1"/>
    <xf numFmtId="0" fontId="123" fillId="0" borderId="134" xfId="5" applyFont="1" applyBorder="1"/>
    <xf numFmtId="0" fontId="98" fillId="0" borderId="0" xfId="5" applyFont="1" applyBorder="1"/>
    <xf numFmtId="0" fontId="98" fillId="0" borderId="48" xfId="5" applyFont="1" applyBorder="1"/>
    <xf numFmtId="0" fontId="98" fillId="0" borderId="0" xfId="5" applyFont="1"/>
    <xf numFmtId="168" fontId="123" fillId="27" borderId="136" xfId="5" quotePrefix="1" applyNumberFormat="1" applyFont="1" applyFill="1" applyBorder="1"/>
    <xf numFmtId="0" fontId="69" fillId="27" borderId="46" xfId="5" applyFill="1" applyBorder="1" applyAlignment="1">
      <alignment horizontal="center"/>
    </xf>
    <xf numFmtId="0" fontId="69" fillId="27" borderId="47" xfId="5" applyFill="1" applyBorder="1"/>
    <xf numFmtId="169" fontId="69" fillId="0" borderId="51" xfId="5" applyNumberFormat="1" applyBorder="1"/>
    <xf numFmtId="0" fontId="79" fillId="0" borderId="75" xfId="5" applyFont="1" applyBorder="1"/>
    <xf numFmtId="0" fontId="69" fillId="0" borderId="7" xfId="5" applyBorder="1"/>
    <xf numFmtId="0" fontId="55" fillId="0" borderId="103" xfId="5" applyFont="1" applyBorder="1"/>
    <xf numFmtId="0" fontId="55" fillId="19" borderId="2" xfId="5" applyFont="1" applyFill="1" applyBorder="1"/>
    <xf numFmtId="0" fontId="69" fillId="34" borderId="7" xfId="5" applyFill="1" applyBorder="1" applyAlignment="1">
      <alignment horizontal="right"/>
    </xf>
    <xf numFmtId="2" fontId="133" fillId="27" borderId="2" xfId="5" applyNumberFormat="1" applyFont="1" applyFill="1" applyBorder="1"/>
    <xf numFmtId="0" fontId="133" fillId="0" borderId="2" xfId="5" applyFont="1" applyBorder="1"/>
    <xf numFmtId="167" fontId="133" fillId="27" borderId="2" xfId="5" applyNumberFormat="1" applyFont="1" applyFill="1" applyBorder="1"/>
    <xf numFmtId="0" fontId="123" fillId="27" borderId="122" xfId="5" applyFont="1" applyFill="1" applyBorder="1"/>
    <xf numFmtId="167" fontId="123" fillId="27" borderId="6" xfId="5" applyNumberFormat="1" applyFont="1" applyFill="1" applyBorder="1"/>
    <xf numFmtId="0" fontId="123" fillId="27" borderId="6" xfId="5" applyFont="1" applyFill="1" applyBorder="1"/>
    <xf numFmtId="170" fontId="123" fillId="27" borderId="136" xfId="5" quotePrefix="1" applyNumberFormat="1" applyFont="1" applyFill="1" applyBorder="1"/>
    <xf numFmtId="169" fontId="69" fillId="0" borderId="50" xfId="5" applyNumberFormat="1" applyBorder="1"/>
    <xf numFmtId="170" fontId="123" fillId="27" borderId="136" xfId="5" applyNumberFormat="1" applyFont="1" applyFill="1" applyBorder="1"/>
    <xf numFmtId="0" fontId="97" fillId="0" borderId="93" xfId="5" applyFont="1" applyBorder="1" applyAlignment="1">
      <alignment horizontal="left" indent="4"/>
    </xf>
    <xf numFmtId="0" fontId="69" fillId="0" borderId="93" xfId="5" applyBorder="1"/>
    <xf numFmtId="169" fontId="69" fillId="19" borderId="2" xfId="5" applyNumberFormat="1" applyFill="1" applyBorder="1" applyProtection="1">
      <protection locked="0"/>
    </xf>
    <xf numFmtId="2" fontId="123" fillId="27" borderId="136" xfId="5" applyNumberFormat="1" applyFont="1" applyFill="1" applyBorder="1"/>
    <xf numFmtId="2" fontId="69" fillId="19" borderId="2" xfId="5" applyNumberFormat="1" applyFill="1" applyBorder="1" applyProtection="1">
      <protection locked="0"/>
    </xf>
    <xf numFmtId="0" fontId="69" fillId="0" borderId="104" xfId="5" applyBorder="1" applyProtection="1">
      <protection locked="0"/>
    </xf>
    <xf numFmtId="0" fontId="136" fillId="0" borderId="103" xfId="5" applyFont="1" applyBorder="1"/>
    <xf numFmtId="169" fontId="69" fillId="27" borderId="2" xfId="5" applyNumberFormat="1" applyFill="1" applyBorder="1" applyProtection="1">
      <protection locked="0"/>
    </xf>
    <xf numFmtId="0" fontId="69" fillId="43" borderId="2" xfId="5" applyFill="1" applyBorder="1" applyProtection="1">
      <protection locked="0"/>
    </xf>
    <xf numFmtId="167" fontId="123" fillId="27" borderId="136" xfId="5" quotePrefix="1" applyNumberFormat="1" applyFont="1" applyFill="1" applyBorder="1"/>
    <xf numFmtId="0" fontId="69" fillId="0" borderId="50" xfId="5" applyFill="1" applyBorder="1"/>
    <xf numFmtId="0" fontId="69" fillId="0" borderId="67" xfId="5" applyFill="1" applyBorder="1"/>
    <xf numFmtId="0" fontId="69" fillId="0" borderId="48" xfId="5" applyFill="1" applyBorder="1"/>
    <xf numFmtId="0" fontId="69" fillId="19" borderId="2" xfId="5" applyFill="1" applyBorder="1" applyAlignment="1" applyProtection="1">
      <alignment vertical="center"/>
      <protection locked="0"/>
    </xf>
    <xf numFmtId="0" fontId="69" fillId="0" borderId="103" xfId="5" applyBorder="1" applyAlignment="1">
      <alignment wrapText="1"/>
    </xf>
    <xf numFmtId="167" fontId="69" fillId="19" borderId="2" xfId="5" applyNumberFormat="1" applyFill="1" applyBorder="1" applyAlignment="1" applyProtection="1">
      <alignment vertical="center"/>
      <protection locked="0"/>
    </xf>
    <xf numFmtId="0" fontId="69" fillId="0" borderId="2" xfId="5" applyBorder="1" applyAlignment="1">
      <alignment vertical="center"/>
    </xf>
    <xf numFmtId="169" fontId="69" fillId="19" borderId="2" xfId="5" applyNumberFormat="1" applyFill="1" applyBorder="1" applyAlignment="1" applyProtection="1">
      <alignment vertical="center"/>
      <protection locked="0"/>
    </xf>
    <xf numFmtId="0" fontId="69" fillId="0" borderId="65" xfId="5" applyBorder="1" applyProtection="1"/>
    <xf numFmtId="0" fontId="79" fillId="0" borderId="65" xfId="5" applyFont="1" applyBorder="1" applyProtection="1"/>
    <xf numFmtId="0" fontId="81" fillId="0" borderId="65" xfId="5" applyFont="1" applyBorder="1" applyProtection="1"/>
    <xf numFmtId="0" fontId="81" fillId="0" borderId="0" xfId="5" applyFont="1" applyBorder="1" applyProtection="1"/>
    <xf numFmtId="0" fontId="69" fillId="0" borderId="65" xfId="5" applyFill="1" applyBorder="1" applyProtection="1"/>
    <xf numFmtId="0" fontId="55" fillId="0" borderId="143" xfId="5" applyFont="1" applyBorder="1"/>
    <xf numFmtId="0" fontId="69" fillId="43" borderId="143" xfId="5" applyFill="1" applyBorder="1" applyProtection="1">
      <protection locked="0"/>
    </xf>
    <xf numFmtId="0" fontId="55" fillId="0" borderId="127" xfId="5" applyFont="1" applyBorder="1"/>
    <xf numFmtId="0" fontId="55" fillId="0" borderId="144" xfId="5" applyFont="1" applyBorder="1"/>
    <xf numFmtId="0" fontId="55" fillId="0" borderId="104" xfId="5" applyFont="1" applyBorder="1"/>
    <xf numFmtId="167" fontId="69" fillId="34" borderId="144" xfId="5" applyNumberFormat="1" applyFill="1" applyBorder="1"/>
    <xf numFmtId="0" fontId="55" fillId="34" borderId="104" xfId="5" applyFont="1" applyFill="1" applyBorder="1"/>
    <xf numFmtId="167" fontId="69" fillId="34" borderId="104" xfId="5" applyNumberFormat="1" applyFill="1" applyBorder="1"/>
    <xf numFmtId="0" fontId="69" fillId="0" borderId="144" xfId="5" applyBorder="1"/>
    <xf numFmtId="0" fontId="69" fillId="43" borderId="144" xfId="5" applyFill="1" applyBorder="1"/>
    <xf numFmtId="2" fontId="69" fillId="0" borderId="104" xfId="5" applyNumberFormat="1" applyBorder="1"/>
    <xf numFmtId="2" fontId="69" fillId="0" borderId="99" xfId="5" applyNumberFormat="1" applyBorder="1"/>
    <xf numFmtId="2" fontId="69" fillId="37" borderId="99" xfId="5" applyNumberFormat="1" applyFill="1" applyBorder="1"/>
    <xf numFmtId="2" fontId="69" fillId="0" borderId="145" xfId="5" applyNumberFormat="1" applyBorder="1"/>
    <xf numFmtId="0" fontId="69" fillId="43" borderId="144" xfId="5" applyFill="1" applyBorder="1" applyProtection="1">
      <protection locked="0"/>
    </xf>
    <xf numFmtId="167" fontId="69" fillId="0" borderId="0" xfId="5" applyNumberFormat="1"/>
    <xf numFmtId="0" fontId="55" fillId="0" borderId="123" xfId="5" applyFont="1" applyBorder="1"/>
    <xf numFmtId="176" fontId="55" fillId="43" borderId="123" xfId="5" applyNumberFormat="1" applyFont="1" applyFill="1" applyBorder="1"/>
    <xf numFmtId="0" fontId="55" fillId="0" borderId="129" xfId="5" applyFont="1" applyBorder="1"/>
    <xf numFmtId="0" fontId="133" fillId="0" borderId="143" xfId="5" applyFont="1" applyBorder="1"/>
    <xf numFmtId="2" fontId="133" fillId="27" borderId="143" xfId="5" applyNumberFormat="1" applyFont="1" applyFill="1" applyBorder="1"/>
    <xf numFmtId="0" fontId="133" fillId="0" borderId="123" xfId="5" applyFont="1" applyBorder="1"/>
    <xf numFmtId="169" fontId="133" fillId="34" borderId="123" xfId="5" applyNumberFormat="1" applyFont="1" applyFill="1" applyBorder="1"/>
    <xf numFmtId="167" fontId="81" fillId="34" borderId="135" xfId="5" applyNumberFormat="1" applyFont="1" applyFill="1" applyBorder="1"/>
    <xf numFmtId="167" fontId="81" fillId="27" borderId="132" xfId="5" applyNumberFormat="1" applyFont="1" applyFill="1" applyBorder="1"/>
    <xf numFmtId="167" fontId="81" fillId="27" borderId="133" xfId="5" applyNumberFormat="1" applyFont="1" applyFill="1" applyBorder="1"/>
    <xf numFmtId="167" fontId="81" fillId="27" borderId="136" xfId="5" applyNumberFormat="1" applyFont="1" applyFill="1" applyBorder="1"/>
    <xf numFmtId="167" fontId="123" fillId="27" borderId="24" xfId="5" applyNumberFormat="1" applyFont="1" applyFill="1" applyBorder="1"/>
    <xf numFmtId="167" fontId="123" fillId="27" borderId="146" xfId="5" applyNumberFormat="1" applyFont="1" applyFill="1" applyBorder="1"/>
    <xf numFmtId="167" fontId="123" fillId="27" borderId="51" xfId="5" applyNumberFormat="1" applyFont="1" applyFill="1" applyBorder="1"/>
    <xf numFmtId="167" fontId="123" fillId="27" borderId="91" xfId="5" applyNumberFormat="1" applyFont="1" applyFill="1" applyBorder="1"/>
    <xf numFmtId="0" fontId="69" fillId="34" borderId="147" xfId="5" applyFill="1" applyBorder="1" applyAlignment="1">
      <alignment horizontal="right"/>
    </xf>
    <xf numFmtId="0" fontId="69" fillId="34" borderId="146" xfId="5" applyFill="1" applyBorder="1" applyProtection="1">
      <protection locked="0"/>
    </xf>
    <xf numFmtId="0" fontId="123" fillId="0" borderId="93" xfId="5" applyFont="1" applyFill="1" applyBorder="1"/>
    <xf numFmtId="0" fontId="55" fillId="43" borderId="147" xfId="5" applyFont="1" applyFill="1" applyBorder="1" applyAlignment="1">
      <alignment horizontal="right"/>
    </xf>
    <xf numFmtId="0" fontId="55" fillId="34" borderId="146" xfId="5" applyFont="1" applyFill="1" applyBorder="1" applyProtection="1">
      <protection locked="0"/>
    </xf>
    <xf numFmtId="0" fontId="97" fillId="0" borderId="0" xfId="5" applyFont="1"/>
    <xf numFmtId="0" fontId="123" fillId="0" borderId="46" xfId="5" applyFont="1" applyFill="1" applyBorder="1"/>
    <xf numFmtId="0" fontId="121" fillId="45" borderId="46" xfId="5" applyFont="1" applyFill="1" applyBorder="1" applyAlignment="1">
      <alignment horizontal="center"/>
    </xf>
    <xf numFmtId="0" fontId="121" fillId="45" borderId="47" xfId="5" applyFont="1" applyFill="1" applyBorder="1" applyAlignment="1">
      <alignment horizontal="center"/>
    </xf>
    <xf numFmtId="0" fontId="81" fillId="0" borderId="75" xfId="5" applyFont="1" applyBorder="1"/>
    <xf numFmtId="0" fontId="81" fillId="19" borderId="77" xfId="5" applyFont="1" applyFill="1" applyBorder="1" applyAlignment="1">
      <alignment horizontal="center"/>
    </xf>
    <xf numFmtId="2" fontId="69" fillId="19" borderId="2" xfId="5" applyNumberFormat="1" applyFill="1" applyBorder="1" applyAlignment="1" applyProtection="1">
      <alignment vertical="center"/>
      <protection locked="0"/>
    </xf>
    <xf numFmtId="0" fontId="98" fillId="27" borderId="103" xfId="5" applyFont="1" applyFill="1" applyBorder="1"/>
    <xf numFmtId="167" fontId="81" fillId="27" borderId="1" xfId="5" applyNumberFormat="1" applyFont="1" applyFill="1" applyBorder="1" applyAlignment="1">
      <alignment vertical="center"/>
    </xf>
    <xf numFmtId="0" fontId="81" fillId="27" borderId="73" xfId="5" applyFont="1" applyFill="1" applyBorder="1" applyAlignment="1">
      <alignment vertical="center"/>
    </xf>
    <xf numFmtId="0" fontId="98" fillId="27" borderId="128" xfId="5" applyFont="1" applyFill="1" applyBorder="1"/>
    <xf numFmtId="167" fontId="81" fillId="27" borderId="101" xfId="5" applyNumberFormat="1" applyFont="1" applyFill="1" applyBorder="1" applyAlignment="1">
      <alignment vertical="center"/>
    </xf>
    <xf numFmtId="0" fontId="81" fillId="27" borderId="145" xfId="5" applyFont="1" applyFill="1" applyBorder="1" applyAlignment="1">
      <alignment vertical="center"/>
    </xf>
    <xf numFmtId="0" fontId="69" fillId="19" borderId="77" xfId="5" applyFill="1" applyBorder="1" applyProtection="1">
      <protection locked="0"/>
    </xf>
    <xf numFmtId="0" fontId="69" fillId="0" borderId="127" xfId="5" applyBorder="1"/>
    <xf numFmtId="0" fontId="55" fillId="0" borderId="104" xfId="5" applyFont="1" applyBorder="1" applyProtection="1">
      <protection locked="0"/>
    </xf>
    <xf numFmtId="0" fontId="55" fillId="0" borderId="128" xfId="5" applyFont="1" applyBorder="1"/>
    <xf numFmtId="0" fontId="55" fillId="19" borderId="100" xfId="5" applyFont="1" applyFill="1" applyBorder="1"/>
    <xf numFmtId="0" fontId="133" fillId="0" borderId="130" xfId="5" applyFont="1" applyBorder="1"/>
    <xf numFmtId="2" fontId="133" fillId="27" borderId="148" xfId="5" applyNumberFormat="1" applyFont="1" applyFill="1" applyBorder="1"/>
    <xf numFmtId="0" fontId="133" fillId="0" borderId="149" xfId="5" applyFont="1" applyBorder="1"/>
    <xf numFmtId="0" fontId="105" fillId="27" borderId="106" xfId="5" applyFont="1" applyFill="1" applyBorder="1" applyAlignment="1">
      <alignment vertical="center"/>
    </xf>
    <xf numFmtId="169" fontId="105" fillId="27" borderId="136" xfId="5" quotePrefix="1" applyNumberFormat="1" applyFont="1" applyFill="1" applyBorder="1" applyAlignment="1">
      <alignment vertical="center"/>
    </xf>
    <xf numFmtId="0" fontId="105" fillId="27" borderId="134" xfId="5" applyFont="1" applyFill="1" applyBorder="1" applyAlignment="1">
      <alignment vertical="center"/>
    </xf>
    <xf numFmtId="0" fontId="69" fillId="27" borderId="46" xfId="5" applyFill="1" applyBorder="1" applyAlignment="1">
      <alignment horizontal="center" vertical="center"/>
    </xf>
    <xf numFmtId="0" fontId="69" fillId="27" borderId="47" xfId="5" applyFill="1" applyBorder="1" applyAlignment="1">
      <alignment vertical="center"/>
    </xf>
    <xf numFmtId="167" fontId="69" fillId="43" borderId="2" xfId="5" applyNumberFormat="1" applyFill="1" applyBorder="1" applyAlignment="1" applyProtection="1">
      <alignment vertical="center"/>
      <protection locked="0"/>
    </xf>
    <xf numFmtId="0" fontId="55" fillId="0" borderId="48" xfId="5" applyFont="1" applyBorder="1"/>
    <xf numFmtId="0" fontId="55" fillId="0" borderId="65" xfId="5" applyFont="1" applyBorder="1"/>
    <xf numFmtId="167" fontId="69" fillId="43" borderId="6" xfId="5" applyNumberFormat="1" applyFill="1" applyBorder="1" applyAlignment="1" applyProtection="1">
      <alignment vertical="center"/>
      <protection locked="0"/>
    </xf>
    <xf numFmtId="0" fontId="55" fillId="0" borderId="48" xfId="5" quotePrefix="1" applyFont="1" applyBorder="1"/>
    <xf numFmtId="0" fontId="98" fillId="27" borderId="46" xfId="5" applyFont="1" applyFill="1" applyBorder="1"/>
    <xf numFmtId="167" fontId="81" fillId="27" borderId="46" xfId="5" applyNumberFormat="1" applyFont="1" applyFill="1" applyBorder="1" applyAlignment="1">
      <alignment vertical="center"/>
    </xf>
    <xf numFmtId="0" fontId="81" fillId="27" borderId="47" xfId="5" applyFont="1" applyFill="1" applyBorder="1" applyAlignment="1">
      <alignment vertical="center"/>
    </xf>
    <xf numFmtId="0" fontId="55" fillId="0" borderId="130" xfId="5" applyFont="1" applyFill="1" applyBorder="1"/>
    <xf numFmtId="0" fontId="55" fillId="43" borderId="22" xfId="5" applyFont="1" applyFill="1" applyBorder="1"/>
    <xf numFmtId="0" fontId="55" fillId="0" borderId="150" xfId="5" applyFont="1" applyBorder="1"/>
    <xf numFmtId="0" fontId="55" fillId="0" borderId="103" xfId="5" applyFont="1" applyFill="1" applyBorder="1"/>
    <xf numFmtId="0" fontId="55" fillId="43" borderId="2" xfId="5" applyFont="1" applyFill="1" applyBorder="1"/>
    <xf numFmtId="176" fontId="55" fillId="43" borderId="2" xfId="5" applyNumberFormat="1" applyFont="1" applyFill="1" applyBorder="1"/>
    <xf numFmtId="0" fontId="69" fillId="0" borderId="100" xfId="5" applyBorder="1"/>
    <xf numFmtId="0" fontId="69" fillId="0" borderId="129" xfId="5" applyBorder="1"/>
    <xf numFmtId="0" fontId="81" fillId="19" borderId="6" xfId="5" applyFont="1" applyFill="1" applyBorder="1" applyAlignment="1">
      <alignment horizontal="center"/>
    </xf>
    <xf numFmtId="0" fontId="79" fillId="45" borderId="103" xfId="5" applyFont="1" applyFill="1" applyBorder="1" applyAlignment="1">
      <alignment horizontal="center"/>
    </xf>
    <xf numFmtId="0" fontId="69" fillId="19" borderId="1" xfId="5" applyFill="1" applyBorder="1" applyProtection="1">
      <protection locked="0"/>
    </xf>
    <xf numFmtId="0" fontId="79" fillId="32" borderId="103" xfId="5" applyFont="1" applyFill="1" applyBorder="1" applyAlignment="1">
      <alignment horizontal="center"/>
    </xf>
    <xf numFmtId="2" fontId="69" fillId="0" borderId="1" xfId="5" applyNumberFormat="1" applyBorder="1"/>
    <xf numFmtId="0" fontId="79" fillId="0" borderId="65" xfId="5" applyFont="1" applyBorder="1" applyAlignment="1">
      <alignment horizontal="center"/>
    </xf>
    <xf numFmtId="167" fontId="69" fillId="0" borderId="1" xfId="5" applyNumberFormat="1" applyBorder="1"/>
    <xf numFmtId="0" fontId="81" fillId="19" borderId="2" xfId="5" applyFont="1" applyFill="1" applyBorder="1" applyProtection="1">
      <protection locked="0"/>
    </xf>
    <xf numFmtId="0" fontId="69" fillId="19" borderId="6" xfId="5" applyFill="1" applyBorder="1" applyAlignment="1" applyProtection="1">
      <alignment horizontal="center"/>
      <protection locked="0"/>
    </xf>
    <xf numFmtId="0" fontId="97" fillId="0" borderId="6" xfId="5" applyFont="1" applyBorder="1" applyAlignment="1">
      <alignment horizontal="left"/>
    </xf>
    <xf numFmtId="176" fontId="69" fillId="19" borderId="2" xfId="5" applyNumberFormat="1" applyFill="1" applyBorder="1" applyProtection="1">
      <protection locked="0"/>
    </xf>
    <xf numFmtId="0" fontId="97" fillId="0" borderId="0" xfId="5" quotePrefix="1" applyFont="1" applyAlignment="1">
      <alignment horizontal="center"/>
    </xf>
    <xf numFmtId="2" fontId="120" fillId="30" borderId="2" xfId="5" applyNumberFormat="1" applyFont="1" applyFill="1" applyBorder="1" applyAlignment="1">
      <alignment horizontal="center" vertical="center"/>
    </xf>
    <xf numFmtId="2" fontId="120" fillId="0" borderId="2" xfId="5" applyNumberFormat="1" applyFont="1" applyBorder="1" applyAlignment="1">
      <alignment horizontal="center" vertical="center"/>
    </xf>
    <xf numFmtId="2" fontId="120" fillId="0" borderId="0" xfId="5" applyNumberFormat="1" applyFont="1" applyAlignment="1">
      <alignment horizontal="center" vertical="center"/>
    </xf>
    <xf numFmtId="2" fontId="120" fillId="35" borderId="2" xfId="5" applyNumberFormat="1" applyFont="1" applyFill="1" applyBorder="1" applyAlignment="1">
      <alignment horizontal="center" vertical="center"/>
    </xf>
    <xf numFmtId="2" fontId="120" fillId="30" borderId="0" xfId="5" applyNumberFormat="1" applyFont="1" applyFill="1" applyAlignment="1">
      <alignment horizontal="center" vertical="center"/>
    </xf>
    <xf numFmtId="2" fontId="120" fillId="30" borderId="0" xfId="5" applyNumberFormat="1" applyFont="1" applyFill="1"/>
    <xf numFmtId="2" fontId="120" fillId="0" borderId="0" xfId="5" applyNumberFormat="1" applyFont="1"/>
    <xf numFmtId="2" fontId="69" fillId="0" borderId="151" xfId="5" applyNumberFormat="1" applyBorder="1"/>
    <xf numFmtId="2" fontId="69" fillId="30" borderId="151" xfId="5" applyNumberFormat="1" applyFill="1" applyBorder="1"/>
    <xf numFmtId="2" fontId="69" fillId="30" borderId="0" xfId="5" applyNumberFormat="1" applyFill="1"/>
    <xf numFmtId="2" fontId="69" fillId="0" borderId="0" xfId="5" applyNumberFormat="1"/>
    <xf numFmtId="2" fontId="69" fillId="0" borderId="152" xfId="5" applyNumberFormat="1" applyBorder="1"/>
    <xf numFmtId="2" fontId="69" fillId="30" borderId="152" xfId="5" applyNumberFormat="1" applyFill="1" applyBorder="1"/>
    <xf numFmtId="0" fontId="69" fillId="0" borderId="22" xfId="5" applyBorder="1" applyProtection="1"/>
    <xf numFmtId="0" fontId="69" fillId="19" borderId="22" xfId="5" applyFill="1" applyBorder="1" applyProtection="1">
      <protection locked="0"/>
    </xf>
    <xf numFmtId="0" fontId="69" fillId="19" borderId="2" xfId="5" applyFill="1" applyBorder="1" applyProtection="1"/>
    <xf numFmtId="0" fontId="69" fillId="27" borderId="2" xfId="5" applyFill="1" applyBorder="1" applyProtection="1"/>
    <xf numFmtId="0" fontId="55" fillId="27" borderId="2" xfId="5" applyFont="1" applyFill="1" applyBorder="1" applyProtection="1"/>
    <xf numFmtId="0" fontId="69" fillId="19" borderId="6" xfId="5" applyFill="1" applyBorder="1" applyProtection="1"/>
    <xf numFmtId="0" fontId="55" fillId="19" borderId="6" xfId="5" applyFont="1" applyFill="1" applyBorder="1" applyProtection="1"/>
    <xf numFmtId="0" fontId="79" fillId="27" borderId="75" xfId="5" applyFont="1" applyFill="1" applyBorder="1" applyProtection="1"/>
    <xf numFmtId="169" fontId="79" fillId="27" borderId="124" xfId="5" applyNumberFormat="1" applyFont="1" applyFill="1" applyBorder="1" applyProtection="1"/>
    <xf numFmtId="0" fontId="79" fillId="27" borderId="126" xfId="5" applyFont="1" applyFill="1" applyBorder="1" applyProtection="1"/>
    <xf numFmtId="1" fontId="113" fillId="27" borderId="46" xfId="5" applyNumberFormat="1" applyFont="1" applyFill="1" applyBorder="1" applyAlignment="1" applyProtection="1">
      <alignment horizontal="right"/>
    </xf>
    <xf numFmtId="1" fontId="113" fillId="27" borderId="23" xfId="5" applyNumberFormat="1" applyFont="1" applyFill="1" applyBorder="1" applyProtection="1"/>
    <xf numFmtId="0" fontId="113" fillId="27" borderId="47" xfId="5" applyFont="1" applyFill="1" applyBorder="1" applyProtection="1"/>
    <xf numFmtId="0" fontId="69" fillId="0" borderId="51" xfId="5" applyBorder="1" applyAlignment="1" applyProtection="1">
      <alignment horizontal="right"/>
    </xf>
    <xf numFmtId="1" fontId="144" fillId="0" borderId="0" xfId="5" applyNumberFormat="1" applyFont="1" applyBorder="1" applyAlignment="1" applyProtection="1">
      <alignment horizontal="right"/>
    </xf>
    <xf numFmtId="0" fontId="69" fillId="0" borderId="0" xfId="5" applyFont="1" applyBorder="1" applyProtection="1"/>
    <xf numFmtId="0" fontId="134" fillId="0" borderId="0" xfId="5" applyFont="1" applyBorder="1" applyProtection="1"/>
    <xf numFmtId="1" fontId="144" fillId="0" borderId="0" xfId="5" applyNumberFormat="1" applyFont="1" applyBorder="1" applyProtection="1"/>
    <xf numFmtId="0" fontId="144" fillId="0" borderId="0" xfId="5" applyFont="1" applyBorder="1" applyProtection="1"/>
    <xf numFmtId="0" fontId="69" fillId="27" borderId="2" xfId="5" applyFill="1" applyBorder="1" applyAlignment="1" applyProtection="1">
      <alignment wrapText="1"/>
    </xf>
    <xf numFmtId="2" fontId="69" fillId="27" borderId="2" xfId="5" applyNumberFormat="1" applyFill="1" applyBorder="1" applyProtection="1"/>
    <xf numFmtId="2" fontId="113" fillId="27" borderId="46" xfId="5" quotePrefix="1" applyNumberFormat="1" applyFont="1" applyFill="1" applyBorder="1"/>
    <xf numFmtId="0" fontId="106" fillId="27" borderId="47" xfId="5" applyFont="1" applyFill="1" applyBorder="1"/>
    <xf numFmtId="0" fontId="113" fillId="27" borderId="93" xfId="5" applyFont="1" applyFill="1" applyBorder="1"/>
    <xf numFmtId="0" fontId="69" fillId="0" borderId="0" xfId="5" applyFill="1" applyProtection="1"/>
    <xf numFmtId="2" fontId="69" fillId="0" borderId="153" xfId="5" applyNumberFormat="1" applyFill="1" applyBorder="1" applyAlignment="1" applyProtection="1">
      <alignment horizontal="center"/>
    </xf>
    <xf numFmtId="0" fontId="69" fillId="0" borderId="0" xfId="5" applyFill="1"/>
    <xf numFmtId="2" fontId="69" fillId="0" borderId="154" xfId="5" applyNumberFormat="1" applyFill="1" applyBorder="1" applyAlignment="1" applyProtection="1">
      <alignment horizontal="center"/>
    </xf>
    <xf numFmtId="0" fontId="145" fillId="0" borderId="155" xfId="5" applyFont="1" applyFill="1" applyBorder="1" applyProtection="1"/>
    <xf numFmtId="167" fontId="105" fillId="0" borderId="93" xfId="5" applyNumberFormat="1" applyFont="1" applyFill="1" applyBorder="1" applyAlignment="1" applyProtection="1">
      <alignment horizontal="center"/>
    </xf>
    <xf numFmtId="9" fontId="105" fillId="0" borderId="156" xfId="5" applyNumberFormat="1" applyFont="1" applyFill="1" applyBorder="1" applyAlignment="1" applyProtection="1">
      <alignment horizontal="center"/>
    </xf>
    <xf numFmtId="0" fontId="146" fillId="0" borderId="0" xfId="5" applyFont="1" applyFill="1"/>
    <xf numFmtId="0" fontId="69" fillId="0" borderId="0" xfId="5" applyFill="1" applyAlignment="1" applyProtection="1">
      <alignment horizontal="left"/>
    </xf>
    <xf numFmtId="0" fontId="119" fillId="0" borderId="0" xfId="5" applyFont="1" applyFill="1" applyAlignment="1" applyProtection="1">
      <alignment horizontal="left"/>
    </xf>
    <xf numFmtId="0" fontId="69" fillId="0" borderId="0" xfId="5" applyFill="1" applyAlignment="1">
      <alignment horizontal="left"/>
    </xf>
    <xf numFmtId="0" fontId="119" fillId="0" borderId="0" xfId="5" applyFont="1" applyFill="1" applyAlignment="1" applyProtection="1">
      <alignment horizontal="centerContinuous"/>
    </xf>
    <xf numFmtId="0" fontId="69" fillId="0" borderId="0" xfId="5" applyFill="1" applyAlignment="1" applyProtection="1">
      <alignment horizontal="centerContinuous"/>
    </xf>
    <xf numFmtId="0" fontId="81" fillId="0" borderId="0" xfId="5" applyFont="1" applyFill="1"/>
    <xf numFmtId="0" fontId="81" fillId="0" borderId="0" xfId="5" applyFont="1" applyFill="1" applyProtection="1"/>
    <xf numFmtId="182" fontId="69" fillId="0" borderId="157" xfId="5" applyNumberFormat="1" applyFill="1" applyBorder="1" applyProtection="1"/>
    <xf numFmtId="2" fontId="79" fillId="28" borderId="0" xfId="5" applyNumberFormat="1" applyFont="1" applyFill="1"/>
    <xf numFmtId="2" fontId="69" fillId="28" borderId="0" xfId="5" applyNumberFormat="1" applyFill="1"/>
    <xf numFmtId="0" fontId="69" fillId="51" borderId="0" xfId="5" applyFill="1" applyProtection="1"/>
    <xf numFmtId="0" fontId="69" fillId="0" borderId="157" xfId="5" applyFill="1" applyBorder="1" applyProtection="1"/>
    <xf numFmtId="0" fontId="55" fillId="35" borderId="0" xfId="7" applyFill="1" applyProtection="1">
      <protection hidden="1"/>
    </xf>
    <xf numFmtId="0" fontId="55" fillId="35" borderId="0" xfId="7" applyFill="1" applyAlignment="1" applyProtection="1">
      <protection hidden="1"/>
    </xf>
    <xf numFmtId="0" fontId="134" fillId="35" borderId="0" xfId="7" applyFont="1" applyFill="1" applyProtection="1">
      <protection hidden="1"/>
    </xf>
    <xf numFmtId="0" fontId="134" fillId="35" borderId="0" xfId="7" applyFont="1" applyFill="1" applyProtection="1">
      <protection locked="0"/>
    </xf>
    <xf numFmtId="0" fontId="147" fillId="35" borderId="152" xfId="7" applyFont="1" applyFill="1" applyBorder="1" applyAlignment="1" applyProtection="1">
      <alignment horizontal="centerContinuous" vertical="center"/>
      <protection hidden="1"/>
    </xf>
    <xf numFmtId="0" fontId="148" fillId="35" borderId="152" xfId="7" applyFont="1" applyFill="1" applyBorder="1" applyAlignment="1" applyProtection="1">
      <alignment horizontal="centerContinuous"/>
      <protection hidden="1"/>
    </xf>
    <xf numFmtId="0" fontId="148" fillId="35" borderId="158" xfId="7" applyFont="1" applyFill="1" applyBorder="1" applyAlignment="1" applyProtection="1">
      <alignment horizontal="centerContinuous"/>
      <protection hidden="1"/>
    </xf>
    <xf numFmtId="0" fontId="133" fillId="35" borderId="0" xfId="7" applyFont="1" applyFill="1" applyProtection="1">
      <protection hidden="1"/>
    </xf>
    <xf numFmtId="0" fontId="55" fillId="35" borderId="0" xfId="7" applyFill="1" applyProtection="1">
      <protection locked="0"/>
    </xf>
    <xf numFmtId="0" fontId="134" fillId="35" borderId="0" xfId="7" applyFont="1" applyFill="1" applyAlignment="1" applyProtection="1">
      <alignment horizontal="center"/>
      <protection hidden="1"/>
    </xf>
    <xf numFmtId="0" fontId="151" fillId="35" borderId="0" xfId="7" applyFont="1" applyFill="1" applyProtection="1">
      <protection hidden="1"/>
    </xf>
    <xf numFmtId="0" fontId="152" fillId="35" borderId="151" xfId="7" applyFont="1" applyFill="1" applyBorder="1" applyAlignment="1" applyProtection="1">
      <alignment horizontal="center" vertical="center"/>
      <protection hidden="1"/>
    </xf>
    <xf numFmtId="0" fontId="151" fillId="35" borderId="0" xfId="7" applyFont="1" applyFill="1" applyAlignment="1" applyProtection="1">
      <alignment horizontal="center"/>
      <protection hidden="1"/>
    </xf>
    <xf numFmtId="11" fontId="151" fillId="35" borderId="0" xfId="7" applyNumberFormat="1" applyFont="1" applyFill="1" applyProtection="1">
      <protection hidden="1"/>
    </xf>
    <xf numFmtId="0" fontId="149" fillId="35" borderId="0" xfId="7" applyFont="1" applyFill="1" applyProtection="1">
      <protection hidden="1"/>
    </xf>
    <xf numFmtId="0" fontId="79" fillId="35" borderId="0" xfId="7" applyFont="1" applyFill="1" applyAlignment="1" applyProtection="1">
      <alignment vertical="center"/>
      <protection hidden="1"/>
    </xf>
    <xf numFmtId="0" fontId="134" fillId="35" borderId="0" xfId="7" applyFont="1" applyFill="1" applyAlignment="1" applyProtection="1">
      <protection hidden="1"/>
    </xf>
    <xf numFmtId="0" fontId="149" fillId="35" borderId="0" xfId="7" applyFont="1" applyFill="1" applyProtection="1">
      <protection locked="0"/>
    </xf>
    <xf numFmtId="0" fontId="147" fillId="35" borderId="158" xfId="7" applyFont="1" applyFill="1" applyBorder="1" applyAlignment="1" applyProtection="1">
      <alignment horizontal="centerContinuous" vertical="center"/>
      <protection hidden="1"/>
    </xf>
    <xf numFmtId="0" fontId="151" fillId="35" borderId="0" xfId="7" applyFont="1" applyFill="1" applyBorder="1" applyAlignment="1" applyProtection="1">
      <alignment horizontal="center" vertical="center"/>
      <protection hidden="1"/>
    </xf>
    <xf numFmtId="0" fontId="158" fillId="35" borderId="0" xfId="7" applyFont="1" applyFill="1" applyBorder="1" applyAlignment="1" applyProtection="1">
      <protection hidden="1"/>
    </xf>
    <xf numFmtId="0" fontId="158" fillId="35" borderId="0" xfId="7" applyFont="1" applyFill="1" applyAlignment="1" applyProtection="1">
      <protection hidden="1"/>
    </xf>
    <xf numFmtId="0" fontId="76" fillId="35" borderId="0" xfId="7" applyFont="1" applyFill="1" applyProtection="1">
      <protection hidden="1"/>
    </xf>
    <xf numFmtId="0" fontId="69" fillId="0" borderId="103" xfId="5" applyBorder="1" applyAlignment="1">
      <alignment horizontal="left"/>
    </xf>
    <xf numFmtId="0" fontId="69" fillId="0" borderId="2" xfId="5" applyBorder="1" applyAlignment="1">
      <alignment horizontal="left"/>
    </xf>
    <xf numFmtId="0" fontId="70" fillId="0" borderId="0" xfId="9" applyFont="1" applyAlignment="1">
      <alignment horizontal="center"/>
    </xf>
    <xf numFmtId="0" fontId="71" fillId="0" borderId="0" xfId="9" applyFont="1" applyAlignment="1">
      <alignment horizontal="center"/>
    </xf>
    <xf numFmtId="1" fontId="70" fillId="0" borderId="0" xfId="9" applyNumberFormat="1" applyFont="1" applyBorder="1" applyAlignment="1">
      <alignment horizontal="center"/>
    </xf>
    <xf numFmtId="0" fontId="72" fillId="0" borderId="0" xfId="9" applyFont="1"/>
    <xf numFmtId="0" fontId="73" fillId="0" borderId="0" xfId="9" applyFont="1" applyAlignment="1">
      <alignment horizontal="center"/>
    </xf>
    <xf numFmtId="0" fontId="75" fillId="0" borderId="0" xfId="9" applyFont="1" applyAlignment="1">
      <alignment horizontal="center"/>
    </xf>
    <xf numFmtId="0" fontId="75" fillId="17" borderId="46" xfId="9" applyFont="1" applyFill="1" applyBorder="1" applyAlignment="1">
      <alignment horizontal="center"/>
    </xf>
    <xf numFmtId="0" fontId="75" fillId="17" borderId="94" xfId="9" applyFont="1" applyFill="1" applyBorder="1"/>
    <xf numFmtId="0" fontId="75" fillId="0" borderId="93" xfId="9" applyFont="1" applyFill="1" applyBorder="1" applyAlignment="1">
      <alignment horizontal="center"/>
    </xf>
    <xf numFmtId="0" fontId="76" fillId="0" borderId="23" xfId="9" applyFont="1" applyFill="1" applyBorder="1"/>
    <xf numFmtId="0" fontId="76" fillId="0" borderId="93" xfId="9" applyFont="1" applyFill="1" applyBorder="1"/>
    <xf numFmtId="0" fontId="76" fillId="0" borderId="0" xfId="9" applyFont="1"/>
    <xf numFmtId="0" fontId="76" fillId="0" borderId="28" xfId="9" applyFont="1" applyBorder="1"/>
    <xf numFmtId="1" fontId="75" fillId="0" borderId="1" xfId="9" applyNumberFormat="1" applyFont="1" applyFill="1" applyBorder="1" applyAlignment="1">
      <alignment horizontal="center"/>
    </xf>
    <xf numFmtId="167" fontId="75" fillId="0" borderId="95" xfId="9" applyNumberFormat="1" applyFont="1" applyFill="1" applyBorder="1" applyProtection="1">
      <protection locked="0"/>
    </xf>
    <xf numFmtId="167" fontId="75" fillId="0" borderId="0" xfId="9" applyNumberFormat="1" applyFont="1" applyFill="1" applyBorder="1"/>
    <xf numFmtId="167" fontId="75" fillId="18" borderId="22" xfId="9" applyNumberFormat="1" applyFont="1" applyFill="1" applyBorder="1"/>
    <xf numFmtId="167" fontId="75" fillId="18" borderId="0" xfId="9" applyNumberFormat="1" applyFont="1" applyFill="1" applyBorder="1"/>
    <xf numFmtId="167" fontId="75" fillId="0" borderId="108" xfId="9" applyNumberFormat="1" applyFont="1" applyFill="1" applyBorder="1"/>
    <xf numFmtId="167" fontId="75" fillId="0" borderId="4" xfId="9" applyNumberFormat="1" applyFont="1" applyFill="1" applyBorder="1"/>
    <xf numFmtId="0" fontId="79" fillId="0" borderId="2" xfId="9" applyFont="1" applyBorder="1" applyAlignment="1">
      <alignment horizontal="center" vertical="center"/>
    </xf>
    <xf numFmtId="0" fontId="55" fillId="0" borderId="0" xfId="9" applyFont="1"/>
    <xf numFmtId="0" fontId="79" fillId="0" borderId="2" xfId="9" applyFont="1" applyBorder="1" applyAlignment="1">
      <alignment horizontal="center"/>
    </xf>
    <xf numFmtId="0" fontId="75" fillId="19" borderId="28" xfId="9" applyFont="1" applyFill="1" applyBorder="1" applyAlignment="1">
      <alignment horizontal="center"/>
    </xf>
    <xf numFmtId="167" fontId="75" fillId="18" borderId="95" xfId="9" applyNumberFormat="1" applyFont="1" applyFill="1" applyBorder="1" applyProtection="1">
      <protection locked="0"/>
    </xf>
    <xf numFmtId="167" fontId="75" fillId="18" borderId="21" xfId="9" applyNumberFormat="1" applyFont="1" applyFill="1" applyBorder="1"/>
    <xf numFmtId="167" fontId="75" fillId="20" borderId="22" xfId="9" applyNumberFormat="1" applyFont="1" applyFill="1" applyBorder="1"/>
    <xf numFmtId="167" fontId="75" fillId="18" borderId="28" xfId="9" applyNumberFormat="1" applyFont="1" applyFill="1" applyBorder="1"/>
    <xf numFmtId="167" fontId="75" fillId="0" borderId="22" xfId="9" applyNumberFormat="1" applyFont="1" applyFill="1" applyBorder="1"/>
    <xf numFmtId="0" fontId="55" fillId="0" borderId="2" xfId="9" applyFont="1" applyBorder="1"/>
    <xf numFmtId="1" fontId="55" fillId="0" borderId="2" xfId="9" applyNumberFormat="1" applyFont="1" applyBorder="1"/>
    <xf numFmtId="0" fontId="55" fillId="0" borderId="2" xfId="9" applyFont="1" applyBorder="1" applyAlignment="1">
      <alignment horizontal="center"/>
    </xf>
    <xf numFmtId="0" fontId="76" fillId="0" borderId="1" xfId="9" applyFont="1" applyBorder="1"/>
    <xf numFmtId="1" fontId="76" fillId="0" borderId="96" xfId="9" applyNumberFormat="1" applyFont="1" applyFill="1" applyBorder="1" applyProtection="1">
      <protection locked="0"/>
    </xf>
    <xf numFmtId="0" fontId="76" fillId="0" borderId="7" xfId="9" applyFont="1" applyFill="1" applyBorder="1"/>
    <xf numFmtId="1" fontId="76" fillId="18" borderId="2" xfId="9" applyNumberFormat="1" applyFont="1" applyFill="1" applyBorder="1"/>
    <xf numFmtId="0" fontId="76" fillId="18" borderId="2" xfId="9" applyFont="1" applyFill="1" applyBorder="1"/>
    <xf numFmtId="0" fontId="76" fillId="0" borderId="1" xfId="9" applyFont="1" applyFill="1" applyBorder="1"/>
    <xf numFmtId="0" fontId="76" fillId="0" borderId="2" xfId="9" applyFont="1" applyFill="1" applyBorder="1"/>
    <xf numFmtId="2" fontId="55" fillId="0" borderId="2" xfId="9" applyNumberFormat="1" applyFont="1" applyBorder="1" applyAlignment="1">
      <alignment horizontal="center"/>
    </xf>
    <xf numFmtId="1" fontId="76" fillId="0" borderId="3" xfId="9" applyNumberFormat="1" applyFont="1" applyFill="1" applyBorder="1"/>
    <xf numFmtId="1" fontId="76" fillId="18" borderId="6" xfId="9" applyNumberFormat="1" applyFont="1" applyFill="1" applyBorder="1"/>
    <xf numFmtId="1" fontId="76" fillId="0" borderId="5" xfId="9" applyNumberFormat="1" applyFont="1" applyFill="1" applyBorder="1"/>
    <xf numFmtId="1" fontId="76" fillId="0" borderId="6" xfId="9" applyNumberFormat="1" applyFont="1" applyFill="1" applyBorder="1"/>
    <xf numFmtId="0" fontId="76" fillId="0" borderId="96" xfId="9" applyFont="1" applyFill="1" applyBorder="1" applyProtection="1">
      <protection locked="0"/>
    </xf>
    <xf numFmtId="0" fontId="160" fillId="0" borderId="2" xfId="9" applyFont="1" applyBorder="1"/>
    <xf numFmtId="0" fontId="76" fillId="0" borderId="97" xfId="9" applyFont="1" applyFill="1" applyBorder="1" applyProtection="1">
      <protection locked="0"/>
    </xf>
    <xf numFmtId="0" fontId="76" fillId="0" borderId="3" xfId="9" applyFont="1" applyFill="1" applyBorder="1"/>
    <xf numFmtId="0" fontId="76" fillId="18" borderId="6" xfId="9" applyFont="1" applyFill="1" applyBorder="1"/>
    <xf numFmtId="0" fontId="76" fillId="0" borderId="5" xfId="9" applyFont="1" applyFill="1" applyBorder="1"/>
    <xf numFmtId="0" fontId="76" fillId="0" borderId="6" xfId="9" applyFont="1" applyFill="1" applyBorder="1"/>
    <xf numFmtId="0" fontId="76" fillId="46" borderId="102" xfId="9" applyFont="1" applyFill="1" applyBorder="1" applyAlignment="1">
      <alignment horizontal="center"/>
    </xf>
    <xf numFmtId="167" fontId="75" fillId="0" borderId="93" xfId="9" applyNumberFormat="1" applyFont="1" applyFill="1" applyBorder="1" applyProtection="1">
      <protection locked="0"/>
    </xf>
    <xf numFmtId="167" fontId="75" fillId="0" borderId="47" xfId="9" applyNumberFormat="1" applyFont="1" applyFill="1" applyBorder="1"/>
    <xf numFmtId="167" fontId="75" fillId="18" borderId="93" xfId="9" applyNumberFormat="1" applyFont="1" applyFill="1" applyBorder="1"/>
    <xf numFmtId="167" fontId="75" fillId="0" borderId="46" xfId="9" applyNumberFormat="1" applyFont="1" applyFill="1" applyBorder="1"/>
    <xf numFmtId="167" fontId="75" fillId="0" borderId="106" xfId="9" applyNumberFormat="1" applyFont="1" applyFill="1" applyBorder="1"/>
    <xf numFmtId="167" fontId="75" fillId="0" borderId="23" xfId="9" applyNumberFormat="1" applyFont="1" applyBorder="1"/>
    <xf numFmtId="167" fontId="75" fillId="46" borderId="93" xfId="9" applyNumberFormat="1" applyFont="1" applyFill="1" applyBorder="1" applyAlignment="1">
      <alignment horizontal="center"/>
    </xf>
    <xf numFmtId="167" fontId="75" fillId="0" borderId="0" xfId="9" applyNumberFormat="1" applyFont="1" applyAlignment="1">
      <alignment horizontal="center"/>
    </xf>
    <xf numFmtId="167" fontId="75" fillId="0" borderId="102" xfId="9" applyNumberFormat="1" applyFont="1" applyFill="1" applyBorder="1" applyProtection="1">
      <protection locked="0"/>
    </xf>
    <xf numFmtId="167" fontId="75" fillId="20" borderId="0" xfId="9" applyNumberFormat="1" applyFont="1" applyFill="1" applyBorder="1"/>
    <xf numFmtId="167" fontId="75" fillId="20" borderId="102" xfId="9" applyNumberFormat="1" applyFont="1" applyFill="1" applyBorder="1" applyProtection="1">
      <protection locked="0"/>
    </xf>
    <xf numFmtId="167" fontId="75" fillId="0" borderId="0" xfId="9" applyNumberFormat="1" applyFont="1" applyBorder="1"/>
    <xf numFmtId="0" fontId="76" fillId="0" borderId="2" xfId="9" applyFont="1" applyFill="1" applyBorder="1" applyAlignment="1">
      <alignment horizontal="left"/>
    </xf>
    <xf numFmtId="0" fontId="76" fillId="0" borderId="1" xfId="9" applyFont="1" applyFill="1" applyBorder="1" applyAlignment="1">
      <alignment horizontal="left"/>
    </xf>
    <xf numFmtId="167" fontId="75" fillId="20" borderId="96" xfId="9" applyNumberFormat="1" applyFont="1" applyFill="1" applyBorder="1" applyProtection="1"/>
    <xf numFmtId="167" fontId="75" fillId="20" borderId="7" xfId="9" applyNumberFormat="1" applyFont="1" applyFill="1" applyBorder="1" applyProtection="1"/>
    <xf numFmtId="167" fontId="75" fillId="20" borderId="2" xfId="9" applyNumberFormat="1" applyFont="1" applyFill="1" applyBorder="1" applyProtection="1"/>
    <xf numFmtId="167" fontId="75" fillId="20" borderId="1" xfId="9" applyNumberFormat="1" applyFont="1" applyFill="1" applyBorder="1" applyProtection="1"/>
    <xf numFmtId="167" fontId="75" fillId="0" borderId="2" xfId="9" applyNumberFormat="1" applyFont="1" applyFill="1" applyBorder="1" applyProtection="1"/>
    <xf numFmtId="0" fontId="76" fillId="0" borderId="2" xfId="9" applyFont="1" applyBorder="1"/>
    <xf numFmtId="167" fontId="75" fillId="0" borderId="96" xfId="9" applyNumberFormat="1" applyFont="1" applyFill="1" applyBorder="1" applyProtection="1">
      <protection locked="0"/>
    </xf>
    <xf numFmtId="0" fontId="76" fillId="0" borderId="0" xfId="9" applyFont="1" applyFill="1" applyBorder="1"/>
    <xf numFmtId="0" fontId="76" fillId="18" borderId="0" xfId="9" applyFont="1" applyFill="1" applyBorder="1"/>
    <xf numFmtId="0" fontId="76" fillId="0" borderId="4" xfId="9" applyFont="1" applyFill="1" applyBorder="1"/>
    <xf numFmtId="167" fontId="76" fillId="0" borderId="96" xfId="9" applyNumberFormat="1" applyFont="1" applyFill="1" applyBorder="1" applyProtection="1">
      <protection locked="0"/>
    </xf>
    <xf numFmtId="167" fontId="76" fillId="0" borderId="7" xfId="9" applyNumberFormat="1" applyFont="1" applyFill="1" applyBorder="1"/>
    <xf numFmtId="167" fontId="76" fillId="0" borderId="1" xfId="9" applyNumberFormat="1" applyFont="1" applyFill="1" applyBorder="1"/>
    <xf numFmtId="167" fontId="76" fillId="0" borderId="2" xfId="9" applyNumberFormat="1" applyFont="1" applyFill="1" applyBorder="1"/>
    <xf numFmtId="0" fontId="75" fillId="0" borderId="1" xfId="9" applyFont="1" applyBorder="1"/>
    <xf numFmtId="1" fontId="76" fillId="21" borderId="96" xfId="9" applyNumberFormat="1" applyFont="1" applyFill="1" applyBorder="1" applyProtection="1">
      <protection locked="0"/>
    </xf>
    <xf numFmtId="1" fontId="76" fillId="21" borderId="2" xfId="9" applyNumberFormat="1" applyFont="1" applyFill="1" applyBorder="1" applyAlignment="1" applyProtection="1">
      <alignment horizontal="center"/>
    </xf>
    <xf numFmtId="1" fontId="76" fillId="18" borderId="2" xfId="9" applyNumberFormat="1" applyFont="1" applyFill="1" applyBorder="1" applyProtection="1"/>
    <xf numFmtId="1" fontId="76" fillId="6" borderId="2" xfId="9" applyNumberFormat="1" applyFont="1" applyFill="1" applyBorder="1" applyAlignment="1" applyProtection="1">
      <alignment horizontal="center"/>
    </xf>
    <xf numFmtId="0" fontId="76" fillId="22" borderId="2" xfId="9" applyFont="1" applyFill="1" applyBorder="1"/>
    <xf numFmtId="0" fontId="76" fillId="22" borderId="0" xfId="9" applyFont="1" applyFill="1" applyBorder="1"/>
    <xf numFmtId="0" fontId="76" fillId="23" borderId="2" xfId="9" applyFont="1" applyFill="1" applyBorder="1"/>
    <xf numFmtId="0" fontId="75" fillId="0" borderId="2" xfId="9" applyFont="1" applyBorder="1"/>
    <xf numFmtId="0" fontId="76" fillId="23" borderId="6" xfId="9" applyFont="1" applyFill="1" applyBorder="1"/>
    <xf numFmtId="0" fontId="75" fillId="0" borderId="23" xfId="9" applyFont="1" applyBorder="1" applyAlignment="1"/>
    <xf numFmtId="0" fontId="75" fillId="0" borderId="47" xfId="9" applyFont="1" applyBorder="1" applyAlignment="1"/>
    <xf numFmtId="167" fontId="76" fillId="0" borderId="97" xfId="9" applyNumberFormat="1" applyFont="1" applyFill="1" applyBorder="1" applyProtection="1">
      <protection locked="0"/>
    </xf>
    <xf numFmtId="167" fontId="76" fillId="23" borderId="6" xfId="9" applyNumberFormat="1" applyFont="1" applyFill="1" applyBorder="1"/>
    <xf numFmtId="0" fontId="76" fillId="52" borderId="92" xfId="9" applyFont="1" applyFill="1" applyBorder="1" applyAlignment="1">
      <alignment horizontal="center"/>
    </xf>
    <xf numFmtId="0" fontId="75" fillId="0" borderId="97" xfId="9" applyFont="1" applyFill="1" applyBorder="1" applyProtection="1">
      <protection locked="0"/>
    </xf>
    <xf numFmtId="167" fontId="75" fillId="52" borderId="93" xfId="9" applyNumberFormat="1" applyFont="1" applyFill="1" applyBorder="1" applyAlignment="1">
      <alignment horizontal="center"/>
    </xf>
    <xf numFmtId="2" fontId="75" fillId="0" borderId="97" xfId="9" applyNumberFormat="1" applyFont="1" applyFill="1" applyBorder="1" applyProtection="1">
      <protection locked="0"/>
    </xf>
    <xf numFmtId="2" fontId="76" fillId="18" borderId="6" xfId="9" applyNumberFormat="1" applyFont="1" applyFill="1" applyBorder="1"/>
    <xf numFmtId="0" fontId="75" fillId="24" borderId="2" xfId="9" applyFont="1" applyFill="1" applyBorder="1"/>
    <xf numFmtId="0" fontId="75" fillId="24" borderId="1" xfId="9" applyFont="1" applyFill="1" applyBorder="1"/>
    <xf numFmtId="0" fontId="75" fillId="0" borderId="98" xfId="9" applyFont="1" applyFill="1" applyBorder="1" applyProtection="1">
      <protection locked="0"/>
    </xf>
    <xf numFmtId="0" fontId="75" fillId="0" borderId="99" xfId="9" applyFont="1" applyFill="1" applyBorder="1"/>
    <xf numFmtId="0" fontId="75" fillId="18" borderId="100" xfId="9" applyFont="1" applyFill="1" applyBorder="1"/>
    <xf numFmtId="0" fontId="75" fillId="0" borderId="101" xfId="9" applyFont="1" applyFill="1" applyBorder="1"/>
    <xf numFmtId="0" fontId="75" fillId="0" borderId="100" xfId="9" applyFont="1" applyFill="1" applyBorder="1"/>
    <xf numFmtId="0" fontId="77" fillId="0" borderId="0" xfId="9" applyFont="1" applyAlignment="1">
      <alignment horizontal="center"/>
    </xf>
    <xf numFmtId="0" fontId="76" fillId="0" borderId="102" xfId="9" applyFont="1" applyFill="1" applyBorder="1"/>
    <xf numFmtId="0" fontId="76" fillId="0" borderId="0" xfId="9" applyFont="1" applyFill="1"/>
    <xf numFmtId="0" fontId="78" fillId="0" borderId="46" xfId="9" applyFont="1" applyBorder="1" applyAlignment="1">
      <alignment horizontal="center"/>
    </xf>
    <xf numFmtId="0" fontId="75" fillId="0" borderId="23" xfId="9" applyFont="1" applyFill="1" applyBorder="1" applyAlignment="1">
      <alignment horizontal="center"/>
    </xf>
    <xf numFmtId="0" fontId="76" fillId="0" borderId="22" xfId="9" applyFont="1" applyBorder="1" applyAlignment="1">
      <alignment horizontal="right"/>
    </xf>
    <xf numFmtId="167" fontId="76" fillId="0" borderId="95" xfId="9" applyNumberFormat="1" applyFont="1" applyFill="1" applyBorder="1"/>
    <xf numFmtId="0" fontId="76" fillId="0" borderId="2" xfId="9" applyFont="1" applyBorder="1" applyAlignment="1">
      <alignment horizontal="right"/>
    </xf>
    <xf numFmtId="169" fontId="76" fillId="0" borderId="96" xfId="9" applyNumberFormat="1" applyFont="1" applyFill="1" applyBorder="1"/>
    <xf numFmtId="0" fontId="75" fillId="0" borderId="2" xfId="9" applyFont="1" applyBorder="1" applyAlignment="1">
      <alignment horizontal="right"/>
    </xf>
    <xf numFmtId="1" fontId="75" fillId="0" borderId="96" xfId="9" applyNumberFormat="1" applyFont="1" applyFill="1" applyBorder="1"/>
    <xf numFmtId="0" fontId="79" fillId="0" borderId="2" xfId="9" applyFont="1" applyBorder="1" applyAlignment="1">
      <alignment horizontal="right"/>
    </xf>
    <xf numFmtId="167" fontId="76" fillId="0" borderId="96" xfId="9" applyNumberFormat="1" applyFont="1" applyFill="1" applyBorder="1"/>
    <xf numFmtId="0" fontId="75" fillId="14" borderId="2" xfId="9" applyFont="1" applyFill="1" applyBorder="1" applyAlignment="1">
      <alignment horizontal="right"/>
    </xf>
    <xf numFmtId="1" fontId="75" fillId="26" borderId="1" xfId="9" applyNumberFormat="1" applyFont="1" applyFill="1" applyBorder="1" applyAlignment="1">
      <alignment horizontal="center"/>
    </xf>
    <xf numFmtId="0" fontId="76" fillId="27" borderId="2" xfId="9" applyFont="1" applyFill="1" applyBorder="1" applyAlignment="1">
      <alignment horizontal="right"/>
    </xf>
    <xf numFmtId="1" fontId="75" fillId="27" borderId="1" xfId="9" applyNumberFormat="1" applyFont="1" applyFill="1" applyBorder="1" applyAlignment="1">
      <alignment horizontal="center"/>
    </xf>
    <xf numFmtId="167" fontId="76" fillId="0" borderId="97" xfId="9" applyNumberFormat="1" applyFont="1" applyFill="1" applyBorder="1"/>
    <xf numFmtId="167" fontId="76" fillId="53" borderId="7" xfId="9" applyNumberFormat="1" applyFont="1" applyFill="1" applyBorder="1"/>
    <xf numFmtId="167" fontId="75" fillId="0" borderId="93" xfId="9" applyNumberFormat="1" applyFont="1" applyBorder="1"/>
    <xf numFmtId="0" fontId="76" fillId="26" borderId="2" xfId="9" applyFont="1" applyFill="1" applyBorder="1" applyAlignment="1">
      <alignment horizontal="right"/>
    </xf>
    <xf numFmtId="168" fontId="76" fillId="0" borderId="7" xfId="9" applyNumberFormat="1" applyFont="1" applyFill="1" applyBorder="1"/>
    <xf numFmtId="0" fontId="75" fillId="0" borderId="46" xfId="9" applyFont="1" applyBorder="1" applyAlignment="1"/>
    <xf numFmtId="0" fontId="76" fillId="28" borderId="2" xfId="9" applyFont="1" applyFill="1" applyBorder="1" applyAlignment="1">
      <alignment horizontal="right"/>
    </xf>
    <xf numFmtId="0" fontId="76" fillId="28" borderId="1" xfId="9" applyFont="1" applyFill="1" applyBorder="1" applyAlignment="1">
      <alignment horizontal="center"/>
    </xf>
    <xf numFmtId="1" fontId="76" fillId="0" borderId="96" xfId="9" applyNumberFormat="1" applyFont="1" applyFill="1" applyBorder="1"/>
    <xf numFmtId="1" fontId="76" fillId="0" borderId="7" xfId="9" applyNumberFormat="1" applyFont="1" applyFill="1" applyBorder="1"/>
    <xf numFmtId="0" fontId="75" fillId="17" borderId="2" xfId="9" applyFont="1" applyFill="1" applyBorder="1" applyAlignment="1">
      <alignment horizontal="right"/>
    </xf>
    <xf numFmtId="1" fontId="75" fillId="17" borderId="1" xfId="9" applyNumberFormat="1" applyFont="1" applyFill="1" applyBorder="1" applyAlignment="1">
      <alignment horizontal="center"/>
    </xf>
    <xf numFmtId="0" fontId="75" fillId="29" borderId="6" xfId="9" applyFont="1" applyFill="1" applyBorder="1" applyAlignment="1">
      <alignment horizontal="right"/>
    </xf>
    <xf numFmtId="1" fontId="75" fillId="29" borderId="1" xfId="9" applyNumberFormat="1" applyFont="1" applyFill="1" applyBorder="1" applyAlignment="1">
      <alignment horizontal="center"/>
    </xf>
    <xf numFmtId="1" fontId="75" fillId="0" borderId="97" xfId="9" applyNumberFormat="1" applyFont="1" applyFill="1" applyBorder="1"/>
    <xf numFmtId="0" fontId="75" fillId="30" borderId="6" xfId="9" applyFont="1" applyFill="1" applyBorder="1" applyAlignment="1">
      <alignment horizontal="right"/>
    </xf>
    <xf numFmtId="0" fontId="75" fillId="30" borderId="5" xfId="9" applyFont="1" applyFill="1" applyBorder="1" applyAlignment="1">
      <alignment horizontal="center"/>
    </xf>
    <xf numFmtId="0" fontId="75" fillId="0" borderId="97" xfId="9" applyFont="1" applyFill="1" applyBorder="1"/>
    <xf numFmtId="0" fontId="75" fillId="30" borderId="22" xfId="9" applyFont="1" applyFill="1" applyBorder="1" applyAlignment="1">
      <alignment horizontal="right"/>
    </xf>
    <xf numFmtId="1" fontId="75" fillId="30" borderId="1" xfId="9" applyNumberFormat="1" applyFont="1" applyFill="1" applyBorder="1" applyAlignment="1">
      <alignment horizontal="center"/>
    </xf>
    <xf numFmtId="167" fontId="75" fillId="0" borderId="95" xfId="9" applyNumberFormat="1" applyFont="1" applyFill="1" applyBorder="1"/>
    <xf numFmtId="169" fontId="76" fillId="0" borderId="7" xfId="9" applyNumberFormat="1" applyFont="1" applyFill="1" applyBorder="1"/>
    <xf numFmtId="0" fontId="75" fillId="31" borderId="2" xfId="9" applyFont="1" applyFill="1" applyBorder="1" applyAlignment="1">
      <alignment horizontal="right"/>
    </xf>
    <xf numFmtId="0" fontId="75" fillId="31" borderId="26" xfId="9" applyFont="1" applyFill="1" applyBorder="1" applyAlignment="1">
      <alignment horizontal="center"/>
    </xf>
    <xf numFmtId="0" fontId="75" fillId="32" borderId="2" xfId="9" applyFont="1" applyFill="1" applyBorder="1" applyAlignment="1">
      <alignment horizontal="right"/>
    </xf>
    <xf numFmtId="1" fontId="75" fillId="32" borderId="1" xfId="9" applyNumberFormat="1" applyFont="1" applyFill="1" applyBorder="1" applyAlignment="1">
      <alignment horizontal="center"/>
    </xf>
    <xf numFmtId="0" fontId="78" fillId="0" borderId="0" xfId="9" applyFont="1" applyAlignment="1">
      <alignment horizontal="center"/>
    </xf>
    <xf numFmtId="0" fontId="104" fillId="15" borderId="2" xfId="9" applyFont="1" applyFill="1" applyBorder="1" applyAlignment="1">
      <alignment horizontal="right"/>
    </xf>
    <xf numFmtId="0" fontId="79" fillId="15" borderId="8" xfId="9" applyFont="1" applyFill="1" applyBorder="1" applyAlignment="1">
      <alignment horizontal="center"/>
    </xf>
    <xf numFmtId="167" fontId="81" fillId="14" borderId="93" xfId="9" applyNumberFormat="1" applyFont="1" applyFill="1" applyBorder="1" applyAlignment="1">
      <alignment horizontal="center"/>
    </xf>
    <xf numFmtId="167" fontId="81" fillId="14" borderId="7" xfId="9" applyNumberFormat="1" applyFont="1" applyFill="1" applyBorder="1"/>
    <xf numFmtId="0" fontId="78" fillId="0" borderId="0" xfId="9" applyFont="1"/>
    <xf numFmtId="0" fontId="79" fillId="0" borderId="0" xfId="9" applyFont="1" applyAlignment="1">
      <alignment horizontal="center"/>
    </xf>
    <xf numFmtId="0" fontId="78" fillId="0" borderId="2" xfId="9" applyFont="1" applyBorder="1" applyAlignment="1">
      <alignment horizontal="right"/>
    </xf>
    <xf numFmtId="0" fontId="78" fillId="0" borderId="1" xfId="9" applyFont="1" applyBorder="1" applyAlignment="1">
      <alignment horizontal="center"/>
    </xf>
    <xf numFmtId="0" fontId="55" fillId="0" borderId="96" xfId="9" applyFont="1" applyFill="1" applyBorder="1"/>
    <xf numFmtId="0" fontId="55" fillId="0" borderId="7" xfId="9" applyFont="1" applyFill="1" applyBorder="1"/>
    <xf numFmtId="0" fontId="55" fillId="0" borderId="2" xfId="9" applyFont="1" applyFill="1" applyBorder="1"/>
    <xf numFmtId="0" fontId="55" fillId="0" borderId="1" xfId="9" applyFont="1" applyFill="1" applyBorder="1"/>
    <xf numFmtId="0" fontId="55" fillId="0" borderId="95" xfId="9" applyFont="1" applyFill="1" applyBorder="1"/>
    <xf numFmtId="0" fontId="75" fillId="0" borderId="2" xfId="9" applyFont="1" applyFill="1" applyBorder="1" applyAlignment="1">
      <alignment horizontal="right"/>
    </xf>
    <xf numFmtId="167" fontId="75" fillId="0" borderId="96" xfId="9" applyNumberFormat="1" applyFont="1" applyFill="1" applyBorder="1"/>
    <xf numFmtId="167" fontId="75" fillId="0" borderId="7" xfId="9" applyNumberFormat="1" applyFont="1" applyFill="1" applyBorder="1"/>
    <xf numFmtId="167" fontId="75" fillId="0" borderId="2" xfId="9" applyNumberFormat="1" applyFont="1" applyFill="1" applyBorder="1"/>
    <xf numFmtId="167" fontId="75" fillId="0" borderId="1" xfId="9" applyNumberFormat="1" applyFont="1" applyFill="1" applyBorder="1"/>
    <xf numFmtId="1" fontId="75" fillId="0" borderId="7" xfId="9" applyNumberFormat="1" applyFont="1" applyFill="1" applyBorder="1"/>
    <xf numFmtId="1" fontId="75" fillId="0" borderId="2" xfId="9" applyNumberFormat="1" applyFont="1" applyFill="1" applyBorder="1"/>
    <xf numFmtId="1" fontId="75" fillId="0" borderId="1" xfId="9" applyNumberFormat="1" applyFont="1" applyFill="1" applyBorder="1"/>
    <xf numFmtId="0" fontId="75" fillId="0" borderId="0" xfId="9" applyFont="1" applyFill="1" applyAlignment="1">
      <alignment horizontal="center"/>
    </xf>
    <xf numFmtId="167" fontId="75" fillId="0" borderId="98" xfId="9" applyNumberFormat="1" applyFont="1" applyFill="1" applyBorder="1"/>
    <xf numFmtId="0" fontId="55" fillId="0" borderId="0" xfId="9"/>
    <xf numFmtId="0" fontId="0" fillId="0" borderId="75" xfId="0" applyBorder="1"/>
    <xf numFmtId="0" fontId="0" fillId="0" borderId="50" xfId="0" applyBorder="1"/>
    <xf numFmtId="0" fontId="0" fillId="0" borderId="67" xfId="0" applyBorder="1"/>
    <xf numFmtId="0" fontId="164" fillId="0" borderId="65" xfId="0" applyFont="1" applyBorder="1"/>
    <xf numFmtId="0" fontId="0" fillId="0" borderId="0" xfId="0" applyBorder="1"/>
    <xf numFmtId="0" fontId="0" fillId="0" borderId="0" xfId="0" applyBorder="1" applyAlignment="1">
      <alignment horizontal="center"/>
    </xf>
    <xf numFmtId="0" fontId="0" fillId="0" borderId="0" xfId="0" applyBorder="1" applyAlignment="1"/>
    <xf numFmtId="0" fontId="0" fillId="0" borderId="65" xfId="0" applyFill="1" applyBorder="1"/>
    <xf numFmtId="1" fontId="0" fillId="0" borderId="0" xfId="0" applyNumberFormat="1" applyBorder="1" applyAlignment="1">
      <alignment horizontal="center"/>
    </xf>
    <xf numFmtId="0" fontId="0" fillId="0" borderId="0" xfId="0" applyFill="1" applyBorder="1"/>
    <xf numFmtId="0" fontId="0" fillId="0" borderId="65" xfId="0" applyBorder="1"/>
    <xf numFmtId="0" fontId="159" fillId="0" borderId="65" xfId="0" applyFont="1" applyBorder="1"/>
    <xf numFmtId="0" fontId="0" fillId="0" borderId="48" xfId="0" applyBorder="1"/>
    <xf numFmtId="0" fontId="166" fillId="0" borderId="127" xfId="0" applyFont="1" applyBorder="1" applyAlignment="1">
      <alignment horizontal="center" vertical="center"/>
    </xf>
    <xf numFmtId="0" fontId="166" fillId="0" borderId="78" xfId="0" applyFont="1" applyBorder="1" applyAlignment="1">
      <alignment horizontal="center" vertical="center"/>
    </xf>
    <xf numFmtId="0" fontId="166" fillId="54" borderId="121" xfId="0" applyFont="1" applyFill="1" applyBorder="1" applyAlignment="1">
      <alignment horizontal="center" vertical="center"/>
    </xf>
    <xf numFmtId="0" fontId="0" fillId="43" borderId="96" xfId="0" applyFill="1" applyBorder="1" applyAlignment="1">
      <alignment horizontal="center" vertical="center"/>
    </xf>
    <xf numFmtId="0" fontId="0" fillId="43" borderId="7" xfId="0" applyFill="1" applyBorder="1" applyAlignment="1">
      <alignment horizontal="center" vertical="center"/>
    </xf>
    <xf numFmtId="0" fontId="0" fillId="43" borderId="104" xfId="0" applyFill="1" applyBorder="1" applyAlignment="1">
      <alignment horizontal="center" vertical="center"/>
    </xf>
    <xf numFmtId="0" fontId="0" fillId="0" borderId="124" xfId="0" applyBorder="1" applyAlignment="1">
      <alignment horizontal="center"/>
    </xf>
    <xf numFmtId="1" fontId="0" fillId="57" borderId="76" xfId="0" applyNumberFormat="1" applyFill="1" applyBorder="1" applyAlignment="1">
      <alignment horizontal="center"/>
    </xf>
    <xf numFmtId="1" fontId="0" fillId="57" borderId="77" xfId="0" applyNumberFormat="1" applyFill="1" applyBorder="1" applyAlignment="1">
      <alignment horizontal="center"/>
    </xf>
    <xf numFmtId="1" fontId="0" fillId="57" borderId="127" xfId="0" applyNumberFormat="1" applyFill="1" applyBorder="1" applyAlignment="1">
      <alignment horizontal="center"/>
    </xf>
    <xf numFmtId="1" fontId="0" fillId="57" borderId="103" xfId="0" applyNumberFormat="1" applyFill="1" applyBorder="1" applyAlignment="1">
      <alignment horizontal="center"/>
    </xf>
    <xf numFmtId="1" fontId="0" fillId="57" borderId="2" xfId="0" applyNumberFormat="1" applyFill="1" applyBorder="1" applyAlignment="1">
      <alignment horizontal="center"/>
    </xf>
    <xf numFmtId="1" fontId="0" fillId="57" borderId="104" xfId="0" applyNumberFormat="1" applyFill="1" applyBorder="1" applyAlignment="1">
      <alignment horizontal="center"/>
    </xf>
    <xf numFmtId="1" fontId="0" fillId="57" borderId="128" xfId="0" applyNumberFormat="1" applyFill="1" applyBorder="1" applyAlignment="1">
      <alignment horizontal="center"/>
    </xf>
    <xf numFmtId="1" fontId="0" fillId="57" borderId="100" xfId="0" applyNumberFormat="1" applyFill="1" applyBorder="1" applyAlignment="1">
      <alignment horizontal="center"/>
    </xf>
    <xf numFmtId="1" fontId="0" fillId="57" borderId="129" xfId="0" applyNumberFormat="1" applyFill="1" applyBorder="1" applyAlignment="1">
      <alignment horizontal="center"/>
    </xf>
    <xf numFmtId="1" fontId="0" fillId="56" borderId="76" xfId="0" applyNumberFormat="1" applyFill="1" applyBorder="1" applyAlignment="1">
      <alignment horizontal="center"/>
    </xf>
    <xf numFmtId="1" fontId="0" fillId="56" borderId="77" xfId="0" applyNumberFormat="1" applyFill="1" applyBorder="1" applyAlignment="1">
      <alignment horizontal="center"/>
    </xf>
    <xf numFmtId="1" fontId="0" fillId="56" borderId="127" xfId="0" applyNumberFormat="1" applyFill="1" applyBorder="1" applyAlignment="1">
      <alignment horizontal="center"/>
    </xf>
    <xf numFmtId="1" fontId="0" fillId="56" borderId="103" xfId="0" applyNumberFormat="1" applyFill="1" applyBorder="1" applyAlignment="1">
      <alignment horizontal="center"/>
    </xf>
    <xf numFmtId="1" fontId="0" fillId="56" borderId="2" xfId="0" applyNumberFormat="1" applyFill="1" applyBorder="1" applyAlignment="1">
      <alignment horizontal="center"/>
    </xf>
    <xf numFmtId="1" fontId="0" fillId="56" borderId="104" xfId="0" applyNumberFormat="1" applyFill="1" applyBorder="1" applyAlignment="1">
      <alignment horizontal="center"/>
    </xf>
    <xf numFmtId="1" fontId="0" fillId="56" borderId="128" xfId="0" applyNumberFormat="1" applyFill="1" applyBorder="1" applyAlignment="1">
      <alignment horizontal="center"/>
    </xf>
    <xf numFmtId="1" fontId="0" fillId="56" borderId="100" xfId="0" applyNumberFormat="1" applyFill="1" applyBorder="1" applyAlignment="1">
      <alignment horizontal="center"/>
    </xf>
    <xf numFmtId="1" fontId="0" fillId="56" borderId="129" xfId="0" applyNumberFormat="1" applyFill="1" applyBorder="1" applyAlignment="1">
      <alignment horizontal="center"/>
    </xf>
    <xf numFmtId="1" fontId="0" fillId="55" borderId="76" xfId="0" applyNumberFormat="1" applyFill="1" applyBorder="1" applyAlignment="1">
      <alignment horizontal="center"/>
    </xf>
    <xf numFmtId="1" fontId="0" fillId="55" borderId="77" xfId="0" applyNumberFormat="1" applyFill="1" applyBorder="1" applyAlignment="1">
      <alignment horizontal="center"/>
    </xf>
    <xf numFmtId="1" fontId="0" fillId="55" borderId="127" xfId="0" applyNumberFormat="1" applyFill="1" applyBorder="1" applyAlignment="1">
      <alignment horizontal="center"/>
    </xf>
    <xf numFmtId="1" fontId="0" fillId="55" borderId="103" xfId="0" applyNumberFormat="1" applyFill="1" applyBorder="1" applyAlignment="1">
      <alignment horizontal="center"/>
    </xf>
    <xf numFmtId="1" fontId="0" fillId="55" borderId="2" xfId="0" applyNumberFormat="1" applyFill="1" applyBorder="1" applyAlignment="1">
      <alignment horizontal="center"/>
    </xf>
    <xf numFmtId="1" fontId="0" fillId="55" borderId="104" xfId="0" applyNumberFormat="1" applyFill="1" applyBorder="1" applyAlignment="1">
      <alignment horizontal="center"/>
    </xf>
    <xf numFmtId="1" fontId="0" fillId="55" borderId="128" xfId="0" applyNumberFormat="1" applyFill="1" applyBorder="1" applyAlignment="1">
      <alignment horizontal="center"/>
    </xf>
    <xf numFmtId="1" fontId="0" fillId="55" borderId="100" xfId="0" applyNumberFormat="1" applyFill="1" applyBorder="1" applyAlignment="1">
      <alignment horizontal="center"/>
    </xf>
    <xf numFmtId="1" fontId="0" fillId="55" borderId="129" xfId="0" applyNumberFormat="1" applyFill="1" applyBorder="1" applyAlignment="1">
      <alignment horizontal="center"/>
    </xf>
    <xf numFmtId="0" fontId="0" fillId="37" borderId="106" xfId="0" applyFill="1" applyBorder="1" applyAlignment="1">
      <alignment horizontal="center"/>
    </xf>
    <xf numFmtId="0" fontId="0" fillId="37" borderId="131" xfId="0" applyFill="1" applyBorder="1" applyAlignment="1">
      <alignment horizontal="center"/>
    </xf>
    <xf numFmtId="0" fontId="0" fillId="37" borderId="132" xfId="0" applyFill="1" applyBorder="1" applyAlignment="1">
      <alignment horizontal="center"/>
    </xf>
    <xf numFmtId="0" fontId="0" fillId="0" borderId="51" xfId="0" applyBorder="1"/>
    <xf numFmtId="0" fontId="0" fillId="0" borderId="91" xfId="0" applyBorder="1"/>
    <xf numFmtId="1" fontId="0" fillId="34" borderId="96" xfId="0" applyNumberFormat="1" applyFill="1" applyBorder="1" applyAlignment="1">
      <alignment horizontal="center" vertical="center"/>
    </xf>
    <xf numFmtId="1" fontId="0" fillId="34" borderId="7" xfId="0" applyNumberFormat="1" applyFill="1" applyBorder="1" applyAlignment="1">
      <alignment horizontal="center" vertical="center"/>
    </xf>
    <xf numFmtId="1" fontId="0" fillId="34" borderId="104" xfId="0" applyNumberFormat="1" applyFill="1" applyBorder="1" applyAlignment="1">
      <alignment horizontal="center" vertical="center"/>
    </xf>
    <xf numFmtId="1" fontId="0" fillId="34" borderId="97" xfId="0" applyNumberFormat="1" applyFill="1" applyBorder="1" applyAlignment="1">
      <alignment horizontal="center"/>
    </xf>
    <xf numFmtId="1" fontId="0" fillId="34" borderId="3" xfId="0" applyNumberFormat="1" applyFill="1" applyBorder="1" applyAlignment="1">
      <alignment horizontal="center"/>
    </xf>
    <xf numFmtId="1" fontId="0" fillId="34" borderId="159" xfId="0" applyNumberFormat="1" applyFill="1" applyBorder="1" applyAlignment="1">
      <alignment horizontal="center"/>
    </xf>
    <xf numFmtId="1" fontId="159" fillId="34" borderId="93" xfId="0" applyNumberFormat="1" applyFont="1" applyFill="1" applyBorder="1" applyAlignment="1">
      <alignment horizontal="center" vertical="center"/>
    </xf>
    <xf numFmtId="1" fontId="159" fillId="34" borderId="160" xfId="0" applyNumberFormat="1" applyFont="1" applyFill="1" applyBorder="1" applyAlignment="1">
      <alignment horizontal="center" vertical="center"/>
    </xf>
    <xf numFmtId="1" fontId="159" fillId="34" borderId="132" xfId="0" applyNumberFormat="1" applyFont="1" applyFill="1" applyBorder="1" applyAlignment="1">
      <alignment horizontal="center" vertical="center"/>
    </xf>
    <xf numFmtId="0" fontId="166" fillId="54" borderId="92" xfId="0" applyFont="1" applyFill="1" applyBorder="1" applyAlignment="1">
      <alignment horizontal="center" vertical="center"/>
    </xf>
    <xf numFmtId="0" fontId="166" fillId="0" borderId="108" xfId="0" applyFont="1" applyBorder="1" applyAlignment="1">
      <alignment horizontal="center" vertical="center"/>
    </xf>
    <xf numFmtId="0" fontId="166" fillId="0" borderId="126" xfId="0" applyFont="1" applyBorder="1" applyAlignment="1">
      <alignment horizontal="center" vertical="center"/>
    </xf>
    <xf numFmtId="0" fontId="0" fillId="43" borderId="121" xfId="0" applyFill="1" applyBorder="1" applyAlignment="1">
      <alignment horizontal="center" vertical="center"/>
    </xf>
    <xf numFmtId="0" fontId="0" fillId="43" borderId="78" xfId="0" applyFill="1" applyBorder="1" applyAlignment="1">
      <alignment horizontal="center" vertical="center"/>
    </xf>
    <xf numFmtId="0" fontId="0" fillId="43" borderId="127" xfId="0" applyFill="1" applyBorder="1" applyAlignment="1">
      <alignment horizontal="center" vertical="center"/>
    </xf>
    <xf numFmtId="0" fontId="0" fillId="43" borderId="98" xfId="0" applyFill="1" applyBorder="1" applyAlignment="1">
      <alignment horizontal="center" vertical="center"/>
    </xf>
    <xf numFmtId="0" fontId="0" fillId="43" borderId="99" xfId="0" applyFill="1" applyBorder="1" applyAlignment="1">
      <alignment horizontal="center" vertical="center"/>
    </xf>
    <xf numFmtId="0" fontId="0" fillId="43" borderId="129" xfId="0" applyFill="1" applyBorder="1" applyAlignment="1">
      <alignment horizontal="center" vertical="center"/>
    </xf>
    <xf numFmtId="0" fontId="0" fillId="0" borderId="125" xfId="0" applyBorder="1" applyAlignment="1">
      <alignment horizontal="center"/>
    </xf>
    <xf numFmtId="0" fontId="0" fillId="0" borderId="126" xfId="0" applyBorder="1" applyAlignment="1">
      <alignment horizontal="center"/>
    </xf>
    <xf numFmtId="1" fontId="0" fillId="34" borderId="106" xfId="0" applyNumberFormat="1" applyFill="1" applyBorder="1" applyAlignment="1">
      <alignment horizontal="center"/>
    </xf>
    <xf numFmtId="1" fontId="0" fillId="34" borderId="131" xfId="0" applyNumberFormat="1" applyFill="1" applyBorder="1" applyAlignment="1">
      <alignment horizontal="center"/>
    </xf>
    <xf numFmtId="1" fontId="0" fillId="34" borderId="132" xfId="0" applyNumberFormat="1" applyFill="1" applyBorder="1" applyAlignment="1">
      <alignment horizontal="center"/>
    </xf>
    <xf numFmtId="0" fontId="166" fillId="0" borderId="75" xfId="0" applyFont="1" applyBorder="1"/>
    <xf numFmtId="0" fontId="0" fillId="0" borderId="143" xfId="0" applyFill="1" applyBorder="1"/>
    <xf numFmtId="0" fontId="0" fillId="0" borderId="144" xfId="0" applyFill="1" applyBorder="1"/>
    <xf numFmtId="0" fontId="0" fillId="0" borderId="123" xfId="0" applyFill="1" applyBorder="1"/>
    <xf numFmtId="0" fontId="166" fillId="0" borderId="143" xfId="0" applyFont="1" applyFill="1" applyBorder="1"/>
    <xf numFmtId="0" fontId="0" fillId="37" borderId="144" xfId="0" applyFill="1" applyBorder="1"/>
    <xf numFmtId="0" fontId="0" fillId="0" borderId="119" xfId="0" applyFill="1" applyBorder="1"/>
    <xf numFmtId="0" fontId="159" fillId="34" borderId="46" xfId="0" applyFont="1" applyFill="1" applyBorder="1" applyAlignment="1">
      <alignment horizontal="left" vertical="top" wrapText="1"/>
    </xf>
    <xf numFmtId="0" fontId="166" fillId="0" borderId="75" xfId="0" applyFont="1" applyBorder="1" applyAlignment="1">
      <alignment horizontal="center" vertical="center"/>
    </xf>
    <xf numFmtId="0" fontId="0" fillId="43" borderId="143" xfId="0" applyFill="1" applyBorder="1" applyAlignment="1">
      <alignment horizontal="center" vertical="center"/>
    </xf>
    <xf numFmtId="0" fontId="0" fillId="43" borderId="144" xfId="0" applyFill="1" applyBorder="1" applyAlignment="1">
      <alignment horizontal="center" vertical="center"/>
    </xf>
    <xf numFmtId="0" fontId="0" fillId="43" borderId="123" xfId="0" applyFill="1" applyBorder="1" applyAlignment="1">
      <alignment horizontal="center" vertical="center"/>
    </xf>
    <xf numFmtId="0" fontId="166" fillId="0" borderId="143" xfId="0" applyFont="1" applyBorder="1" applyAlignment="1">
      <alignment horizontal="center" vertical="center"/>
    </xf>
    <xf numFmtId="1" fontId="0" fillId="34" borderId="144" xfId="0" applyNumberFormat="1" applyFill="1" applyBorder="1" applyAlignment="1">
      <alignment horizontal="center" vertical="center"/>
    </xf>
    <xf numFmtId="1" fontId="0" fillId="34" borderId="119" xfId="0" applyNumberFormat="1" applyFill="1" applyBorder="1" applyAlignment="1">
      <alignment horizontal="center"/>
    </xf>
    <xf numFmtId="1" fontId="159" fillId="34" borderId="46" xfId="0" applyNumberFormat="1" applyFont="1" applyFill="1" applyBorder="1" applyAlignment="1">
      <alignment horizontal="center" vertical="center"/>
    </xf>
    <xf numFmtId="0" fontId="76" fillId="20" borderId="2" xfId="9" applyFont="1" applyFill="1" applyBorder="1"/>
    <xf numFmtId="0" fontId="76" fillId="20" borderId="97" xfId="9" applyFont="1" applyFill="1" applyBorder="1" applyProtection="1">
      <protection locked="0"/>
    </xf>
    <xf numFmtId="167" fontId="76" fillId="20" borderId="97" xfId="9" applyNumberFormat="1" applyFont="1" applyFill="1" applyBorder="1" applyProtection="1">
      <protection locked="0"/>
    </xf>
    <xf numFmtId="0" fontId="75" fillId="20" borderId="97" xfId="9" applyFont="1" applyFill="1" applyBorder="1" applyProtection="1">
      <protection locked="0"/>
    </xf>
    <xf numFmtId="169" fontId="168" fillId="0" borderId="7" xfId="9" applyNumberFormat="1" applyFont="1" applyFill="1" applyBorder="1"/>
    <xf numFmtId="0" fontId="163" fillId="0" borderId="93" xfId="0" applyFont="1" applyBorder="1" applyAlignment="1">
      <alignment horizontal="center"/>
    </xf>
    <xf numFmtId="0" fontId="0" fillId="0" borderId="75" xfId="0" applyBorder="1" applyAlignment="1">
      <alignment horizontal="center"/>
    </xf>
    <xf numFmtId="0" fontId="0" fillId="57" borderId="143" xfId="0" applyFill="1" applyBorder="1" applyAlignment="1">
      <alignment horizontal="center"/>
    </xf>
    <xf numFmtId="0" fontId="0" fillId="57" borderId="144" xfId="0" applyFill="1" applyBorder="1" applyAlignment="1">
      <alignment horizontal="center"/>
    </xf>
    <xf numFmtId="0" fontId="0" fillId="57" borderId="123" xfId="0" applyFill="1" applyBorder="1" applyAlignment="1">
      <alignment horizontal="center"/>
    </xf>
    <xf numFmtId="0" fontId="0" fillId="56" borderId="143" xfId="0" applyFill="1" applyBorder="1" applyAlignment="1">
      <alignment horizontal="center"/>
    </xf>
    <xf numFmtId="0" fontId="0" fillId="56" borderId="144" xfId="0" applyFill="1" applyBorder="1" applyAlignment="1">
      <alignment horizontal="center"/>
    </xf>
    <xf numFmtId="0" fontId="0" fillId="56" borderId="123" xfId="0" applyFill="1" applyBorder="1" applyAlignment="1">
      <alignment horizontal="center"/>
    </xf>
    <xf numFmtId="0" fontId="0" fillId="55" borderId="143" xfId="0" applyFill="1" applyBorder="1" applyAlignment="1">
      <alignment horizontal="center"/>
    </xf>
    <xf numFmtId="0" fontId="0" fillId="55" borderId="144" xfId="0" applyFill="1" applyBorder="1" applyAlignment="1">
      <alignment horizontal="center"/>
    </xf>
    <xf numFmtId="0" fontId="0" fillId="55" borderId="123" xfId="0" applyFill="1" applyBorder="1" applyAlignment="1">
      <alignment horizontal="center"/>
    </xf>
    <xf numFmtId="0" fontId="0" fillId="0" borderId="92" xfId="0" applyFont="1" applyBorder="1" applyAlignment="1">
      <alignment horizontal="center"/>
    </xf>
    <xf numFmtId="0" fontId="0" fillId="57" borderId="121" xfId="0" applyFill="1" applyBorder="1" applyAlignment="1">
      <alignment horizontal="center"/>
    </xf>
    <xf numFmtId="0" fontId="0" fillId="57" borderId="96" xfId="0" applyFill="1" applyBorder="1" applyAlignment="1">
      <alignment horizontal="center"/>
    </xf>
    <xf numFmtId="0" fontId="0" fillId="57" borderId="98" xfId="0" applyFill="1" applyBorder="1" applyAlignment="1">
      <alignment horizontal="center"/>
    </xf>
    <xf numFmtId="0" fontId="0" fillId="56" borderId="121" xfId="0" applyFill="1" applyBorder="1" applyAlignment="1">
      <alignment horizontal="center"/>
    </xf>
    <xf numFmtId="0" fontId="0" fillId="56" borderId="96" xfId="0" applyFill="1" applyBorder="1" applyAlignment="1">
      <alignment horizontal="center"/>
    </xf>
    <xf numFmtId="0" fontId="0" fillId="56" borderId="98" xfId="0" applyFill="1" applyBorder="1" applyAlignment="1">
      <alignment horizontal="center"/>
    </xf>
    <xf numFmtId="0" fontId="0" fillId="55" borderId="121" xfId="0" applyFill="1" applyBorder="1" applyAlignment="1">
      <alignment horizontal="center"/>
    </xf>
    <xf numFmtId="0" fontId="0" fillId="55" borderId="96" xfId="0" applyFill="1" applyBorder="1" applyAlignment="1">
      <alignment horizontal="center"/>
    </xf>
    <xf numFmtId="0" fontId="0" fillId="55" borderId="98" xfId="0" applyFill="1" applyBorder="1" applyAlignment="1">
      <alignment horizontal="center"/>
    </xf>
    <xf numFmtId="0" fontId="0" fillId="34" borderId="144" xfId="0" applyFill="1" applyBorder="1" applyAlignment="1">
      <alignment horizontal="center" vertical="center"/>
    </xf>
    <xf numFmtId="0" fontId="0" fillId="34" borderId="7" xfId="0" applyFill="1" applyBorder="1" applyAlignment="1">
      <alignment horizontal="center" vertical="center"/>
    </xf>
    <xf numFmtId="0" fontId="0" fillId="34" borderId="104" xfId="0" applyFill="1" applyBorder="1" applyAlignment="1">
      <alignment horizontal="center" vertical="center"/>
    </xf>
    <xf numFmtId="167" fontId="55" fillId="34" borderId="2" xfId="5" applyNumberFormat="1" applyFont="1" applyFill="1" applyBorder="1" applyAlignment="1" applyProtection="1">
      <alignment vertical="center"/>
    </xf>
    <xf numFmtId="0" fontId="55" fillId="19" borderId="22" xfId="5" applyFont="1" applyFill="1" applyBorder="1" applyProtection="1"/>
    <xf numFmtId="0" fontId="69" fillId="0" borderId="2" xfId="5" applyBorder="1" applyAlignment="1">
      <alignment horizontal="left"/>
    </xf>
    <xf numFmtId="0" fontId="69" fillId="0" borderId="103" xfId="5" applyBorder="1" applyAlignment="1">
      <alignment horizontal="left"/>
    </xf>
    <xf numFmtId="2" fontId="69" fillId="6" borderId="99" xfId="5" applyNumberFormat="1" applyFill="1" applyBorder="1"/>
    <xf numFmtId="0" fontId="121" fillId="45" borderId="51" xfId="5" applyFont="1" applyFill="1" applyBorder="1" applyAlignment="1">
      <alignment horizontal="center"/>
    </xf>
    <xf numFmtId="0" fontId="105" fillId="27" borderId="46" xfId="5" applyFont="1" applyFill="1" applyBorder="1" applyAlignment="1">
      <alignment vertical="center"/>
    </xf>
    <xf numFmtId="169" fontId="105" fillId="27" borderId="93" xfId="5" quotePrefix="1" applyNumberFormat="1" applyFont="1" applyFill="1" applyBorder="1" applyAlignment="1">
      <alignment vertical="center"/>
    </xf>
    <xf numFmtId="169" fontId="81" fillId="27" borderId="24" xfId="5" applyNumberFormat="1" applyFont="1" applyFill="1" applyBorder="1"/>
    <xf numFmtId="169" fontId="81" fillId="27" borderId="146" xfId="5" applyNumberFormat="1" applyFont="1" applyFill="1" applyBorder="1"/>
    <xf numFmtId="169" fontId="81" fillId="27" borderId="106" xfId="5" applyNumberFormat="1" applyFont="1" applyFill="1" applyBorder="1"/>
    <xf numFmtId="169" fontId="81" fillId="27" borderId="131" xfId="5" applyNumberFormat="1" applyFont="1" applyFill="1" applyBorder="1"/>
    <xf numFmtId="169" fontId="81" fillId="27" borderId="132" xfId="5" applyNumberFormat="1" applyFont="1" applyFill="1" applyBorder="1"/>
    <xf numFmtId="167" fontId="75" fillId="6" borderId="96" xfId="9" applyNumberFormat="1" applyFont="1" applyFill="1" applyBorder="1" applyProtection="1">
      <protection locked="0"/>
    </xf>
    <xf numFmtId="167" fontId="76" fillId="6" borderId="2" xfId="9" applyNumberFormat="1" applyFont="1" applyFill="1" applyBorder="1" applyAlignment="1" applyProtection="1">
      <alignment horizontal="center"/>
    </xf>
    <xf numFmtId="167" fontId="76" fillId="18" borderId="2" xfId="9" applyNumberFormat="1" applyFont="1" applyFill="1" applyBorder="1" applyProtection="1"/>
    <xf numFmtId="0" fontId="112" fillId="0" borderId="0" xfId="0" applyFont="1"/>
    <xf numFmtId="0" fontId="69" fillId="0" borderId="2" xfId="5" applyBorder="1" applyAlignment="1">
      <alignment horizontal="left"/>
    </xf>
    <xf numFmtId="0" fontId="69" fillId="0" borderId="2" xfId="5" applyBorder="1" applyAlignment="1">
      <alignment horizontal="center" wrapText="1"/>
    </xf>
    <xf numFmtId="0" fontId="69" fillId="0" borderId="2" xfId="5" applyBorder="1" applyAlignment="1">
      <alignment wrapText="1"/>
    </xf>
    <xf numFmtId="0" fontId="69" fillId="0" borderId="0" xfId="5" applyAlignment="1">
      <alignment wrapText="1"/>
    </xf>
    <xf numFmtId="0" fontId="69" fillId="0" borderId="0" xfId="5" applyAlignment="1">
      <alignment horizontal="center" wrapText="1"/>
    </xf>
    <xf numFmtId="9" fontId="0" fillId="0" borderId="2" xfId="10" applyFont="1" applyBorder="1" applyAlignment="1">
      <alignment horizontal="center"/>
    </xf>
    <xf numFmtId="0" fontId="69" fillId="43" borderId="2" xfId="5" applyFill="1" applyBorder="1" applyAlignment="1">
      <alignment horizontal="center"/>
    </xf>
    <xf numFmtId="0" fontId="69" fillId="0" borderId="1" xfId="5" applyBorder="1" applyAlignment="1"/>
    <xf numFmtId="0" fontId="79" fillId="43" borderId="6" xfId="5" applyFont="1" applyFill="1" applyBorder="1" applyAlignment="1">
      <alignment horizontal="center"/>
    </xf>
    <xf numFmtId="0" fontId="69" fillId="43" borderId="106" xfId="5" applyFill="1" applyBorder="1" applyAlignment="1">
      <alignment horizontal="center"/>
    </xf>
    <xf numFmtId="0" fontId="69" fillId="43" borderId="131" xfId="5" applyFill="1" applyBorder="1" applyAlignment="1">
      <alignment horizontal="center"/>
    </xf>
    <xf numFmtId="0" fontId="69" fillId="43" borderId="131" xfId="5" applyFill="1" applyBorder="1"/>
    <xf numFmtId="0" fontId="69" fillId="43" borderId="132" xfId="5" applyFill="1" applyBorder="1" applyAlignment="1">
      <alignment horizontal="center"/>
    </xf>
    <xf numFmtId="0" fontId="69" fillId="0" borderId="1" xfId="5" applyBorder="1" applyAlignment="1">
      <alignment horizontal="left"/>
    </xf>
    <xf numFmtId="0" fontId="69" fillId="0" borderId="6" xfId="5" applyBorder="1" applyAlignment="1">
      <alignment horizontal="center" wrapText="1"/>
    </xf>
    <xf numFmtId="0" fontId="69" fillId="43" borderId="76" xfId="5" applyFill="1" applyBorder="1" applyAlignment="1">
      <alignment horizontal="center"/>
    </xf>
    <xf numFmtId="0" fontId="69" fillId="43" borderId="77" xfId="5" applyFill="1" applyBorder="1" applyAlignment="1">
      <alignment horizontal="center"/>
    </xf>
    <xf numFmtId="0" fontId="69" fillId="43" borderId="127" xfId="5" applyFill="1" applyBorder="1" applyAlignment="1">
      <alignment horizontal="center"/>
    </xf>
    <xf numFmtId="0" fontId="69" fillId="43" borderId="103" xfId="5" applyFill="1" applyBorder="1" applyAlignment="1">
      <alignment horizontal="center"/>
    </xf>
    <xf numFmtId="0" fontId="69" fillId="43" borderId="104" xfId="5" applyFill="1" applyBorder="1" applyAlignment="1">
      <alignment horizontal="center"/>
    </xf>
    <xf numFmtId="0" fontId="79" fillId="43" borderId="122" xfId="5" applyFont="1" applyFill="1" applyBorder="1" applyAlignment="1">
      <alignment horizontal="center"/>
    </xf>
    <xf numFmtId="0" fontId="79" fillId="43" borderId="159" xfId="5" applyFont="1" applyFill="1" applyBorder="1" applyAlignment="1">
      <alignment horizontal="center"/>
    </xf>
    <xf numFmtId="167" fontId="79" fillId="34" borderId="2" xfId="5" applyNumberFormat="1" applyFont="1" applyFill="1" applyBorder="1" applyAlignment="1">
      <alignment horizontal="center"/>
    </xf>
    <xf numFmtId="0" fontId="79" fillId="34" borderId="2" xfId="5" applyFont="1" applyFill="1" applyBorder="1" applyAlignment="1">
      <alignment horizontal="center"/>
    </xf>
    <xf numFmtId="2" fontId="69" fillId="34" borderId="2" xfId="5" applyNumberFormat="1" applyFill="1" applyBorder="1" applyAlignment="1">
      <alignment horizontal="center"/>
    </xf>
    <xf numFmtId="167" fontId="69" fillId="34" borderId="2" xfId="5" applyNumberFormat="1" applyFill="1" applyBorder="1" applyAlignment="1">
      <alignment horizontal="center"/>
    </xf>
    <xf numFmtId="2" fontId="79" fillId="34" borderId="2" xfId="5" applyNumberFormat="1" applyFont="1" applyFill="1" applyBorder="1" applyAlignment="1">
      <alignment horizontal="center"/>
    </xf>
    <xf numFmtId="9" fontId="69" fillId="43" borderId="2" xfId="5" applyNumberFormat="1" applyFill="1" applyBorder="1" applyAlignment="1">
      <alignment horizontal="center"/>
    </xf>
    <xf numFmtId="0" fontId="118" fillId="43" borderId="0" xfId="5" applyFont="1" applyFill="1"/>
    <xf numFmtId="0" fontId="69" fillId="0" borderId="103" xfId="5" applyBorder="1" applyAlignment="1">
      <alignment horizontal="left"/>
    </xf>
    <xf numFmtId="0" fontId="69" fillId="0" borderId="2" xfId="5" applyBorder="1" applyAlignment="1">
      <alignment horizontal="left"/>
    </xf>
    <xf numFmtId="0" fontId="69" fillId="0" borderId="2" xfId="5" applyBorder="1" applyAlignment="1">
      <alignment horizontal="center"/>
    </xf>
    <xf numFmtId="0" fontId="69" fillId="0" borderId="122" xfId="5" applyBorder="1"/>
    <xf numFmtId="0" fontId="69" fillId="0" borderId="159" xfId="5" applyBorder="1"/>
    <xf numFmtId="0" fontId="174" fillId="0" borderId="0" xfId="0" applyFont="1"/>
    <xf numFmtId="0" fontId="0" fillId="44" borderId="98" xfId="0" applyFill="1" applyBorder="1" applyAlignment="1">
      <alignment horizontal="center" vertical="center"/>
    </xf>
    <xf numFmtId="0" fontId="0" fillId="44" borderId="145" xfId="0" applyFill="1" applyBorder="1" applyAlignment="1">
      <alignment horizontal="center" vertical="center"/>
    </xf>
    <xf numFmtId="0" fontId="0" fillId="44" borderId="123" xfId="0" applyFill="1" applyBorder="1" applyAlignment="1">
      <alignment horizontal="center" vertical="center"/>
    </xf>
    <xf numFmtId="0" fontId="0" fillId="44" borderId="96" xfId="0" applyFill="1" applyBorder="1" applyAlignment="1">
      <alignment horizontal="center" vertical="center"/>
    </xf>
    <xf numFmtId="0" fontId="0" fillId="44" borderId="73" xfId="0" applyFill="1" applyBorder="1" applyAlignment="1">
      <alignment horizontal="center" vertical="center"/>
    </xf>
    <xf numFmtId="0" fontId="0" fillId="44" borderId="144" xfId="0" applyFill="1" applyBorder="1" applyAlignment="1">
      <alignment horizontal="center" vertical="center"/>
    </xf>
    <xf numFmtId="0" fontId="175" fillId="44" borderId="96" xfId="0" applyFont="1" applyFill="1" applyBorder="1" applyAlignment="1">
      <alignment horizontal="center" vertical="center"/>
    </xf>
    <xf numFmtId="0" fontId="175" fillId="44" borderId="73" xfId="0" applyFont="1" applyFill="1" applyBorder="1" applyAlignment="1">
      <alignment horizontal="center" vertical="center"/>
    </xf>
    <xf numFmtId="0" fontId="175" fillId="44" borderId="144" xfId="0" applyFont="1" applyFill="1" applyBorder="1" applyAlignment="1">
      <alignment horizontal="center" vertical="center"/>
    </xf>
    <xf numFmtId="1" fontId="0" fillId="44" borderId="144" xfId="0" applyNumberFormat="1" applyFill="1" applyBorder="1" applyAlignment="1">
      <alignment horizontal="center" vertical="center"/>
    </xf>
    <xf numFmtId="0" fontId="0" fillId="44" borderId="96" xfId="0" applyFill="1" applyBorder="1" applyAlignment="1">
      <alignment horizontal="center" vertical="center" wrapText="1"/>
    </xf>
    <xf numFmtId="1" fontId="0" fillId="44" borderId="121" xfId="0" applyNumberFormat="1" applyFill="1" applyBorder="1" applyAlignment="1">
      <alignment horizontal="center" vertical="center"/>
    </xf>
    <xf numFmtId="1" fontId="0" fillId="44" borderId="79" xfId="0" applyNumberFormat="1" applyFill="1" applyBorder="1" applyAlignment="1">
      <alignment horizontal="center" vertical="center"/>
    </xf>
    <xf numFmtId="1" fontId="0" fillId="44" borderId="143" xfId="0" applyNumberFormat="1" applyFill="1" applyBorder="1" applyAlignment="1">
      <alignment horizontal="center" vertical="center"/>
    </xf>
    <xf numFmtId="0" fontId="0" fillId="0" borderId="79" xfId="0" applyBorder="1" applyAlignment="1">
      <alignment horizontal="center"/>
    </xf>
    <xf numFmtId="0" fontId="0" fillId="0" borderId="161" xfId="0" applyBorder="1" applyAlignment="1">
      <alignment horizontal="center"/>
    </xf>
    <xf numFmtId="0" fontId="0" fillId="0" borderId="143" xfId="0" applyBorder="1" applyAlignment="1">
      <alignment horizontal="center"/>
    </xf>
    <xf numFmtId="0" fontId="176" fillId="0" borderId="93" xfId="0" applyFont="1" applyFill="1" applyBorder="1" applyAlignment="1">
      <alignment horizontal="center" vertical="center" wrapText="1"/>
    </xf>
    <xf numFmtId="0" fontId="0" fillId="0" borderId="23" xfId="0" applyBorder="1"/>
    <xf numFmtId="0" fontId="0" fillId="44" borderId="0" xfId="0" applyFill="1"/>
    <xf numFmtId="0" fontId="0" fillId="23" borderId="47" xfId="0" applyFill="1" applyBorder="1"/>
    <xf numFmtId="0" fontId="0" fillId="23" borderId="51" xfId="0" applyFill="1" applyBorder="1"/>
    <xf numFmtId="0" fontId="0" fillId="23" borderId="23" xfId="0" applyFill="1" applyBorder="1"/>
    <xf numFmtId="0" fontId="0" fillId="23" borderId="0" xfId="0" applyFill="1"/>
    <xf numFmtId="0" fontId="0" fillId="30" borderId="65" xfId="0" applyFill="1" applyBorder="1"/>
    <xf numFmtId="0" fontId="0" fillId="23" borderId="0" xfId="0" applyFill="1" applyBorder="1"/>
    <xf numFmtId="0" fontId="0" fillId="30" borderId="0" xfId="0" applyFill="1"/>
    <xf numFmtId="0" fontId="0" fillId="44" borderId="65" xfId="0" applyFill="1" applyBorder="1"/>
    <xf numFmtId="0" fontId="0" fillId="0" borderId="48" xfId="0" applyBorder="1" applyAlignment="1">
      <alignment horizontal="right"/>
    </xf>
    <xf numFmtId="0" fontId="0" fillId="30" borderId="102" xfId="0" applyFill="1" applyBorder="1"/>
    <xf numFmtId="183" fontId="0" fillId="38" borderId="93" xfId="0" applyNumberFormat="1" applyFill="1" applyBorder="1"/>
    <xf numFmtId="0" fontId="0" fillId="38" borderId="145" xfId="0" applyFill="1" applyBorder="1"/>
    <xf numFmtId="0" fontId="0" fillId="38" borderId="123" xfId="0" applyFill="1" applyBorder="1"/>
    <xf numFmtId="0" fontId="0" fillId="38" borderId="79" xfId="0" applyFill="1" applyBorder="1"/>
    <xf numFmtId="0" fontId="0" fillId="38" borderId="143" xfId="0" applyFill="1" applyBorder="1"/>
    <xf numFmtId="0" fontId="0" fillId="44" borderId="93" xfId="0" applyFill="1" applyBorder="1" applyAlignment="1">
      <alignment horizontal="center"/>
    </xf>
    <xf numFmtId="0" fontId="0" fillId="0" borderId="98" xfId="0" applyBorder="1"/>
    <xf numFmtId="0" fontId="0" fillId="0" borderId="121" xfId="0" applyBorder="1"/>
    <xf numFmtId="0" fontId="0" fillId="38" borderId="93" xfId="0" applyFill="1" applyBorder="1"/>
    <xf numFmtId="0" fontId="0" fillId="38" borderId="73" xfId="0" applyFill="1" applyBorder="1"/>
    <xf numFmtId="0" fontId="0" fillId="38" borderId="144" xfId="0" applyFill="1" applyBorder="1"/>
    <xf numFmtId="0" fontId="0" fillId="44" borderId="144" xfId="0" applyFill="1" applyBorder="1" applyAlignment="1">
      <alignment horizontal="center" vertical="center" wrapText="1"/>
    </xf>
    <xf numFmtId="0" fontId="133" fillId="35" borderId="5" xfId="5" applyFont="1" applyFill="1" applyBorder="1"/>
    <xf numFmtId="0" fontId="133" fillId="35" borderId="28" xfId="5" applyFont="1" applyFill="1" applyBorder="1"/>
    <xf numFmtId="0" fontId="81" fillId="0" borderId="106" xfId="5" applyFont="1" applyBorder="1"/>
    <xf numFmtId="0" fontId="79" fillId="0" borderId="132" xfId="5" applyFont="1" applyBorder="1"/>
    <xf numFmtId="0" fontId="177" fillId="0" borderId="124" xfId="5" applyFont="1" applyBorder="1"/>
    <xf numFmtId="0" fontId="144" fillId="35" borderId="0" xfId="7" applyFont="1" applyFill="1" applyProtection="1">
      <protection locked="0"/>
    </xf>
    <xf numFmtId="0" fontId="144" fillId="35" borderId="0" xfId="7" applyFont="1" applyFill="1" applyProtection="1">
      <protection hidden="1"/>
    </xf>
    <xf numFmtId="0" fontId="144" fillId="35" borderId="0" xfId="7" applyFont="1" applyFill="1" applyBorder="1" applyAlignment="1" applyProtection="1">
      <protection locked="0"/>
    </xf>
    <xf numFmtId="167" fontId="178" fillId="35" borderId="0" xfId="7" applyNumberFormat="1" applyFont="1" applyFill="1" applyBorder="1" applyAlignment="1" applyProtection="1">
      <alignment horizontal="center" vertical="center"/>
      <protection locked="0"/>
    </xf>
    <xf numFmtId="167" fontId="178" fillId="35" borderId="0" xfId="7" applyNumberFormat="1" applyFont="1" applyFill="1" applyBorder="1" applyAlignment="1" applyProtection="1">
      <alignment horizontal="center" vertical="center"/>
      <protection hidden="1"/>
    </xf>
    <xf numFmtId="167" fontId="75" fillId="35" borderId="93" xfId="7" applyNumberFormat="1" applyFont="1" applyFill="1" applyBorder="1" applyAlignment="1" applyProtection="1">
      <alignment horizontal="center" vertical="center"/>
      <protection hidden="1"/>
    </xf>
    <xf numFmtId="0" fontId="69" fillId="19" borderId="6" xfId="5" applyFill="1" applyBorder="1" applyAlignment="1" applyProtection="1">
      <alignment vertical="center"/>
      <protection locked="0"/>
    </xf>
    <xf numFmtId="169" fontId="69" fillId="0" borderId="5" xfId="5" applyNumberFormat="1" applyBorder="1"/>
    <xf numFmtId="167" fontId="69" fillId="0" borderId="5" xfId="5" applyNumberFormat="1" applyBorder="1"/>
    <xf numFmtId="0" fontId="180" fillId="0" borderId="0" xfId="11"/>
    <xf numFmtId="0" fontId="121" fillId="0" borderId="0" xfId="11" applyFont="1"/>
    <xf numFmtId="0" fontId="76" fillId="0" borderId="0" xfId="11" applyFont="1" applyAlignment="1">
      <alignment horizontal="right"/>
    </xf>
    <xf numFmtId="0" fontId="180" fillId="58" borderId="0" xfId="11" applyFill="1"/>
    <xf numFmtId="0" fontId="120" fillId="37" borderId="0" xfId="11" applyFont="1" applyFill="1"/>
    <xf numFmtId="0" fontId="180" fillId="37" borderId="0" xfId="11" applyFill="1"/>
    <xf numFmtId="0" fontId="81" fillId="0" borderId="0" xfId="11" applyFont="1"/>
    <xf numFmtId="0" fontId="105" fillId="0" borderId="0" xfId="11" applyFont="1"/>
    <xf numFmtId="0" fontId="79" fillId="37" borderId="0" xfId="11" applyFont="1" applyFill="1"/>
    <xf numFmtId="10" fontId="105" fillId="0" borderId="0" xfId="11" applyNumberFormat="1" applyFont="1"/>
    <xf numFmtId="167" fontId="105" fillId="0" borderId="0" xfId="11" applyNumberFormat="1" applyFont="1"/>
    <xf numFmtId="0" fontId="180" fillId="58" borderId="0" xfId="11" applyFill="1" applyAlignment="1">
      <alignment horizontal="center"/>
    </xf>
    <xf numFmtId="0" fontId="76" fillId="0" borderId="0" xfId="11" applyFont="1" applyAlignment="1">
      <alignment horizontal="left"/>
    </xf>
    <xf numFmtId="0" fontId="55" fillId="0" borderId="0" xfId="11" applyFont="1"/>
    <xf numFmtId="167" fontId="180" fillId="0" borderId="0" xfId="11" applyNumberFormat="1"/>
    <xf numFmtId="0" fontId="180" fillId="0" borderId="0" xfId="11" applyAlignment="1">
      <alignment horizontal="left"/>
    </xf>
    <xf numFmtId="2" fontId="180" fillId="0" borderId="0" xfId="11" applyNumberFormat="1"/>
    <xf numFmtId="2" fontId="180" fillId="0" borderId="0" xfId="11" applyNumberFormat="1" applyAlignment="1">
      <alignment horizontal="left"/>
    </xf>
    <xf numFmtId="2" fontId="79" fillId="0" borderId="0" xfId="11" applyNumberFormat="1" applyFont="1" applyAlignment="1">
      <alignment horizontal="right"/>
    </xf>
    <xf numFmtId="2" fontId="79" fillId="0" borderId="0" xfId="11" applyNumberFormat="1" applyFont="1" applyAlignment="1">
      <alignment horizontal="left"/>
    </xf>
    <xf numFmtId="0" fontId="55" fillId="58" borderId="0" xfId="11" applyFont="1" applyFill="1" applyAlignment="1">
      <alignment horizontal="center" wrapText="1"/>
    </xf>
    <xf numFmtId="0" fontId="120" fillId="37" borderId="2" xfId="11" applyFont="1" applyFill="1" applyBorder="1"/>
    <xf numFmtId="0" fontId="180" fillId="37" borderId="2" xfId="11" applyFill="1" applyBorder="1"/>
    <xf numFmtId="0" fontId="81" fillId="0" borderId="2" xfId="11" applyFont="1" applyBorder="1"/>
    <xf numFmtId="0" fontId="105" fillId="0" borderId="2" xfId="11" applyFont="1" applyFill="1" applyBorder="1"/>
    <xf numFmtId="0" fontId="180" fillId="0" borderId="2" xfId="11" applyBorder="1"/>
    <xf numFmtId="0" fontId="105" fillId="0" borderId="2" xfId="11" applyFont="1" applyBorder="1"/>
    <xf numFmtId="9" fontId="105" fillId="59" borderId="2" xfId="11" applyNumberFormat="1" applyFont="1" applyFill="1" applyBorder="1"/>
    <xf numFmtId="1" fontId="105" fillId="59" borderId="2" xfId="11" applyNumberFormat="1" applyFont="1" applyFill="1" applyBorder="1"/>
    <xf numFmtId="0" fontId="105" fillId="59" borderId="2" xfId="11" applyFont="1" applyFill="1" applyBorder="1"/>
    <xf numFmtId="1" fontId="105" fillId="0" borderId="2" xfId="11" applyNumberFormat="1" applyFont="1" applyBorder="1"/>
    <xf numFmtId="184" fontId="105" fillId="0" borderId="2" xfId="11" applyNumberFormat="1" applyFont="1" applyBorder="1"/>
    <xf numFmtId="0" fontId="55" fillId="0" borderId="2" xfId="11" applyFont="1" applyBorder="1"/>
    <xf numFmtId="167" fontId="81" fillId="34" borderId="106" xfId="5" applyNumberFormat="1" applyFont="1" applyFill="1" applyBorder="1" applyAlignment="1">
      <alignment horizontal="center" wrapText="1"/>
    </xf>
    <xf numFmtId="0" fontId="106" fillId="0" borderId="65" xfId="5" applyFont="1" applyBorder="1" applyAlignment="1">
      <alignment horizontal="left"/>
    </xf>
    <xf numFmtId="0" fontId="0" fillId="0" borderId="0" xfId="0" applyAlignment="1">
      <alignment vertical="center"/>
    </xf>
    <xf numFmtId="0" fontId="81" fillId="0" borderId="0" xfId="0" applyFont="1" applyAlignment="1">
      <alignment vertical="center"/>
    </xf>
    <xf numFmtId="14" fontId="81" fillId="0" borderId="0" xfId="0" applyNumberFormat="1" applyFont="1" applyBorder="1" applyAlignment="1">
      <alignment vertical="center"/>
    </xf>
    <xf numFmtId="0" fontId="0" fillId="0" borderId="106" xfId="0" applyBorder="1"/>
    <xf numFmtId="0" fontId="0" fillId="0" borderId="131" xfId="0" applyBorder="1"/>
    <xf numFmtId="0" fontId="0" fillId="0" borderId="132" xfId="0" applyBorder="1"/>
    <xf numFmtId="0" fontId="0" fillId="0" borderId="130" xfId="0" applyBorder="1"/>
    <xf numFmtId="0" fontId="0" fillId="0" borderId="22" xfId="0" applyBorder="1" applyAlignment="1">
      <alignment horizontal="center"/>
    </xf>
    <xf numFmtId="0" fontId="55" fillId="0" borderId="22" xfId="0" applyFont="1" applyBorder="1"/>
    <xf numFmtId="0" fontId="0" fillId="0" borderId="150" xfId="0" applyBorder="1"/>
    <xf numFmtId="0" fontId="0" fillId="0" borderId="103" xfId="0" applyBorder="1"/>
    <xf numFmtId="0" fontId="0" fillId="0" borderId="2" xfId="0" applyBorder="1" applyAlignment="1">
      <alignment horizontal="center"/>
    </xf>
    <xf numFmtId="0" fontId="0" fillId="0" borderId="104" xfId="0" applyBorder="1"/>
    <xf numFmtId="0" fontId="0" fillId="0" borderId="128" xfId="0" applyBorder="1"/>
    <xf numFmtId="0" fontId="0" fillId="0" borderId="100" xfId="0" applyBorder="1" applyAlignment="1">
      <alignment horizontal="center"/>
    </xf>
    <xf numFmtId="0" fontId="0" fillId="0" borderId="100" xfId="0" applyBorder="1"/>
    <xf numFmtId="0" fontId="0" fillId="0" borderId="129" xfId="0" applyBorder="1"/>
    <xf numFmtId="0" fontId="97" fillId="0" borderId="96" xfId="0" applyFont="1" applyBorder="1" applyAlignment="1">
      <alignment vertical="center"/>
    </xf>
    <xf numFmtId="167" fontId="107" fillId="0" borderId="96" xfId="0" applyNumberFormat="1" applyFont="1" applyBorder="1" applyAlignment="1">
      <alignment horizontal="center" vertical="center"/>
    </xf>
    <xf numFmtId="2" fontId="107" fillId="0" borderId="96" xfId="0" applyNumberFormat="1" applyFont="1" applyBorder="1" applyAlignment="1">
      <alignment horizontal="center" vertical="center"/>
    </xf>
    <xf numFmtId="167" fontId="181" fillId="0" borderId="96" xfId="0" applyNumberFormat="1" applyFont="1" applyBorder="1" applyAlignment="1">
      <alignment horizontal="center"/>
    </xf>
    <xf numFmtId="2" fontId="182" fillId="0" borderId="96" xfId="0" applyNumberFormat="1" applyFont="1" applyBorder="1" applyAlignment="1">
      <alignment horizontal="center" vertical="center"/>
    </xf>
    <xf numFmtId="20" fontId="107" fillId="0" borderId="96" xfId="0" applyNumberFormat="1" applyFont="1" applyBorder="1" applyAlignment="1">
      <alignment horizontal="center" vertical="center"/>
    </xf>
    <xf numFmtId="0" fontId="0" fillId="0" borderId="76" xfId="0" applyBorder="1"/>
    <xf numFmtId="0" fontId="0" fillId="0" borderId="77" xfId="0" applyBorder="1" applyAlignment="1">
      <alignment horizontal="center"/>
    </xf>
    <xf numFmtId="0" fontId="55" fillId="0" borderId="77" xfId="0" applyFont="1" applyBorder="1"/>
    <xf numFmtId="0" fontId="0" fillId="0" borderId="127" xfId="0" applyBorder="1"/>
    <xf numFmtId="0" fontId="0" fillId="0" borderId="77" xfId="0" applyBorder="1"/>
    <xf numFmtId="0" fontId="97" fillId="0" borderId="98" xfId="0" applyFont="1" applyBorder="1" applyAlignment="1">
      <alignment vertical="center"/>
    </xf>
    <xf numFmtId="0" fontId="107" fillId="0" borderId="98" xfId="0" applyFont="1" applyBorder="1" applyAlignment="1">
      <alignment vertical="center"/>
    </xf>
    <xf numFmtId="167" fontId="107" fillId="0" borderId="98" xfId="0" applyNumberFormat="1" applyFont="1" applyBorder="1" applyAlignment="1">
      <alignment horizontal="center" vertical="center"/>
    </xf>
    <xf numFmtId="0" fontId="55" fillId="0" borderId="2" xfId="0" applyFont="1" applyBorder="1"/>
    <xf numFmtId="0" fontId="79" fillId="0" borderId="0" xfId="0" applyFont="1" applyAlignment="1">
      <alignment vertical="center"/>
    </xf>
    <xf numFmtId="0" fontId="0" fillId="0" borderId="50" xfId="0" applyBorder="1" applyAlignment="1">
      <alignment vertical="center"/>
    </xf>
    <xf numFmtId="167" fontId="183" fillId="0" borderId="50" xfId="0" applyNumberFormat="1" applyFont="1" applyBorder="1" applyAlignment="1">
      <alignment horizontal="center" vertical="center"/>
    </xf>
    <xf numFmtId="0" fontId="0" fillId="0" borderId="122" xfId="0" applyBorder="1"/>
    <xf numFmtId="0" fontId="0" fillId="0" borderId="6" xfId="0" applyBorder="1"/>
    <xf numFmtId="0" fontId="0" fillId="0" borderId="159" xfId="0" applyBorder="1"/>
    <xf numFmtId="0" fontId="105" fillId="0" borderId="0" xfId="0" applyFont="1" applyAlignment="1">
      <alignment vertical="center"/>
    </xf>
    <xf numFmtId="0" fontId="79" fillId="59" borderId="106" xfId="0" applyFont="1" applyFill="1" applyBorder="1" applyAlignment="1">
      <alignment horizontal="center" vertical="center" wrapText="1"/>
    </xf>
    <xf numFmtId="0" fontId="79" fillId="59" borderId="131" xfId="0" applyFont="1" applyFill="1" applyBorder="1" applyAlignment="1">
      <alignment horizontal="center" vertical="center" wrapText="1"/>
    </xf>
    <xf numFmtId="0" fontId="79" fillId="59" borderId="132" xfId="0" applyFont="1" applyFill="1" applyBorder="1" applyAlignment="1">
      <alignment horizontal="center" vertical="center" wrapText="1"/>
    </xf>
    <xf numFmtId="0" fontId="55" fillId="0" borderId="0" xfId="0" applyFont="1" applyAlignment="1">
      <alignment vertical="center"/>
    </xf>
    <xf numFmtId="0" fontId="79" fillId="37" borderId="103" xfId="0" applyFont="1" applyFill="1" applyBorder="1" applyAlignment="1">
      <alignment horizontal="center" vertical="center"/>
    </xf>
    <xf numFmtId="0" fontId="79" fillId="37" borderId="2" xfId="0" applyFont="1" applyFill="1" applyBorder="1" applyAlignment="1">
      <alignment horizontal="center" vertical="center"/>
    </xf>
    <xf numFmtId="0" fontId="79" fillId="37" borderId="127" xfId="0" applyFont="1" applyFill="1" applyBorder="1" applyAlignment="1">
      <alignment horizontal="center" vertical="center" wrapText="1"/>
    </xf>
    <xf numFmtId="0" fontId="126" fillId="0" borderId="0" xfId="0" applyFont="1" applyAlignment="1">
      <alignment vertical="center"/>
    </xf>
    <xf numFmtId="0" fontId="81" fillId="0" borderId="51" xfId="0" applyFont="1" applyBorder="1" applyAlignment="1">
      <alignment vertical="center"/>
    </xf>
    <xf numFmtId="0" fontId="55" fillId="0" borderId="0" xfId="0" applyFont="1" applyBorder="1" applyAlignment="1">
      <alignment vertical="center"/>
    </xf>
    <xf numFmtId="0" fontId="79" fillId="60" borderId="103" xfId="0" applyFont="1" applyFill="1" applyBorder="1" applyAlignment="1">
      <alignment horizontal="center" vertical="center"/>
    </xf>
    <xf numFmtId="0" fontId="79" fillId="60" borderId="2" xfId="0" applyFont="1" applyFill="1" applyBorder="1" applyAlignment="1">
      <alignment horizontal="center" vertical="center"/>
    </xf>
    <xf numFmtId="0" fontId="79" fillId="60" borderId="104" xfId="0" applyFont="1" applyFill="1" applyBorder="1" applyAlignment="1">
      <alignment horizontal="center" vertical="center" wrapText="1"/>
    </xf>
    <xf numFmtId="0" fontId="0" fillId="0" borderId="0" xfId="0" applyBorder="1" applyAlignment="1">
      <alignment vertical="center"/>
    </xf>
    <xf numFmtId="0" fontId="79" fillId="4" borderId="128" xfId="0" applyFont="1" applyFill="1" applyBorder="1" applyAlignment="1">
      <alignment horizontal="center" vertical="center"/>
    </xf>
    <xf numFmtId="0" fontId="79" fillId="4" borderId="100" xfId="0" applyFont="1" applyFill="1" applyBorder="1" applyAlignment="1">
      <alignment horizontal="center" vertical="center"/>
    </xf>
    <xf numFmtId="0" fontId="79" fillId="4" borderId="100" xfId="0" applyFont="1" applyFill="1" applyBorder="1" applyAlignment="1">
      <alignment horizontal="center" vertical="center" wrapText="1"/>
    </xf>
    <xf numFmtId="0" fontId="79" fillId="4" borderId="129" xfId="0" applyFont="1" applyFill="1" applyBorder="1" applyAlignment="1">
      <alignment horizontal="center" vertical="center" wrapText="1"/>
    </xf>
    <xf numFmtId="2" fontId="0" fillId="0" borderId="0" xfId="0" applyNumberFormat="1" applyAlignment="1">
      <alignment vertical="center"/>
    </xf>
    <xf numFmtId="0" fontId="0" fillId="0" borderId="0" xfId="0" applyBorder="1" applyAlignment="1">
      <alignment horizontal="center" vertical="center"/>
    </xf>
    <xf numFmtId="0" fontId="79" fillId="0" borderId="0" xfId="0" applyFont="1" applyBorder="1" applyAlignment="1">
      <alignment vertical="center"/>
    </xf>
    <xf numFmtId="0" fontId="185" fillId="0" borderId="0" xfId="0" applyFont="1" applyAlignment="1">
      <alignment horizontal="left"/>
    </xf>
    <xf numFmtId="167" fontId="0" fillId="0" borderId="0" xfId="0" applyNumberFormat="1" applyAlignment="1">
      <alignment vertical="center"/>
    </xf>
    <xf numFmtId="0" fontId="186" fillId="0" borderId="0" xfId="0" applyFont="1" applyAlignment="1">
      <alignment vertical="center"/>
    </xf>
    <xf numFmtId="0" fontId="187" fillId="0" borderId="0" xfId="0" applyFont="1" applyAlignment="1">
      <alignment vertical="center"/>
    </xf>
    <xf numFmtId="0" fontId="75" fillId="59" borderId="0" xfId="0" applyFont="1" applyFill="1" applyBorder="1" applyAlignment="1">
      <alignment horizontal="center" vertical="center"/>
    </xf>
    <xf numFmtId="0" fontId="55" fillId="0" borderId="0" xfId="0" quotePrefix="1" applyFont="1" applyBorder="1" applyAlignment="1">
      <alignment horizontal="center" vertical="center"/>
    </xf>
    <xf numFmtId="0" fontId="55" fillId="0" borderId="0" xfId="0" applyFont="1" applyBorder="1" applyAlignment="1">
      <alignment horizontal="center" vertical="center"/>
    </xf>
    <xf numFmtId="2" fontId="0" fillId="0" borderId="0" xfId="0" applyNumberFormat="1" applyBorder="1" applyAlignment="1">
      <alignment horizontal="center" vertical="center"/>
    </xf>
    <xf numFmtId="167" fontId="107" fillId="0" borderId="0" xfId="0" applyNumberFormat="1" applyFont="1" applyBorder="1" applyAlignment="1">
      <alignment horizontal="center" vertical="center"/>
    </xf>
    <xf numFmtId="2" fontId="107" fillId="0" borderId="0" xfId="0" applyNumberFormat="1" applyFont="1" applyBorder="1" applyAlignment="1">
      <alignment horizontal="center" vertical="center"/>
    </xf>
    <xf numFmtId="167" fontId="188" fillId="0" borderId="0" xfId="0" applyNumberFormat="1" applyFont="1" applyBorder="1" applyAlignment="1">
      <alignment horizontal="center"/>
    </xf>
    <xf numFmtId="167" fontId="55" fillId="0" borderId="0" xfId="0" applyNumberFormat="1" applyFont="1" applyBorder="1" applyAlignment="1">
      <alignment horizontal="center" vertical="center"/>
    </xf>
    <xf numFmtId="0" fontId="189" fillId="0" borderId="0" xfId="0" applyFont="1" applyAlignment="1">
      <alignment vertical="center"/>
    </xf>
    <xf numFmtId="0" fontId="191" fillId="0" borderId="0" xfId="0" applyFont="1" applyAlignment="1">
      <alignment vertical="center"/>
    </xf>
    <xf numFmtId="0" fontId="191" fillId="0" borderId="0" xfId="0" applyFont="1" applyAlignment="1">
      <alignment horizontal="left" vertical="center"/>
    </xf>
    <xf numFmtId="0" fontId="192" fillId="0" borderId="0" xfId="0" applyFont="1" applyAlignment="1">
      <alignment horizontal="left"/>
    </xf>
    <xf numFmtId="0" fontId="189" fillId="0" borderId="0" xfId="0" applyFont="1" applyAlignment="1">
      <alignment horizontal="left"/>
    </xf>
    <xf numFmtId="0" fontId="186" fillId="0" borderId="0" xfId="0" applyFont="1" applyAlignment="1"/>
    <xf numFmtId="0" fontId="191" fillId="0" borderId="0" xfId="0" applyFont="1" applyAlignment="1">
      <alignment horizontal="left"/>
    </xf>
    <xf numFmtId="0" fontId="0" fillId="0" borderId="0" xfId="0" applyAlignment="1"/>
    <xf numFmtId="0" fontId="98" fillId="0" borderId="0" xfId="0" applyFont="1" applyAlignment="1">
      <alignment vertical="center"/>
    </xf>
    <xf numFmtId="0" fontId="81" fillId="59" borderId="0" xfId="0" applyFont="1" applyFill="1" applyBorder="1" applyAlignment="1">
      <alignment horizontal="center" vertical="center"/>
    </xf>
    <xf numFmtId="0" fontId="55" fillId="0" borderId="0" xfId="0" applyFont="1" applyBorder="1" applyAlignment="1">
      <alignment horizontal="center"/>
    </xf>
    <xf numFmtId="0" fontId="193" fillId="0" borderId="0" xfId="12" applyAlignment="1" applyProtection="1"/>
    <xf numFmtId="167" fontId="181" fillId="0" borderId="0" xfId="0" applyNumberFormat="1" applyFont="1" applyBorder="1" applyAlignment="1">
      <alignment horizontal="center" vertical="center"/>
    </xf>
    <xf numFmtId="2" fontId="181" fillId="0" borderId="0" xfId="0" applyNumberFormat="1" applyFont="1" applyBorder="1" applyAlignment="1">
      <alignment horizontal="center" vertical="center"/>
    </xf>
    <xf numFmtId="20" fontId="107" fillId="0" borderId="0" xfId="0" applyNumberFormat="1" applyFont="1" applyBorder="1" applyAlignment="1">
      <alignment horizontal="center" vertical="center"/>
    </xf>
    <xf numFmtId="0" fontId="112" fillId="0" borderId="0" xfId="0" applyFont="1" applyAlignment="1"/>
    <xf numFmtId="167" fontId="181" fillId="0" borderId="0" xfId="0" applyNumberFormat="1" applyFont="1" applyBorder="1" applyAlignment="1">
      <alignment horizontal="center"/>
    </xf>
    <xf numFmtId="14" fontId="80" fillId="0" borderId="51" xfId="0" applyNumberFormat="1" applyFont="1" applyBorder="1" applyAlignment="1">
      <alignment horizontal="center" vertical="center"/>
    </xf>
    <xf numFmtId="0" fontId="121" fillId="0" borderId="0" xfId="0" applyFont="1" applyAlignment="1">
      <alignment vertical="center"/>
    </xf>
    <xf numFmtId="0" fontId="69" fillId="34" borderId="2" xfId="5" applyFill="1" applyBorder="1" applyAlignment="1" applyProtection="1">
      <alignment horizontal="center"/>
    </xf>
    <xf numFmtId="0" fontId="69" fillId="34" borderId="6" xfId="5" applyFill="1" applyBorder="1" applyAlignment="1" applyProtection="1">
      <alignment horizontal="center"/>
      <protection locked="0"/>
    </xf>
    <xf numFmtId="0" fontId="0" fillId="0" borderId="7" xfId="0" applyBorder="1"/>
    <xf numFmtId="0" fontId="0" fillId="0" borderId="99" xfId="0" applyBorder="1"/>
    <xf numFmtId="0" fontId="55" fillId="59" borderId="92" xfId="0" applyFont="1" applyFill="1" applyBorder="1" applyAlignment="1">
      <alignment horizontal="center" vertical="center"/>
    </xf>
    <xf numFmtId="0" fontId="97" fillId="0" borderId="95" xfId="0" applyFont="1" applyBorder="1" applyAlignment="1">
      <alignment vertical="center"/>
    </xf>
    <xf numFmtId="167" fontId="107" fillId="0" borderId="95" xfId="0" applyNumberFormat="1" applyFont="1" applyBorder="1" applyAlignment="1">
      <alignment horizontal="center" vertical="center"/>
    </xf>
    <xf numFmtId="2" fontId="107" fillId="0" borderId="95" xfId="0" applyNumberFormat="1" applyFont="1" applyBorder="1" applyAlignment="1">
      <alignment horizontal="center" vertical="center"/>
    </xf>
    <xf numFmtId="167" fontId="181" fillId="0" borderId="95" xfId="0" applyNumberFormat="1" applyFont="1" applyBorder="1" applyAlignment="1">
      <alignment horizontal="center"/>
    </xf>
    <xf numFmtId="2" fontId="182" fillId="0" borderId="95" xfId="0" applyNumberFormat="1" applyFont="1" applyBorder="1" applyAlignment="1">
      <alignment horizontal="center" vertical="center"/>
    </xf>
    <xf numFmtId="20" fontId="107" fillId="0" borderId="95" xfId="0" applyNumberFormat="1" applyFont="1" applyBorder="1" applyAlignment="1">
      <alignment horizontal="center" vertical="center"/>
    </xf>
    <xf numFmtId="0" fontId="81" fillId="59" borderId="92" xfId="0" applyFont="1" applyFill="1" applyBorder="1" applyAlignment="1">
      <alignment horizontal="center" vertical="center"/>
    </xf>
    <xf numFmtId="0" fontId="0" fillId="0" borderId="167" xfId="0" applyBorder="1" applyAlignment="1">
      <alignment vertical="center"/>
    </xf>
    <xf numFmtId="0" fontId="55" fillId="0" borderId="167" xfId="0" applyFont="1" applyBorder="1" applyAlignment="1">
      <alignment horizontal="center"/>
    </xf>
    <xf numFmtId="0" fontId="79" fillId="0" borderId="167" xfId="0" applyFont="1" applyBorder="1" applyAlignment="1">
      <alignment horizontal="center" vertical="center"/>
    </xf>
    <xf numFmtId="0" fontId="69" fillId="61" borderId="2" xfId="5" applyFill="1" applyBorder="1"/>
    <xf numFmtId="167" fontId="69" fillId="43" borderId="2" xfId="5" applyNumberFormat="1" applyFill="1" applyBorder="1" applyProtection="1">
      <protection locked="0"/>
    </xf>
    <xf numFmtId="0" fontId="186" fillId="43" borderId="27" xfId="6" applyFont="1" applyFill="1" applyBorder="1" applyAlignment="1" applyProtection="1">
      <alignment horizontal="center" vertical="center"/>
      <protection locked="0"/>
    </xf>
    <xf numFmtId="2" fontId="186" fillId="61" borderId="107" xfId="6" applyNumberFormat="1" applyFont="1" applyFill="1" applyBorder="1" applyProtection="1"/>
    <xf numFmtId="2" fontId="79" fillId="61" borderId="46" xfId="5" applyNumberFormat="1" applyFont="1" applyFill="1" applyBorder="1"/>
    <xf numFmtId="0" fontId="79" fillId="61" borderId="47" xfId="5" applyFont="1" applyFill="1" applyBorder="1"/>
    <xf numFmtId="179" fontId="55" fillId="6" borderId="0" xfId="6" applyNumberFormat="1" applyFont="1" applyFill="1" applyBorder="1" applyAlignment="1" applyProtection="1">
      <alignment horizontal="centerContinuous"/>
    </xf>
    <xf numFmtId="0" fontId="119" fillId="49" borderId="75" xfId="6" applyFont="1" applyFill="1" applyBorder="1" applyAlignment="1" applyProtection="1">
      <alignment horizontal="centerContinuous"/>
    </xf>
    <xf numFmtId="0" fontId="98" fillId="49" borderId="50" xfId="6" applyFill="1" applyBorder="1" applyAlignment="1" applyProtection="1">
      <alignment horizontal="centerContinuous"/>
    </xf>
    <xf numFmtId="0" fontId="98" fillId="49" borderId="67" xfId="6" applyFill="1" applyBorder="1" applyAlignment="1" applyProtection="1">
      <alignment horizontal="centerContinuous"/>
    </xf>
    <xf numFmtId="0" fontId="81" fillId="49" borderId="65" xfId="6" applyFont="1" applyFill="1" applyBorder="1" applyAlignment="1" applyProtection="1"/>
    <xf numFmtId="0" fontId="196" fillId="49" borderId="0" xfId="6" applyFont="1" applyFill="1" applyBorder="1" applyAlignment="1" applyProtection="1"/>
    <xf numFmtId="0" fontId="196" fillId="49" borderId="48" xfId="6" applyFont="1" applyFill="1" applyBorder="1" applyAlignment="1" applyProtection="1"/>
    <xf numFmtId="0" fontId="55" fillId="49" borderId="65" xfId="6" applyFont="1" applyFill="1" applyBorder="1" applyProtection="1"/>
    <xf numFmtId="0" fontId="55" fillId="49" borderId="0" xfId="6" applyFont="1" applyFill="1" applyBorder="1" applyProtection="1"/>
    <xf numFmtId="0" fontId="98" fillId="49" borderId="65" xfId="6" applyFont="1" applyFill="1" applyBorder="1" applyAlignment="1" applyProtection="1">
      <alignment horizontal="center"/>
    </xf>
    <xf numFmtId="0" fontId="55" fillId="6" borderId="0" xfId="6" applyFont="1" applyFill="1" applyBorder="1" applyAlignment="1" applyProtection="1">
      <alignment horizontal="centerContinuous"/>
    </xf>
    <xf numFmtId="0" fontId="55" fillId="6" borderId="48" xfId="6" applyFont="1" applyFill="1" applyBorder="1" applyAlignment="1" applyProtection="1">
      <alignment horizontal="centerContinuous"/>
    </xf>
    <xf numFmtId="0" fontId="55" fillId="49" borderId="65" xfId="6" applyFont="1" applyFill="1" applyBorder="1" applyAlignment="1" applyProtection="1">
      <alignment horizontal="right"/>
    </xf>
    <xf numFmtId="0" fontId="186" fillId="61" borderId="7" xfId="6" applyFont="1" applyFill="1" applyBorder="1" applyAlignment="1" applyProtection="1">
      <alignment horizontal="center"/>
    </xf>
    <xf numFmtId="0" fontId="186" fillId="61" borderId="0" xfId="6" applyFont="1" applyFill="1" applyBorder="1" applyProtection="1"/>
    <xf numFmtId="0" fontId="186" fillId="61" borderId="48" xfId="6" applyFont="1" applyFill="1" applyBorder="1" applyAlignment="1" applyProtection="1">
      <alignment horizontal="left"/>
    </xf>
    <xf numFmtId="0" fontId="186" fillId="61" borderId="3" xfId="6" applyFont="1" applyFill="1" applyBorder="1" applyAlignment="1" applyProtection="1">
      <alignment horizontal="center"/>
    </xf>
    <xf numFmtId="0" fontId="186" fillId="61" borderId="165" xfId="6" applyFont="1" applyFill="1" applyBorder="1" applyAlignment="1" applyProtection="1">
      <alignment horizontal="left"/>
    </xf>
    <xf numFmtId="0" fontId="55" fillId="49" borderId="0" xfId="6" applyFont="1" applyFill="1" applyBorder="1" applyAlignment="1" applyProtection="1">
      <alignment horizontal="left"/>
    </xf>
    <xf numFmtId="0" fontId="194" fillId="61" borderId="23" xfId="6" applyFont="1" applyFill="1" applyBorder="1" applyAlignment="1" applyProtection="1">
      <alignment horizontal="left"/>
    </xf>
    <xf numFmtId="0" fontId="194" fillId="61" borderId="47" xfId="6" applyFont="1" applyFill="1" applyBorder="1" applyProtection="1"/>
    <xf numFmtId="0" fontId="79" fillId="49" borderId="0" xfId="6" applyFont="1" applyFill="1" applyBorder="1" applyAlignment="1" applyProtection="1">
      <alignment horizontal="right"/>
    </xf>
    <xf numFmtId="0" fontId="55" fillId="49" borderId="48" xfId="6" applyFont="1" applyFill="1" applyBorder="1" applyProtection="1"/>
    <xf numFmtId="0" fontId="55" fillId="49" borderId="24" xfId="6" applyFont="1" applyFill="1" applyBorder="1" applyAlignment="1" applyProtection="1">
      <alignment horizontal="right"/>
    </xf>
    <xf numFmtId="0" fontId="55" fillId="49" borderId="51" xfId="6" applyFont="1" applyFill="1" applyBorder="1" applyProtection="1"/>
    <xf numFmtId="0" fontId="55" fillId="49" borderId="51" xfId="6" applyFont="1" applyFill="1" applyBorder="1" applyAlignment="1" applyProtection="1">
      <alignment horizontal="left"/>
    </xf>
    <xf numFmtId="0" fontId="55" fillId="49" borderId="91" xfId="6" applyFont="1" applyFill="1" applyBorder="1" applyProtection="1"/>
    <xf numFmtId="0" fontId="69" fillId="43" borderId="46" xfId="5" applyFill="1" applyBorder="1" applyProtection="1">
      <protection locked="0"/>
    </xf>
    <xf numFmtId="0" fontId="69" fillId="43" borderId="47" xfId="5" applyFill="1" applyBorder="1"/>
    <xf numFmtId="2" fontId="69" fillId="43" borderId="46" xfId="5" applyNumberFormat="1" applyFill="1" applyBorder="1" applyProtection="1">
      <protection locked="0"/>
    </xf>
    <xf numFmtId="0" fontId="69" fillId="62" borderId="2" xfId="5" applyFill="1" applyBorder="1"/>
    <xf numFmtId="0" fontId="81" fillId="62" borderId="106" xfId="6" applyFont="1" applyFill="1" applyBorder="1" applyAlignment="1" applyProtection="1">
      <alignment horizontal="center"/>
    </xf>
    <xf numFmtId="0" fontId="81" fillId="62" borderId="131" xfId="6" applyFont="1" applyFill="1" applyBorder="1" applyAlignment="1" applyProtection="1">
      <alignment horizontal="center"/>
    </xf>
    <xf numFmtId="0" fontId="81" fillId="62" borderId="132" xfId="6" applyFont="1" applyFill="1" applyBorder="1" applyAlignment="1" applyProtection="1">
      <alignment horizontal="center"/>
    </xf>
    <xf numFmtId="0" fontId="55" fillId="62" borderId="130" xfId="6" applyFont="1" applyFill="1" applyBorder="1" applyAlignment="1" applyProtection="1">
      <alignment horizontal="center"/>
    </xf>
    <xf numFmtId="0" fontId="55" fillId="62" borderId="150" xfId="6" applyFont="1" applyFill="1" applyBorder="1" applyAlignment="1" applyProtection="1">
      <alignment horizontal="center"/>
    </xf>
    <xf numFmtId="179" fontId="55" fillId="62" borderId="103" xfId="6" applyNumberFormat="1" applyFont="1" applyFill="1" applyBorder="1" applyAlignment="1" applyProtection="1">
      <alignment horizontal="center"/>
    </xf>
    <xf numFmtId="179" fontId="55" fillId="62" borderId="2" xfId="6" applyNumberFormat="1" applyFont="1" applyFill="1" applyBorder="1" applyAlignment="1" applyProtection="1">
      <alignment horizontal="center"/>
    </xf>
    <xf numFmtId="179" fontId="55" fillId="62" borderId="104" xfId="6" applyNumberFormat="1" applyFont="1" applyFill="1" applyBorder="1" applyAlignment="1" applyProtection="1">
      <alignment horizontal="center"/>
    </xf>
    <xf numFmtId="0" fontId="55" fillId="62" borderId="103" xfId="6" applyFont="1" applyFill="1" applyBorder="1" applyAlignment="1" applyProtection="1">
      <alignment horizontal="center"/>
    </xf>
    <xf numFmtId="0" fontId="55" fillId="62" borderId="104" xfId="6" applyFont="1" applyFill="1" applyBorder="1" applyAlignment="1" applyProtection="1">
      <alignment horizontal="center"/>
    </xf>
    <xf numFmtId="179" fontId="55" fillId="62" borderId="128" xfId="6" applyNumberFormat="1" applyFont="1" applyFill="1" applyBorder="1" applyAlignment="1" applyProtection="1">
      <alignment horizontal="center"/>
    </xf>
    <xf numFmtId="179" fontId="55" fillId="62" borderId="100" xfId="6" applyNumberFormat="1" applyFont="1" applyFill="1" applyBorder="1" applyAlignment="1" applyProtection="1">
      <alignment horizontal="center"/>
    </xf>
    <xf numFmtId="179" fontId="55" fillId="62" borderId="129" xfId="6" applyNumberFormat="1" applyFont="1" applyFill="1" applyBorder="1" applyAlignment="1" applyProtection="1">
      <alignment horizontal="center"/>
    </xf>
    <xf numFmtId="0" fontId="55" fillId="62" borderId="128" xfId="6" applyFont="1" applyFill="1" applyBorder="1" applyAlignment="1" applyProtection="1">
      <alignment horizontal="center"/>
    </xf>
    <xf numFmtId="0" fontId="55" fillId="62" borderId="129" xfId="6" applyFont="1" applyFill="1" applyBorder="1" applyAlignment="1" applyProtection="1">
      <alignment horizontal="center"/>
    </xf>
    <xf numFmtId="179" fontId="194" fillId="62" borderId="75" xfId="6" applyNumberFormat="1" applyFont="1" applyFill="1" applyBorder="1" applyAlignment="1" applyProtection="1">
      <alignment horizontal="centerContinuous"/>
    </xf>
    <xf numFmtId="179" fontId="186" fillId="62" borderId="50" xfId="6" applyNumberFormat="1" applyFont="1" applyFill="1" applyBorder="1" applyAlignment="1" applyProtection="1">
      <alignment horizontal="centerContinuous"/>
    </xf>
    <xf numFmtId="0" fontId="186" fillId="62" borderId="50" xfId="6" applyFont="1" applyFill="1" applyBorder="1" applyAlignment="1" applyProtection="1">
      <alignment horizontal="centerContinuous"/>
    </xf>
    <xf numFmtId="0" fontId="186" fillId="62" borderId="67" xfId="6" applyFont="1" applyFill="1" applyBorder="1" applyAlignment="1" applyProtection="1">
      <alignment horizontal="centerContinuous"/>
    </xf>
    <xf numFmtId="179" fontId="195" fillId="62" borderId="24" xfId="6" applyNumberFormat="1" applyFont="1" applyFill="1" applyBorder="1" applyAlignment="1" applyProtection="1">
      <alignment horizontal="centerContinuous"/>
    </xf>
    <xf numFmtId="179" fontId="186" fillId="62" borderId="51" xfId="6" applyNumberFormat="1" applyFont="1" applyFill="1" applyBorder="1" applyAlignment="1" applyProtection="1">
      <alignment horizontal="centerContinuous"/>
    </xf>
    <xf numFmtId="0" fontId="186" fillId="62" borderId="51" xfId="6" applyFont="1" applyFill="1" applyBorder="1" applyAlignment="1" applyProtection="1">
      <alignment horizontal="centerContinuous"/>
    </xf>
    <xf numFmtId="0" fontId="186" fillId="62" borderId="91" xfId="6" applyFont="1" applyFill="1" applyBorder="1" applyAlignment="1" applyProtection="1">
      <alignment horizontal="centerContinuous"/>
    </xf>
    <xf numFmtId="0" fontId="69" fillId="43" borderId="1" xfId="5" applyFill="1" applyBorder="1" applyProtection="1">
      <protection locked="0"/>
    </xf>
    <xf numFmtId="0" fontId="69" fillId="43" borderId="6" xfId="5" applyFill="1" applyBorder="1"/>
    <xf numFmtId="0" fontId="0" fillId="0" borderId="48" xfId="0" applyBorder="1" applyAlignment="1">
      <alignment horizontal="right"/>
    </xf>
    <xf numFmtId="0" fontId="0" fillId="0" borderId="161" xfId="0" applyBorder="1" applyAlignment="1">
      <alignment horizontal="center"/>
    </xf>
    <xf numFmtId="0" fontId="79" fillId="0" borderId="7" xfId="5" applyFont="1" applyBorder="1" applyProtection="1"/>
    <xf numFmtId="0" fontId="0" fillId="0" borderId="0" xfId="0" applyBorder="1" applyAlignment="1">
      <alignment horizontal="right"/>
    </xf>
    <xf numFmtId="0" fontId="0" fillId="0" borderId="24" xfId="0" applyBorder="1"/>
    <xf numFmtId="0" fontId="174" fillId="0" borderId="51" xfId="0" applyFont="1" applyBorder="1"/>
    <xf numFmtId="0" fontId="123" fillId="34" borderId="106" xfId="5" applyFont="1" applyFill="1" applyBorder="1"/>
    <xf numFmtId="0" fontId="0" fillId="34" borderId="93" xfId="0" applyFill="1" applyBorder="1" applyAlignment="1">
      <alignment horizontal="center"/>
    </xf>
    <xf numFmtId="0" fontId="0" fillId="34" borderId="0" xfId="0" applyFill="1" applyBorder="1"/>
    <xf numFmtId="0" fontId="0" fillId="34" borderId="65" xfId="0" applyFill="1" applyBorder="1"/>
    <xf numFmtId="0" fontId="197" fillId="0" borderId="46" xfId="0" applyFont="1" applyFill="1" applyBorder="1" applyAlignment="1">
      <alignment horizontal="center" vertical="center"/>
    </xf>
    <xf numFmtId="0" fontId="197" fillId="0" borderId="47" xfId="0" applyFont="1" applyFill="1" applyBorder="1" applyAlignment="1">
      <alignment horizontal="center" vertical="center"/>
    </xf>
    <xf numFmtId="0" fontId="197" fillId="0" borderId="93" xfId="0" applyFont="1" applyFill="1" applyBorder="1" applyAlignment="1">
      <alignment horizontal="center" vertical="center"/>
    </xf>
    <xf numFmtId="181" fontId="197" fillId="0" borderId="46" xfId="0" applyNumberFormat="1" applyFont="1" applyFill="1" applyBorder="1" applyAlignment="1">
      <alignment horizontal="center" vertical="center"/>
    </xf>
    <xf numFmtId="1" fontId="0" fillId="34" borderId="143" xfId="0" applyNumberFormat="1" applyFill="1" applyBorder="1" applyAlignment="1">
      <alignment horizontal="center" vertical="center"/>
    </xf>
    <xf numFmtId="1" fontId="0" fillId="34" borderId="79" xfId="0" applyNumberFormat="1" applyFill="1" applyBorder="1" applyAlignment="1">
      <alignment horizontal="center" vertical="center"/>
    </xf>
    <xf numFmtId="0" fontId="0" fillId="34" borderId="73" xfId="0" applyFill="1" applyBorder="1" applyAlignment="1">
      <alignment horizontal="center" vertical="center"/>
    </xf>
    <xf numFmtId="0" fontId="139" fillId="34" borderId="144" xfId="0" applyFont="1" applyFill="1" applyBorder="1" applyAlignment="1">
      <alignment horizontal="center" vertical="center"/>
    </xf>
    <xf numFmtId="0" fontId="139" fillId="34" borderId="73" xfId="0" applyFont="1" applyFill="1" applyBorder="1" applyAlignment="1">
      <alignment horizontal="center" vertical="center"/>
    </xf>
    <xf numFmtId="0" fontId="175" fillId="34" borderId="165" xfId="0" applyFont="1" applyFill="1" applyBorder="1" applyAlignment="1">
      <alignment horizontal="center" vertical="center"/>
    </xf>
    <xf numFmtId="0" fontId="0" fillId="34" borderId="119" xfId="0" applyFill="1" applyBorder="1" applyAlignment="1">
      <alignment horizontal="center" vertical="center"/>
    </xf>
    <xf numFmtId="0" fontId="0" fillId="38" borderId="143" xfId="0" applyFill="1" applyBorder="1" applyProtection="1">
      <protection locked="0"/>
    </xf>
    <xf numFmtId="0" fontId="0" fillId="38" borderId="144" xfId="0" applyFill="1" applyBorder="1" applyProtection="1">
      <protection locked="0"/>
    </xf>
    <xf numFmtId="0" fontId="0" fillId="38" borderId="123" xfId="0" applyFill="1" applyBorder="1" applyProtection="1">
      <protection locked="0"/>
    </xf>
    <xf numFmtId="0" fontId="0" fillId="38" borderId="93" xfId="0" applyFill="1" applyBorder="1" applyProtection="1">
      <protection locked="0"/>
    </xf>
    <xf numFmtId="1" fontId="0" fillId="43" borderId="121" xfId="0" applyNumberFormat="1" applyFill="1" applyBorder="1" applyAlignment="1" applyProtection="1">
      <alignment horizontal="center" vertical="center"/>
      <protection locked="0"/>
    </xf>
    <xf numFmtId="181" fontId="0" fillId="43" borderId="143" xfId="0" applyNumberFormat="1" applyFill="1" applyBorder="1" applyAlignment="1" applyProtection="1">
      <alignment horizontal="center" vertical="center"/>
      <protection locked="0"/>
    </xf>
    <xf numFmtId="0" fontId="0" fillId="43" borderId="96" xfId="0" applyFill="1" applyBorder="1" applyAlignment="1" applyProtection="1">
      <alignment horizontal="center" vertical="center"/>
      <protection locked="0"/>
    </xf>
    <xf numFmtId="181" fontId="0" fillId="43" borderId="144" xfId="0" applyNumberFormat="1" applyFill="1" applyBorder="1" applyAlignment="1" applyProtection="1">
      <alignment horizontal="center" vertical="center"/>
      <protection locked="0"/>
    </xf>
    <xf numFmtId="0" fontId="139" fillId="43" borderId="96" xfId="0" applyFont="1" applyFill="1" applyBorder="1" applyAlignment="1" applyProtection="1">
      <alignment horizontal="center" vertical="center"/>
      <protection locked="0"/>
    </xf>
    <xf numFmtId="181" fontId="139" fillId="43" borderId="144" xfId="0" applyNumberFormat="1" applyFont="1" applyFill="1" applyBorder="1" applyAlignment="1" applyProtection="1">
      <alignment horizontal="center" vertical="center"/>
      <protection locked="0"/>
    </xf>
    <xf numFmtId="0" fontId="0" fillId="43" borderId="97" xfId="0" applyFill="1" applyBorder="1" applyAlignment="1" applyProtection="1">
      <alignment horizontal="center" vertical="center"/>
      <protection locked="0"/>
    </xf>
    <xf numFmtId="181" fontId="0" fillId="43" borderId="119" xfId="0" applyNumberFormat="1" applyFill="1" applyBorder="1" applyAlignment="1" applyProtection="1">
      <alignment horizontal="center" vertical="center"/>
      <protection locked="0"/>
    </xf>
    <xf numFmtId="0" fontId="55" fillId="50" borderId="2" xfId="5" applyFont="1" applyFill="1" applyBorder="1" applyProtection="1">
      <protection locked="0"/>
    </xf>
    <xf numFmtId="0" fontId="139" fillId="43" borderId="144" xfId="0" applyFont="1" applyFill="1" applyBorder="1" applyAlignment="1" applyProtection="1">
      <alignment horizontal="center" vertical="center"/>
      <protection locked="0"/>
    </xf>
    <xf numFmtId="0" fontId="55" fillId="0" borderId="22" xfId="5" applyFont="1" applyBorder="1" applyAlignment="1" applyProtection="1">
      <alignment vertical="top" wrapText="1"/>
    </xf>
    <xf numFmtId="0" fontId="69" fillId="19" borderId="27" xfId="5" applyFill="1" applyBorder="1" applyProtection="1"/>
    <xf numFmtId="0" fontId="69" fillId="27" borderId="22" xfId="5" applyFill="1" applyBorder="1" applyProtection="1"/>
    <xf numFmtId="183" fontId="69" fillId="43" borderId="22" xfId="5" applyNumberFormat="1" applyFill="1" applyBorder="1" applyAlignment="1" applyProtection="1">
      <alignment vertical="center"/>
      <protection locked="0"/>
    </xf>
    <xf numFmtId="167" fontId="81" fillId="64" borderId="120" xfId="5" applyNumberFormat="1" applyFont="1" applyFill="1" applyBorder="1" applyAlignment="1">
      <alignment vertical="center"/>
    </xf>
    <xf numFmtId="0" fontId="98" fillId="64" borderId="46" xfId="5" applyFont="1" applyFill="1" applyBorder="1"/>
    <xf numFmtId="0" fontId="81" fillId="64" borderId="47" xfId="5" applyFont="1" applyFill="1" applyBorder="1"/>
    <xf numFmtId="167" fontId="79" fillId="64" borderId="94" xfId="5" applyNumberFormat="1" applyFont="1" applyFill="1" applyBorder="1"/>
    <xf numFmtId="167" fontId="79" fillId="64" borderId="166" xfId="5" applyNumberFormat="1" applyFont="1" applyFill="1" applyBorder="1"/>
    <xf numFmtId="167" fontId="79" fillId="64" borderId="101" xfId="5" applyNumberFormat="1" applyFont="1" applyFill="1" applyBorder="1"/>
    <xf numFmtId="0" fontId="55" fillId="0" borderId="65" xfId="5" applyFont="1" applyBorder="1" applyProtection="1"/>
    <xf numFmtId="0" fontId="69" fillId="34" borderId="2" xfId="5" applyFill="1" applyBorder="1" applyProtection="1"/>
    <xf numFmtId="0" fontId="79" fillId="34" borderId="6" xfId="5" applyFont="1" applyFill="1" applyBorder="1" applyAlignment="1" applyProtection="1"/>
    <xf numFmtId="167" fontId="113" fillId="34" borderId="46" xfId="5" applyNumberFormat="1" applyFont="1" applyFill="1" applyBorder="1" applyProtection="1"/>
    <xf numFmtId="0" fontId="196" fillId="34" borderId="47" xfId="5" applyFont="1" applyFill="1" applyBorder="1" applyProtection="1"/>
    <xf numFmtId="167" fontId="113" fillId="66" borderId="46" xfId="5" applyNumberFormat="1" applyFont="1" applyFill="1" applyBorder="1" applyProtection="1"/>
    <xf numFmtId="0" fontId="196" fillId="66" borderId="47" xfId="5" applyFont="1" applyFill="1" applyBorder="1" applyProtection="1"/>
    <xf numFmtId="0" fontId="189" fillId="0" borderId="0" xfId="0" applyFont="1" applyFill="1" applyBorder="1"/>
    <xf numFmtId="0" fontId="189" fillId="0" borderId="0" xfId="0" applyFont="1" applyFill="1" applyBorder="1" applyAlignment="1">
      <alignment horizontal="right"/>
    </xf>
    <xf numFmtId="0" fontId="181" fillId="0" borderId="0" xfId="0" applyFont="1" applyFill="1" applyBorder="1"/>
    <xf numFmtId="0" fontId="188" fillId="0" borderId="0" xfId="0" applyFont="1" applyFill="1" applyBorder="1"/>
    <xf numFmtId="0" fontId="194" fillId="0" borderId="50" xfId="0" applyFont="1" applyFill="1" applyBorder="1" applyAlignment="1" applyProtection="1">
      <protection hidden="1"/>
    </xf>
    <xf numFmtId="0" fontId="198" fillId="0" borderId="67" xfId="0" applyFont="1" applyFill="1" applyBorder="1" applyAlignment="1" applyProtection="1">
      <protection hidden="1"/>
    </xf>
    <xf numFmtId="0" fontId="189" fillId="0" borderId="48" xfId="0" applyFont="1" applyFill="1" applyBorder="1"/>
    <xf numFmtId="167" fontId="189" fillId="0" borderId="48" xfId="0" applyNumberFormat="1" applyFont="1" applyFill="1" applyBorder="1"/>
    <xf numFmtId="0" fontId="189" fillId="0" borderId="51" xfId="0" applyFont="1" applyFill="1" applyBorder="1"/>
    <xf numFmtId="0" fontId="189" fillId="0" borderId="91" xfId="0" applyFont="1" applyFill="1" applyBorder="1"/>
    <xf numFmtId="0" fontId="186" fillId="0" borderId="0" xfId="0" applyFont="1" applyFill="1" applyBorder="1" applyProtection="1">
      <protection hidden="1"/>
    </xf>
    <xf numFmtId="0" fontId="186" fillId="0" borderId="2" xfId="0" applyFont="1" applyFill="1" applyBorder="1"/>
    <xf numFmtId="0" fontId="186" fillId="0" borderId="7" xfId="0" applyFont="1" applyFill="1" applyBorder="1"/>
    <xf numFmtId="0" fontId="186" fillId="0" borderId="0" xfId="0" applyFont="1" applyFill="1" applyBorder="1"/>
    <xf numFmtId="0" fontId="194" fillId="66" borderId="2" xfId="0" applyFont="1" applyFill="1" applyBorder="1" applyProtection="1">
      <protection hidden="1"/>
    </xf>
    <xf numFmtId="0" fontId="186" fillId="43" borderId="1" xfId="0" applyFont="1" applyFill="1" applyBorder="1"/>
    <xf numFmtId="0" fontId="81" fillId="34" borderId="24" xfId="0" applyFont="1" applyFill="1" applyBorder="1" applyAlignment="1"/>
    <xf numFmtId="167" fontId="81" fillId="34" borderId="51" xfId="0" applyNumberFormat="1" applyFont="1" applyFill="1" applyBorder="1" applyAlignment="1">
      <alignment horizontal="center"/>
    </xf>
    <xf numFmtId="0" fontId="55" fillId="34" borderId="91" xfId="5" applyFont="1" applyFill="1" applyBorder="1"/>
    <xf numFmtId="0" fontId="79" fillId="0" borderId="2" xfId="0" applyFont="1" applyFill="1" applyBorder="1" applyAlignment="1">
      <alignment horizontal="right"/>
    </xf>
    <xf numFmtId="0" fontId="0" fillId="43" borderId="1" xfId="0" applyFill="1" applyBorder="1" applyAlignment="1">
      <alignment horizontal="center"/>
    </xf>
    <xf numFmtId="0" fontId="199" fillId="0" borderId="75" xfId="0" applyFont="1" applyBorder="1" applyAlignment="1"/>
    <xf numFmtId="0" fontId="0" fillId="0" borderId="50" xfId="0" applyBorder="1" applyAlignment="1"/>
    <xf numFmtId="0" fontId="0" fillId="0" borderId="50" xfId="0" applyBorder="1" applyAlignment="1">
      <alignment horizontal="center"/>
    </xf>
    <xf numFmtId="0" fontId="0" fillId="0" borderId="65" xfId="0" applyBorder="1" applyAlignment="1"/>
    <xf numFmtId="0" fontId="79" fillId="0" borderId="0" xfId="0" applyFont="1" applyFill="1" applyBorder="1" applyAlignment="1"/>
    <xf numFmtId="0" fontId="0" fillId="0" borderId="0" xfId="0" applyFill="1" applyBorder="1" applyAlignment="1">
      <alignment horizontal="center"/>
    </xf>
    <xf numFmtId="0" fontId="55" fillId="0" borderId="73" xfId="5" applyFont="1" applyBorder="1"/>
    <xf numFmtId="0" fontId="0" fillId="0" borderId="51" xfId="0" applyBorder="1" applyAlignment="1"/>
    <xf numFmtId="0" fontId="107" fillId="0" borderId="103" xfId="5" applyFont="1" applyFill="1" applyBorder="1"/>
    <xf numFmtId="0" fontId="97" fillId="0" borderId="2" xfId="5" applyFont="1" applyFill="1" applyBorder="1" applyAlignment="1">
      <alignment horizontal="center"/>
    </xf>
    <xf numFmtId="0" fontId="97" fillId="0" borderId="2" xfId="5" applyFont="1" applyFill="1" applyBorder="1"/>
    <xf numFmtId="0" fontId="97" fillId="0" borderId="103" xfId="5" applyFont="1" applyFill="1" applyBorder="1"/>
    <xf numFmtId="0" fontId="97" fillId="0" borderId="128" xfId="5" applyFont="1" applyFill="1" applyBorder="1"/>
    <xf numFmtId="0" fontId="97" fillId="0" borderId="100" xfId="5" applyFont="1" applyFill="1" applyBorder="1" applyAlignment="1">
      <alignment horizontal="center"/>
    </xf>
    <xf numFmtId="0" fontId="97" fillId="0" borderId="101" xfId="5" applyFont="1" applyFill="1" applyBorder="1"/>
    <xf numFmtId="0" fontId="106" fillId="0" borderId="65" xfId="5" applyFont="1" applyFill="1" applyBorder="1"/>
    <xf numFmtId="0" fontId="106" fillId="0" borderId="0" xfId="5" applyFont="1" applyFill="1" applyBorder="1"/>
    <xf numFmtId="0" fontId="79" fillId="0" borderId="0" xfId="5" applyFont="1" applyFill="1" applyBorder="1"/>
    <xf numFmtId="0" fontId="97" fillId="0" borderId="1" xfId="5" applyFont="1" applyFill="1" applyBorder="1"/>
    <xf numFmtId="185" fontId="55" fillId="43" borderId="1" xfId="0" applyNumberFormat="1" applyFont="1" applyFill="1" applyBorder="1" applyAlignment="1" applyProtection="1">
      <protection locked="0"/>
    </xf>
    <xf numFmtId="0" fontId="55" fillId="0" borderId="75" xfId="0" applyFont="1" applyFill="1" applyBorder="1" applyAlignment="1" applyProtection="1">
      <protection locked="0"/>
    </xf>
    <xf numFmtId="0" fontId="55" fillId="0" borderId="50" xfId="0" applyFont="1" applyFill="1" applyBorder="1" applyAlignment="1" applyProtection="1">
      <protection locked="0"/>
    </xf>
    <xf numFmtId="0" fontId="55" fillId="0" borderId="67" xfId="0" applyFont="1" applyFill="1" applyBorder="1" applyAlignment="1" applyProtection="1">
      <protection locked="0"/>
    </xf>
    <xf numFmtId="0" fontId="79" fillId="0" borderId="65" xfId="0" applyFont="1" applyFill="1" applyBorder="1" applyAlignment="1" applyProtection="1">
      <protection locked="0"/>
    </xf>
    <xf numFmtId="0" fontId="55" fillId="0" borderId="0" xfId="0" applyFont="1" applyFill="1" applyBorder="1" applyAlignment="1" applyProtection="1">
      <protection locked="0"/>
    </xf>
    <xf numFmtId="0" fontId="55" fillId="0" borderId="48" xfId="0" applyFont="1" applyFill="1" applyBorder="1" applyAlignment="1" applyProtection="1">
      <protection locked="0"/>
    </xf>
    <xf numFmtId="0" fontId="55" fillId="0" borderId="65" xfId="0" applyFont="1" applyFill="1" applyBorder="1" applyAlignment="1" applyProtection="1">
      <protection locked="0"/>
    </xf>
    <xf numFmtId="0" fontId="55" fillId="0" borderId="51" xfId="0" applyFont="1" applyFill="1" applyBorder="1" applyAlignment="1" applyProtection="1">
      <protection locked="0"/>
    </xf>
    <xf numFmtId="0" fontId="55" fillId="0" borderId="91" xfId="0" applyFont="1" applyFill="1" applyBorder="1" applyAlignment="1" applyProtection="1">
      <protection locked="0"/>
    </xf>
    <xf numFmtId="0" fontId="55" fillId="34" borderId="1" xfId="0" applyFont="1" applyFill="1" applyBorder="1" applyAlignment="1"/>
    <xf numFmtId="4" fontId="55" fillId="34" borderId="1" xfId="0" applyNumberFormat="1" applyFont="1" applyFill="1" applyBorder="1" applyAlignment="1"/>
    <xf numFmtId="0" fontId="55" fillId="34" borderId="7" xfId="0" applyFont="1" applyFill="1" applyBorder="1" applyAlignment="1" applyProtection="1">
      <protection locked="0"/>
    </xf>
    <xf numFmtId="0" fontId="55" fillId="43" borderId="7" xfId="0" applyFont="1" applyFill="1" applyBorder="1" applyAlignment="1" applyProtection="1">
      <protection locked="0"/>
    </xf>
    <xf numFmtId="4" fontId="55" fillId="34" borderId="5" xfId="0" applyNumberFormat="1" applyFont="1" applyFill="1" applyBorder="1" applyAlignment="1"/>
    <xf numFmtId="0" fontId="55" fillId="34" borderId="3" xfId="0" applyFont="1" applyFill="1" applyBorder="1" applyAlignment="1" applyProtection="1">
      <protection locked="0"/>
    </xf>
    <xf numFmtId="3" fontId="81" fillId="34" borderId="94" xfId="0" applyNumberFormat="1" applyFont="1" applyFill="1" applyBorder="1" applyAlignment="1" applyProtection="1">
      <protection locked="0"/>
    </xf>
    <xf numFmtId="0" fontId="81" fillId="34" borderId="47" xfId="0" applyFont="1" applyFill="1" applyBorder="1" applyAlignment="1" applyProtection="1">
      <protection locked="0"/>
    </xf>
    <xf numFmtId="0" fontId="55" fillId="0" borderId="5" xfId="0" applyFont="1" applyFill="1" applyBorder="1" applyAlignment="1" applyProtection="1">
      <protection locked="0"/>
    </xf>
    <xf numFmtId="0" fontId="55" fillId="0" borderId="107" xfId="0" applyFont="1" applyFill="1" applyBorder="1" applyAlignment="1" applyProtection="1">
      <protection locked="0"/>
    </xf>
    <xf numFmtId="0" fontId="55" fillId="0" borderId="3" xfId="0" applyFont="1" applyFill="1" applyBorder="1" applyAlignment="1" applyProtection="1">
      <protection locked="0"/>
    </xf>
    <xf numFmtId="0" fontId="55" fillId="0" borderId="105" xfId="0" applyFont="1" applyFill="1" applyBorder="1" applyAlignment="1" applyProtection="1">
      <protection locked="0"/>
    </xf>
    <xf numFmtId="0" fontId="55" fillId="0" borderId="4" xfId="0" applyFont="1" applyFill="1" applyBorder="1" applyAlignment="1" applyProtection="1">
      <protection locked="0"/>
    </xf>
    <xf numFmtId="0" fontId="55" fillId="0" borderId="28" xfId="0" applyFont="1" applyFill="1" applyBorder="1" applyAlignment="1" applyProtection="1">
      <protection locked="0"/>
    </xf>
    <xf numFmtId="0" fontId="55" fillId="0" borderId="26" xfId="0" applyFont="1" applyFill="1" applyBorder="1" applyAlignment="1" applyProtection="1">
      <protection locked="0"/>
    </xf>
    <xf numFmtId="0" fontId="55" fillId="0" borderId="21" xfId="0" applyFont="1" applyFill="1" applyBorder="1" applyAlignment="1" applyProtection="1">
      <protection locked="0"/>
    </xf>
    <xf numFmtId="169" fontId="55" fillId="34" borderId="1" xfId="0" applyNumberFormat="1" applyFont="1" applyFill="1" applyBorder="1" applyAlignment="1"/>
    <xf numFmtId="167" fontId="200" fillId="34" borderId="23" xfId="0" applyNumberFormat="1" applyFont="1" applyFill="1" applyBorder="1"/>
    <xf numFmtId="0" fontId="200" fillId="0" borderId="0" xfId="0" applyFont="1" applyFill="1" applyBorder="1"/>
    <xf numFmtId="0" fontId="201" fillId="34" borderId="47" xfId="0" applyFont="1" applyFill="1" applyBorder="1"/>
    <xf numFmtId="0" fontId="188" fillId="0" borderId="0" xfId="0" quotePrefix="1" applyFont="1" applyFill="1" applyBorder="1" applyAlignment="1">
      <alignment vertical="center"/>
    </xf>
    <xf numFmtId="0" fontId="79" fillId="65" borderId="75" xfId="5" applyFont="1" applyFill="1" applyBorder="1" applyAlignment="1">
      <alignment horizontal="left" vertical="center"/>
    </xf>
    <xf numFmtId="167" fontId="69" fillId="34" borderId="1" xfId="5" applyNumberFormat="1" applyFill="1" applyBorder="1" applyProtection="1">
      <protection locked="0"/>
    </xf>
    <xf numFmtId="0" fontId="55" fillId="34" borderId="7" xfId="5" applyFont="1" applyFill="1" applyBorder="1" applyProtection="1"/>
    <xf numFmtId="0" fontId="69" fillId="34" borderId="1" xfId="5" applyFill="1" applyBorder="1" applyProtection="1">
      <protection locked="0"/>
    </xf>
    <xf numFmtId="0" fontId="98" fillId="0" borderId="65" xfId="0" applyFont="1" applyFill="1" applyBorder="1" applyAlignment="1" applyProtection="1">
      <protection locked="0"/>
    </xf>
    <xf numFmtId="0" fontId="98" fillId="0" borderId="0" xfId="0" applyFont="1" applyFill="1" applyBorder="1" applyAlignment="1" applyProtection="1">
      <protection locked="0"/>
    </xf>
    <xf numFmtId="0" fontId="98" fillId="0" borderId="0" xfId="0" applyFont="1" applyFill="1" applyBorder="1" applyAlignment="1" applyProtection="1">
      <alignment horizontal="right"/>
      <protection locked="0"/>
    </xf>
    <xf numFmtId="0" fontId="98" fillId="0" borderId="169" xfId="0" applyFont="1" applyFill="1" applyBorder="1" applyAlignment="1" applyProtection="1">
      <protection locked="0"/>
    </xf>
    <xf numFmtId="0" fontId="81" fillId="0" borderId="173" xfId="0" applyFont="1" applyFill="1" applyBorder="1" applyAlignment="1" applyProtection="1">
      <protection locked="0"/>
    </xf>
    <xf numFmtId="0" fontId="98" fillId="0" borderId="170" xfId="0" applyFont="1" applyFill="1" applyBorder="1" applyAlignment="1" applyProtection="1">
      <protection locked="0"/>
    </xf>
    <xf numFmtId="0" fontId="98" fillId="0" borderId="172" xfId="0" applyFont="1" applyFill="1" applyBorder="1" applyAlignment="1" applyProtection="1">
      <protection locked="0"/>
    </xf>
    <xf numFmtId="0" fontId="98" fillId="0" borderId="168" xfId="0" applyFont="1" applyFill="1" applyBorder="1" applyAlignment="1" applyProtection="1">
      <protection locked="0"/>
    </xf>
    <xf numFmtId="0" fontId="98" fillId="0" borderId="174" xfId="0" applyFont="1" applyFill="1" applyBorder="1" applyAlignment="1" applyProtection="1">
      <protection locked="0"/>
    </xf>
    <xf numFmtId="0" fontId="81" fillId="0" borderId="169" xfId="0" applyFont="1" applyFill="1" applyBorder="1" applyAlignment="1" applyProtection="1">
      <protection locked="0"/>
    </xf>
    <xf numFmtId="0" fontId="98" fillId="0" borderId="24" xfId="0" applyFont="1" applyFill="1" applyBorder="1" applyAlignment="1" applyProtection="1">
      <protection locked="0"/>
    </xf>
    <xf numFmtId="0" fontId="98" fillId="0" borderId="51" xfId="0" applyFont="1" applyFill="1" applyBorder="1" applyAlignment="1" applyProtection="1">
      <protection locked="0"/>
    </xf>
    <xf numFmtId="0" fontId="81" fillId="0" borderId="51" xfId="0" applyFont="1" applyFill="1" applyBorder="1" applyAlignment="1" applyProtection="1">
      <protection locked="0"/>
    </xf>
    <xf numFmtId="185" fontId="98" fillId="43" borderId="171" xfId="0" applyNumberFormat="1" applyFont="1" applyFill="1" applyBorder="1" applyAlignment="1" applyProtection="1">
      <protection locked="0"/>
    </xf>
    <xf numFmtId="4" fontId="98" fillId="43" borderId="171" xfId="0" applyNumberFormat="1" applyFont="1" applyFill="1" applyBorder="1" applyAlignment="1" applyProtection="1">
      <protection locked="0"/>
    </xf>
    <xf numFmtId="0" fontId="81" fillId="34" borderId="46" xfId="0" applyFont="1" applyFill="1" applyBorder="1" applyAlignment="1" applyProtection="1">
      <protection locked="0"/>
    </xf>
    <xf numFmtId="0" fontId="98" fillId="34" borderId="23" xfId="0" applyFont="1" applyFill="1" applyBorder="1" applyAlignment="1" applyProtection="1">
      <protection locked="0"/>
    </xf>
    <xf numFmtId="4" fontId="81" fillId="34" borderId="23" xfId="0" applyNumberFormat="1" applyFont="1" applyFill="1" applyBorder="1" applyAlignment="1"/>
    <xf numFmtId="0" fontId="98" fillId="34" borderId="47" xfId="0" applyFont="1" applyFill="1" applyBorder="1" applyAlignment="1" applyProtection="1">
      <protection locked="0"/>
    </xf>
    <xf numFmtId="185" fontId="81" fillId="34" borderId="23" xfId="0" applyNumberFormat="1" applyFont="1" applyFill="1" applyBorder="1" applyAlignment="1"/>
    <xf numFmtId="167" fontId="98" fillId="34" borderId="46" xfId="0" applyNumberFormat="1" applyFont="1" applyFill="1" applyBorder="1" applyAlignment="1" applyProtection="1">
      <protection locked="0"/>
    </xf>
    <xf numFmtId="0" fontId="98" fillId="34" borderId="46" xfId="0" applyFont="1" applyFill="1" applyBorder="1" applyAlignment="1" applyProtection="1">
      <protection locked="0"/>
    </xf>
    <xf numFmtId="167" fontId="98" fillId="34" borderId="47" xfId="0" applyNumberFormat="1" applyFont="1" applyFill="1" applyBorder="1" applyAlignment="1" applyProtection="1">
      <protection locked="0"/>
    </xf>
    <xf numFmtId="167" fontId="69" fillId="43" borderId="118" xfId="5" applyNumberFormat="1" applyFill="1" applyBorder="1" applyProtection="1">
      <protection locked="0"/>
    </xf>
    <xf numFmtId="0" fontId="55" fillId="43" borderId="74" xfId="5" applyFont="1" applyFill="1" applyBorder="1" applyProtection="1"/>
    <xf numFmtId="0" fontId="69" fillId="43" borderId="73" xfId="5" applyFill="1" applyBorder="1" applyProtection="1"/>
    <xf numFmtId="0" fontId="69" fillId="43" borderId="123" xfId="5" applyFill="1" applyBorder="1" applyProtection="1">
      <protection locked="0"/>
    </xf>
    <xf numFmtId="0" fontId="69" fillId="43" borderId="145" xfId="5" applyFill="1" applyBorder="1" applyProtection="1"/>
    <xf numFmtId="167" fontId="69" fillId="43" borderId="1" xfId="5" applyNumberFormat="1" applyFill="1" applyBorder="1" applyProtection="1">
      <protection locked="0"/>
    </xf>
    <xf numFmtId="0" fontId="55" fillId="43" borderId="7" xfId="5" applyFont="1" applyFill="1" applyBorder="1" applyProtection="1"/>
    <xf numFmtId="0" fontId="69" fillId="43" borderId="7" xfId="5" applyFill="1" applyBorder="1" applyProtection="1"/>
    <xf numFmtId="0" fontId="69" fillId="34" borderId="28" xfId="5" applyFill="1" applyBorder="1" applyProtection="1">
      <protection locked="0"/>
    </xf>
    <xf numFmtId="0" fontId="55" fillId="34" borderId="21" xfId="5" applyFont="1" applyFill="1" applyBorder="1" applyProtection="1"/>
    <xf numFmtId="167" fontId="69" fillId="43" borderId="144" xfId="5" applyNumberFormat="1" applyFill="1" applyBorder="1" applyProtection="1">
      <protection locked="0"/>
    </xf>
    <xf numFmtId="167" fontId="69" fillId="43" borderId="28" xfId="5" applyNumberFormat="1" applyFill="1" applyBorder="1" applyProtection="1">
      <protection locked="0"/>
    </xf>
    <xf numFmtId="0" fontId="55" fillId="43" borderId="21" xfId="5" applyFont="1" applyFill="1" applyBorder="1" applyProtection="1"/>
    <xf numFmtId="0" fontId="186" fillId="43" borderId="7" xfId="0" applyFont="1" applyFill="1" applyBorder="1"/>
    <xf numFmtId="167" fontId="69" fillId="34" borderId="28" xfId="5" applyNumberFormat="1" applyFill="1" applyBorder="1" applyProtection="1">
      <protection locked="0"/>
    </xf>
    <xf numFmtId="0" fontId="200" fillId="66" borderId="46" xfId="0" applyFont="1" applyFill="1" applyBorder="1"/>
    <xf numFmtId="167" fontId="200" fillId="66" borderId="23" xfId="0" applyNumberFormat="1" applyFont="1" applyFill="1" applyBorder="1"/>
    <xf numFmtId="0" fontId="201" fillId="66" borderId="47" xfId="0" applyFont="1" applyFill="1" applyBorder="1"/>
    <xf numFmtId="0" fontId="194" fillId="34" borderId="7" xfId="0" applyFont="1" applyFill="1" applyBorder="1" applyProtection="1">
      <protection hidden="1"/>
    </xf>
    <xf numFmtId="0" fontId="55" fillId="0" borderId="0" xfId="5" applyFont="1" applyBorder="1" applyProtection="1"/>
    <xf numFmtId="0" fontId="200" fillId="34" borderId="23" xfId="0" applyFont="1" applyFill="1" applyBorder="1" applyAlignment="1">
      <alignment horizontal="right"/>
    </xf>
    <xf numFmtId="0" fontId="81" fillId="0" borderId="48" xfId="5" applyFont="1" applyBorder="1" applyProtection="1"/>
    <xf numFmtId="2" fontId="69" fillId="27" borderId="101" xfId="5" applyNumberFormat="1" applyFill="1" applyBorder="1" applyProtection="1"/>
    <xf numFmtId="0" fontId="69" fillId="34" borderId="99" xfId="5" applyFill="1" applyBorder="1" applyProtection="1"/>
    <xf numFmtId="2" fontId="69" fillId="66" borderId="101" xfId="5" applyNumberFormat="1" applyFill="1" applyBorder="1" applyProtection="1"/>
    <xf numFmtId="2" fontId="55" fillId="14" borderId="99" xfId="5" applyNumberFormat="1" applyFont="1" applyFill="1" applyBorder="1" applyProtection="1"/>
    <xf numFmtId="2" fontId="69" fillId="14" borderId="101" xfId="5" applyNumberFormat="1" applyFill="1" applyBorder="1" applyProtection="1"/>
    <xf numFmtId="1" fontId="70" fillId="14" borderId="92" xfId="5" applyNumberFormat="1" applyFont="1" applyFill="1" applyBorder="1" applyAlignment="1">
      <alignment horizontal="center" vertical="center" wrapText="1"/>
    </xf>
    <xf numFmtId="1" fontId="70" fillId="0" borderId="0" xfId="5" applyNumberFormat="1" applyFont="1" applyBorder="1" applyAlignment="1">
      <alignment horizontal="center" vertical="center" wrapText="1"/>
    </xf>
    <xf numFmtId="1" fontId="70" fillId="15" borderId="93" xfId="5" applyNumberFormat="1" applyFont="1" applyFill="1" applyBorder="1" applyAlignment="1">
      <alignment horizontal="center" vertical="center" wrapText="1"/>
    </xf>
    <xf numFmtId="1" fontId="70" fillId="16" borderId="92" xfId="5" applyNumberFormat="1" applyFont="1" applyFill="1" applyBorder="1" applyAlignment="1">
      <alignment horizontal="center" vertical="center" wrapText="1"/>
    </xf>
    <xf numFmtId="0" fontId="69" fillId="0" borderId="0" xfId="5" applyBorder="1" applyAlignment="1">
      <alignment horizontal="left" vertical="center"/>
    </xf>
    <xf numFmtId="0" fontId="97" fillId="0" borderId="8" xfId="5" applyFont="1" applyBorder="1" applyAlignment="1"/>
    <xf numFmtId="0" fontId="97" fillId="0" borderId="26" xfId="5" applyFont="1" applyBorder="1" applyAlignment="1">
      <alignment horizontal="center"/>
    </xf>
    <xf numFmtId="0" fontId="97" fillId="0" borderId="26" xfId="5" applyFont="1" applyBorder="1" applyAlignment="1">
      <alignment horizontal="center" vertical="center"/>
    </xf>
    <xf numFmtId="0" fontId="97" fillId="0" borderId="8" xfId="5" applyFont="1" applyBorder="1" applyAlignment="1">
      <alignment horizontal="center" vertical="center"/>
    </xf>
    <xf numFmtId="0" fontId="81" fillId="27" borderId="2" xfId="5" quotePrefix="1" applyFont="1" applyFill="1" applyBorder="1"/>
    <xf numFmtId="10" fontId="69" fillId="0" borderId="0" xfId="5" applyNumberFormat="1"/>
    <xf numFmtId="2" fontId="81" fillId="64" borderId="46" xfId="5" applyNumberFormat="1" applyFont="1" applyFill="1" applyBorder="1"/>
    <xf numFmtId="167" fontId="69" fillId="67" borderId="2" xfId="5" applyNumberFormat="1" applyFill="1" applyBorder="1" applyAlignment="1" applyProtection="1">
      <alignment vertical="center"/>
      <protection locked="0"/>
    </xf>
    <xf numFmtId="0" fontId="55" fillId="0" borderId="47" xfId="5" applyFont="1" applyBorder="1"/>
    <xf numFmtId="167" fontId="55" fillId="34" borderId="27" xfId="5" applyNumberFormat="1" applyFont="1" applyFill="1" applyBorder="1" applyAlignment="1" applyProtection="1">
      <alignment vertical="center"/>
    </xf>
    <xf numFmtId="2" fontId="55" fillId="34" borderId="106" xfId="5" applyNumberFormat="1" applyFont="1" applyFill="1" applyBorder="1" applyAlignment="1" applyProtection="1">
      <alignment vertical="center"/>
    </xf>
    <xf numFmtId="0" fontId="98" fillId="64" borderId="46" xfId="5" applyFont="1" applyFill="1" applyBorder="1" applyAlignment="1">
      <alignment vertical="center"/>
    </xf>
    <xf numFmtId="0" fontId="81" fillId="64" borderId="47" xfId="5" applyFont="1" applyFill="1" applyBorder="1" applyAlignment="1">
      <alignment vertical="center"/>
    </xf>
    <xf numFmtId="0" fontId="202" fillId="0" borderId="0" xfId="5" applyFont="1"/>
    <xf numFmtId="167" fontId="81" fillId="64" borderId="2" xfId="5" applyNumberFormat="1" applyFont="1" applyFill="1" applyBorder="1"/>
    <xf numFmtId="0" fontId="98" fillId="64" borderId="103" xfId="5" applyFont="1" applyFill="1" applyBorder="1"/>
    <xf numFmtId="0" fontId="81" fillId="64" borderId="104" xfId="5" applyFont="1" applyFill="1" applyBorder="1"/>
    <xf numFmtId="0" fontId="98" fillId="64" borderId="122" xfId="5" applyFont="1" applyFill="1" applyBorder="1"/>
    <xf numFmtId="0" fontId="173" fillId="64" borderId="46" xfId="5" applyFont="1" applyFill="1" applyBorder="1"/>
    <xf numFmtId="167" fontId="173" fillId="64" borderId="46" xfId="5" applyNumberFormat="1" applyFont="1" applyFill="1" applyBorder="1"/>
    <xf numFmtId="0" fontId="173" fillId="64" borderId="47" xfId="5" applyFont="1" applyFill="1" applyBorder="1"/>
    <xf numFmtId="0" fontId="55" fillId="68" borderId="65" xfId="5" applyFont="1" applyFill="1" applyBorder="1"/>
    <xf numFmtId="0" fontId="55" fillId="55" borderId="122" xfId="5" applyFont="1" applyFill="1" applyBorder="1"/>
    <xf numFmtId="0" fontId="55" fillId="55" borderId="130" xfId="5" applyFont="1" applyFill="1" applyBorder="1"/>
    <xf numFmtId="0" fontId="69" fillId="43" borderId="2" xfId="5" applyFill="1" applyBorder="1" applyAlignment="1" applyProtection="1">
      <alignment vertical="center"/>
      <protection locked="0"/>
    </xf>
    <xf numFmtId="0" fontId="55" fillId="55" borderId="175" xfId="5" applyFont="1" applyFill="1" applyBorder="1"/>
    <xf numFmtId="2" fontId="79" fillId="34" borderId="2" xfId="5" applyNumberFormat="1" applyFont="1" applyFill="1" applyBorder="1" applyAlignment="1" applyProtection="1">
      <alignment vertical="center"/>
    </xf>
    <xf numFmtId="167" fontId="55" fillId="0" borderId="76" xfId="5" applyNumberFormat="1" applyFont="1" applyBorder="1" applyAlignment="1">
      <alignment horizontal="right" vertical="center"/>
    </xf>
    <xf numFmtId="167" fontId="55" fillId="0" borderId="103" xfId="5" applyNumberFormat="1" applyFont="1" applyBorder="1" applyAlignment="1">
      <alignment horizontal="right" vertical="center"/>
    </xf>
    <xf numFmtId="167" fontId="55" fillId="0" borderId="103" xfId="5" quotePrefix="1" applyNumberFormat="1" applyFont="1" applyBorder="1" applyAlignment="1">
      <alignment horizontal="right" vertical="center"/>
    </xf>
    <xf numFmtId="167" fontId="55" fillId="0" borderId="128" xfId="5" applyNumberFormat="1" applyFont="1" applyBorder="1" applyAlignment="1">
      <alignment horizontal="right" vertical="center"/>
    </xf>
    <xf numFmtId="0" fontId="55" fillId="43" borderId="77" xfId="5" applyFont="1" applyFill="1" applyBorder="1" applyAlignment="1" applyProtection="1">
      <alignment horizontal="right" vertical="center"/>
      <protection locked="0"/>
    </xf>
    <xf numFmtId="0" fontId="55" fillId="43" borderId="2" xfId="5" applyFont="1" applyFill="1" applyBorder="1" applyAlignment="1" applyProtection="1">
      <alignment horizontal="right" vertical="center"/>
      <protection locked="0"/>
    </xf>
    <xf numFmtId="0" fontId="55" fillId="43" borderId="100" xfId="5" applyFont="1" applyFill="1" applyBorder="1" applyAlignment="1" applyProtection="1">
      <alignment horizontal="right" vertical="center"/>
      <protection locked="0"/>
    </xf>
    <xf numFmtId="0" fontId="144" fillId="0" borderId="0" xfId="5" applyFont="1"/>
    <xf numFmtId="2" fontId="69" fillId="67" borderId="2" xfId="5" applyNumberFormat="1" applyFill="1" applyBorder="1" applyAlignment="1" applyProtection="1">
      <alignment vertical="center"/>
      <protection locked="0"/>
    </xf>
    <xf numFmtId="0" fontId="196" fillId="0" borderId="0" xfId="5" applyFont="1"/>
    <xf numFmtId="0" fontId="204" fillId="0" borderId="46" xfId="5" applyFont="1" applyBorder="1"/>
    <xf numFmtId="169" fontId="113" fillId="27" borderId="106" xfId="5" applyNumberFormat="1" applyFont="1" applyFill="1" applyBorder="1"/>
    <xf numFmtId="167" fontId="113" fillId="27" borderId="132" xfId="5" applyNumberFormat="1" applyFont="1" applyFill="1" applyBorder="1"/>
    <xf numFmtId="167" fontId="113" fillId="27" borderId="106" xfId="5" applyNumberFormat="1" applyFont="1" applyFill="1" applyBorder="1"/>
    <xf numFmtId="167" fontId="113" fillId="27" borderId="131" xfId="5" applyNumberFormat="1" applyFont="1" applyFill="1" applyBorder="1"/>
    <xf numFmtId="169" fontId="113" fillId="27" borderId="0" xfId="5" applyNumberFormat="1" applyFont="1" applyFill="1" applyBorder="1"/>
    <xf numFmtId="0" fontId="81" fillId="0" borderId="48" xfId="5" applyFont="1" applyBorder="1" applyAlignment="1">
      <alignment horizontal="left" vertical="center"/>
    </xf>
    <xf numFmtId="0" fontId="69" fillId="0" borderId="2" xfId="5" applyBorder="1" applyAlignment="1">
      <alignment horizontal="left"/>
    </xf>
    <xf numFmtId="0" fontId="69" fillId="69" borderId="144" xfId="5" applyFill="1" applyBorder="1" applyProtection="1">
      <protection locked="0"/>
    </xf>
    <xf numFmtId="167" fontId="69" fillId="34" borderId="76" xfId="5" applyNumberFormat="1" applyFill="1" applyBorder="1"/>
    <xf numFmtId="2" fontId="69" fillId="0" borderId="77" xfId="5" applyNumberFormat="1" applyBorder="1"/>
    <xf numFmtId="167" fontId="69" fillId="34" borderId="130" xfId="5" applyNumberFormat="1" applyFill="1" applyBorder="1"/>
    <xf numFmtId="2" fontId="69" fillId="0" borderId="2" xfId="5" applyNumberFormat="1" applyBorder="1"/>
    <xf numFmtId="167" fontId="69" fillId="34" borderId="147" xfId="5" applyNumberFormat="1" applyFill="1" applyBorder="1"/>
    <xf numFmtId="2" fontId="69" fillId="0" borderId="100" xfId="5" applyNumberFormat="1" applyBorder="1"/>
    <xf numFmtId="2" fontId="81" fillId="64" borderId="46" xfId="5" applyNumberFormat="1" applyFont="1" applyFill="1" applyBorder="1" applyAlignment="1">
      <alignment vertical="center"/>
    </xf>
    <xf numFmtId="0" fontId="81" fillId="64" borderId="46" xfId="5" applyFont="1" applyFill="1" applyBorder="1" applyAlignment="1">
      <alignment vertical="center"/>
    </xf>
    <xf numFmtId="0" fontId="55" fillId="55" borderId="65" xfId="5" applyFont="1" applyFill="1" applyBorder="1"/>
    <xf numFmtId="10" fontId="69" fillId="43" borderId="2" xfId="5" applyNumberFormat="1" applyFill="1" applyBorder="1"/>
    <xf numFmtId="2" fontId="69" fillId="0" borderId="125" xfId="5" applyNumberFormat="1" applyBorder="1"/>
    <xf numFmtId="0" fontId="55" fillId="43" borderId="2" xfId="5" applyFont="1" applyFill="1" applyBorder="1" applyAlignment="1" applyProtection="1">
      <alignment horizontal="right" vertical="center"/>
    </xf>
    <xf numFmtId="0" fontId="55" fillId="43" borderId="100" xfId="5" applyFont="1" applyFill="1" applyBorder="1" applyAlignment="1" applyProtection="1">
      <alignment horizontal="right" vertical="center"/>
    </xf>
    <xf numFmtId="0" fontId="176" fillId="0" borderId="93" xfId="0" applyFont="1" applyFill="1" applyBorder="1" applyAlignment="1" applyProtection="1">
      <alignment horizontal="center" vertical="center" wrapText="1"/>
      <protection locked="0"/>
    </xf>
    <xf numFmtId="0" fontId="176" fillId="0" borderId="46" xfId="0" applyFont="1" applyFill="1" applyBorder="1" applyAlignment="1" applyProtection="1">
      <alignment horizontal="center" vertical="center" wrapText="1"/>
      <protection locked="0"/>
    </xf>
    <xf numFmtId="0" fontId="97" fillId="0" borderId="5" xfId="5" applyFont="1" applyBorder="1" applyAlignment="1">
      <alignment horizontal="left"/>
    </xf>
    <xf numFmtId="15" fontId="207" fillId="0" borderId="0" xfId="0" applyNumberFormat="1" applyFont="1" applyFill="1" applyAlignment="1">
      <alignment vertical="center"/>
    </xf>
    <xf numFmtId="0" fontId="164" fillId="0" borderId="177" xfId="0" applyFont="1" applyFill="1" applyBorder="1" applyAlignment="1">
      <alignment horizontal="center" vertical="center"/>
    </xf>
    <xf numFmtId="0" fontId="159" fillId="0" borderId="177" xfId="0" applyFont="1" applyFill="1" applyBorder="1" applyAlignment="1">
      <alignment horizontal="left" vertical="center"/>
    </xf>
    <xf numFmtId="167" fontId="55" fillId="0" borderId="179" xfId="5" applyNumberFormat="1" applyFont="1" applyFill="1" applyBorder="1" applyAlignment="1" applyProtection="1">
      <alignment horizontal="center" vertical="center" wrapText="1"/>
    </xf>
    <xf numFmtId="167" fontId="55" fillId="0" borderId="27" xfId="5" applyNumberFormat="1" applyFont="1" applyFill="1" applyBorder="1" applyAlignment="1" applyProtection="1">
      <alignment horizontal="center" vertical="center" wrapText="1"/>
    </xf>
    <xf numFmtId="0" fontId="55" fillId="71" borderId="131" xfId="5" applyFont="1" applyFill="1" applyBorder="1" applyAlignment="1" applyProtection="1">
      <alignment vertical="center"/>
      <protection locked="0"/>
    </xf>
    <xf numFmtId="167" fontId="55" fillId="71" borderId="131" xfId="5" applyNumberFormat="1" applyFont="1" applyFill="1" applyBorder="1" applyAlignment="1" applyProtection="1">
      <alignment horizontal="center" vertical="center"/>
      <protection locked="0"/>
    </xf>
    <xf numFmtId="167" fontId="186" fillId="71" borderId="131" xfId="0" applyNumberFormat="1" applyFont="1" applyFill="1" applyBorder="1" applyAlignment="1" applyProtection="1">
      <alignment horizontal="center" vertical="center"/>
      <protection locked="0"/>
    </xf>
    <xf numFmtId="0" fontId="186" fillId="71" borderId="131" xfId="0" applyFont="1" applyFill="1" applyBorder="1" applyAlignment="1" applyProtection="1">
      <alignment horizontal="center" vertical="center"/>
      <protection locked="0"/>
    </xf>
    <xf numFmtId="1" fontId="186" fillId="71" borderId="131" xfId="0" applyNumberFormat="1" applyFont="1" applyFill="1" applyBorder="1" applyAlignment="1" applyProtection="1">
      <alignment horizontal="center" vertical="center"/>
    </xf>
    <xf numFmtId="167" fontId="186" fillId="71" borderId="131" xfId="0" applyNumberFormat="1" applyFont="1" applyFill="1" applyBorder="1" applyAlignment="1" applyProtection="1">
      <alignment horizontal="center" vertical="center"/>
    </xf>
    <xf numFmtId="167" fontId="186" fillId="71" borderId="187" xfId="0" applyNumberFormat="1" applyFont="1" applyFill="1" applyBorder="1" applyAlignment="1" applyProtection="1">
      <alignment horizontal="center" vertical="center"/>
    </xf>
    <xf numFmtId="0" fontId="186" fillId="71" borderId="47" xfId="0" applyFont="1" applyFill="1" applyBorder="1" applyAlignment="1" applyProtection="1">
      <alignment vertical="center" wrapText="1"/>
      <protection locked="0"/>
    </xf>
    <xf numFmtId="169" fontId="186" fillId="71" borderId="7" xfId="0" applyNumberFormat="1" applyFont="1" applyFill="1" applyBorder="1" applyAlignment="1" applyProtection="1">
      <alignment vertical="center"/>
    </xf>
    <xf numFmtId="169" fontId="186" fillId="71" borderId="2" xfId="0" applyNumberFormat="1" applyFont="1" applyFill="1" applyBorder="1" applyAlignment="1" applyProtection="1">
      <alignment vertical="center"/>
    </xf>
    <xf numFmtId="169" fontId="55" fillId="71" borderId="2" xfId="5" applyNumberFormat="1" applyFont="1" applyFill="1" applyBorder="1" applyAlignment="1" applyProtection="1">
      <alignment vertical="center"/>
    </xf>
    <xf numFmtId="0" fontId="186" fillId="71" borderId="2" xfId="0" applyFont="1" applyFill="1" applyBorder="1" applyAlignment="1" applyProtection="1">
      <alignment vertical="center"/>
    </xf>
    <xf numFmtId="187" fontId="55" fillId="61" borderId="188" xfId="5" applyNumberFormat="1" applyFont="1" applyFill="1" applyBorder="1" applyAlignment="1" applyProtection="1">
      <alignment horizontal="left" vertical="center"/>
    </xf>
    <xf numFmtId="0" fontId="212" fillId="0" borderId="0" xfId="5" applyFont="1"/>
    <xf numFmtId="0" fontId="164" fillId="0" borderId="177" xfId="0" applyFont="1" applyFill="1" applyBorder="1" applyAlignment="1">
      <alignment vertical="center"/>
    </xf>
    <xf numFmtId="167" fontId="55" fillId="65" borderId="6" xfId="5" applyNumberFormat="1" applyFont="1" applyFill="1" applyBorder="1" applyAlignment="1" applyProtection="1">
      <alignment horizontal="center" vertical="center" wrapText="1"/>
    </xf>
    <xf numFmtId="167" fontId="55" fillId="72" borderId="6" xfId="5" applyNumberFormat="1" applyFont="1" applyFill="1" applyBorder="1" applyAlignment="1" applyProtection="1">
      <alignment horizontal="center" vertical="center" wrapText="1"/>
    </xf>
    <xf numFmtId="0" fontId="69" fillId="43" borderId="2" xfId="5" applyFill="1" applyBorder="1" applyAlignment="1" applyProtection="1">
      <alignment horizontal="center"/>
      <protection locked="0"/>
    </xf>
    <xf numFmtId="0" fontId="55" fillId="43" borderId="189" xfId="5" applyFont="1" applyFill="1" applyBorder="1" applyAlignment="1" applyProtection="1">
      <alignment horizontal="left" vertical="center"/>
      <protection locked="0"/>
    </xf>
    <xf numFmtId="187" fontId="55" fillId="43" borderId="189" xfId="5" applyNumberFormat="1" applyFont="1" applyFill="1" applyBorder="1" applyAlignment="1" applyProtection="1">
      <alignment horizontal="left" vertical="center"/>
      <protection locked="0"/>
    </xf>
    <xf numFmtId="0" fontId="55" fillId="43" borderId="189" xfId="5" applyFont="1" applyFill="1" applyBorder="1" applyAlignment="1" applyProtection="1">
      <alignment horizontal="center" vertical="center"/>
      <protection locked="0"/>
    </xf>
    <xf numFmtId="0" fontId="55" fillId="43" borderId="189" xfId="5" applyFont="1" applyFill="1" applyBorder="1" applyAlignment="1" applyProtection="1">
      <alignment vertical="center"/>
      <protection locked="0"/>
    </xf>
    <xf numFmtId="167" fontId="55" fillId="43" borderId="189" xfId="5" applyNumberFormat="1" applyFont="1" applyFill="1" applyBorder="1" applyAlignment="1" applyProtection="1">
      <alignment horizontal="center" vertical="center"/>
      <protection locked="0"/>
    </xf>
    <xf numFmtId="167" fontId="186" fillId="43" borderId="189" xfId="0" applyNumberFormat="1" applyFont="1" applyFill="1" applyBorder="1" applyAlignment="1" applyProtection="1">
      <alignment horizontal="center" vertical="center"/>
      <protection locked="0"/>
    </xf>
    <xf numFmtId="0" fontId="186" fillId="43" borderId="189" xfId="0" applyFont="1" applyFill="1" applyBorder="1" applyAlignment="1" applyProtection="1">
      <alignment horizontal="center" vertical="center"/>
      <protection locked="0"/>
    </xf>
    <xf numFmtId="0" fontId="55" fillId="43" borderId="191" xfId="5" applyFont="1" applyFill="1" applyBorder="1" applyAlignment="1" applyProtection="1">
      <alignment vertical="center" wrapText="1"/>
      <protection locked="0"/>
    </xf>
    <xf numFmtId="169" fontId="186" fillId="34" borderId="7" xfId="0" applyNumberFormat="1" applyFont="1" applyFill="1" applyBorder="1" applyAlignment="1" applyProtection="1">
      <alignment vertical="center"/>
    </xf>
    <xf numFmtId="169" fontId="186" fillId="34" borderId="2" xfId="0" applyNumberFormat="1" applyFont="1" applyFill="1" applyBorder="1" applyAlignment="1" applyProtection="1">
      <alignment vertical="center"/>
    </xf>
    <xf numFmtId="169" fontId="55" fillId="34" borderId="2" xfId="5" applyNumberFormat="1" applyFont="1" applyFill="1" applyBorder="1" applyAlignment="1" applyProtection="1">
      <alignment vertical="center"/>
    </xf>
    <xf numFmtId="0" fontId="186" fillId="34" borderId="2" xfId="0" applyFont="1" applyFill="1" applyBorder="1" applyAlignment="1" applyProtection="1">
      <alignment vertical="center"/>
    </xf>
    <xf numFmtId="167" fontId="186" fillId="34" borderId="189" xfId="0" applyNumberFormat="1" applyFont="1" applyFill="1" applyBorder="1" applyAlignment="1" applyProtection="1">
      <alignment horizontal="center" vertical="center"/>
    </xf>
    <xf numFmtId="1" fontId="186" fillId="34" borderId="189" xfId="0" applyNumberFormat="1" applyFont="1" applyFill="1" applyBorder="1" applyAlignment="1" applyProtection="1">
      <alignment horizontal="center" vertical="center"/>
    </xf>
    <xf numFmtId="167" fontId="213" fillId="34" borderId="189" xfId="0" applyNumberFormat="1" applyFont="1" applyFill="1" applyBorder="1" applyAlignment="1" applyProtection="1">
      <alignment horizontal="center" vertical="center"/>
    </xf>
    <xf numFmtId="167" fontId="194" fillId="34" borderId="190" xfId="0" applyNumberFormat="1" applyFont="1" applyFill="1" applyBorder="1" applyAlignment="1" applyProtection="1">
      <alignment horizontal="center" vertical="center"/>
    </xf>
    <xf numFmtId="0" fontId="79" fillId="0" borderId="76" xfId="5" applyFont="1" applyBorder="1" applyAlignment="1">
      <alignment horizontal="center" vertical="center" wrapText="1"/>
    </xf>
    <xf numFmtId="0" fontId="79" fillId="0" borderId="77" xfId="5" applyFont="1" applyBorder="1" applyAlignment="1">
      <alignment horizontal="center" vertical="center" wrapText="1"/>
    </xf>
    <xf numFmtId="0" fontId="79" fillId="0" borderId="120" xfId="5" applyFont="1" applyBorder="1" applyAlignment="1">
      <alignment horizontal="center" vertical="center" wrapText="1"/>
    </xf>
    <xf numFmtId="0" fontId="79" fillId="0" borderId="121" xfId="5" applyFont="1" applyBorder="1" applyAlignment="1">
      <alignment horizontal="center" vertical="center" wrapText="1"/>
    </xf>
    <xf numFmtId="0" fontId="79" fillId="43" borderId="2" xfId="5" applyFont="1" applyFill="1" applyBorder="1" applyAlignment="1" applyProtection="1">
      <alignment horizontal="center"/>
      <protection locked="0"/>
    </xf>
    <xf numFmtId="0" fontId="55" fillId="19" borderId="7" xfId="5" applyFont="1" applyFill="1" applyBorder="1"/>
    <xf numFmtId="0" fontId="214" fillId="0" borderId="0" xfId="0" applyFont="1" applyAlignment="1">
      <alignment vertical="center"/>
    </xf>
    <xf numFmtId="0" fontId="0" fillId="0" borderId="5" xfId="0" applyBorder="1"/>
    <xf numFmtId="0" fontId="55" fillId="0" borderId="192" xfId="0" applyFont="1" applyFill="1" applyBorder="1" applyAlignment="1" applyProtection="1">
      <protection locked="0"/>
    </xf>
    <xf numFmtId="0" fontId="55" fillId="0" borderId="193" xfId="0" applyFont="1" applyFill="1" applyBorder="1" applyAlignment="1" applyProtection="1">
      <protection locked="0"/>
    </xf>
    <xf numFmtId="0" fontId="55" fillId="0" borderId="194" xfId="0" applyFont="1" applyFill="1" applyBorder="1" applyAlignment="1" applyProtection="1">
      <protection locked="0"/>
    </xf>
    <xf numFmtId="0" fontId="119" fillId="0" borderId="65" xfId="0" applyFont="1" applyFill="1" applyBorder="1" applyAlignment="1" applyProtection="1">
      <protection locked="0"/>
    </xf>
    <xf numFmtId="0" fontId="55" fillId="0" borderId="0" xfId="0" applyFont="1" applyFill="1" applyBorder="1" applyAlignment="1" applyProtection="1">
      <alignment horizontal="center"/>
      <protection locked="0"/>
    </xf>
    <xf numFmtId="0" fontId="55" fillId="43" borderId="107" xfId="0" applyFont="1" applyFill="1" applyBorder="1" applyAlignment="1" applyProtection="1">
      <alignment horizontal="center"/>
      <protection locked="0"/>
    </xf>
    <xf numFmtId="0" fontId="79" fillId="34" borderId="47" xfId="0" applyFont="1" applyFill="1" applyBorder="1" applyAlignment="1" applyProtection="1"/>
    <xf numFmtId="0" fontId="79" fillId="34" borderId="46" xfId="0" applyFont="1" applyFill="1" applyBorder="1" applyAlignment="1" applyProtection="1">
      <alignment horizontal="center"/>
    </xf>
    <xf numFmtId="0" fontId="55" fillId="43" borderId="8" xfId="0" applyFont="1" applyFill="1" applyBorder="1" applyAlignment="1" applyProtection="1">
      <alignment horizontal="center"/>
      <protection locked="0"/>
    </xf>
    <xf numFmtId="185" fontId="55" fillId="43" borderId="1" xfId="0" applyNumberFormat="1" applyFont="1" applyFill="1" applyBorder="1" applyAlignment="1" applyProtection="1">
      <alignment horizontal="right" vertical="center"/>
      <protection locked="0"/>
    </xf>
    <xf numFmtId="185" fontId="55" fillId="43" borderId="192" xfId="0" applyNumberFormat="1" applyFont="1" applyFill="1" applyBorder="1" applyAlignment="1" applyProtection="1">
      <alignment horizontal="right" vertical="center"/>
      <protection locked="0"/>
    </xf>
    <xf numFmtId="185" fontId="55" fillId="43" borderId="107" xfId="0" applyNumberFormat="1" applyFont="1" applyFill="1" applyBorder="1" applyAlignment="1" applyProtection="1">
      <alignment horizontal="left" vertical="center"/>
      <protection locked="0"/>
    </xf>
    <xf numFmtId="185" fontId="55" fillId="43" borderId="8" xfId="0" applyNumberFormat="1" applyFont="1" applyFill="1" applyBorder="1" applyAlignment="1" applyProtection="1">
      <alignment horizontal="left" vertical="center"/>
      <protection locked="0"/>
    </xf>
    <xf numFmtId="0" fontId="55" fillId="0" borderId="103" xfId="0" applyFont="1" applyFill="1" applyBorder="1" applyAlignment="1" applyProtection="1">
      <alignment horizontal="right"/>
      <protection locked="0"/>
    </xf>
    <xf numFmtId="0" fontId="55" fillId="43" borderId="3" xfId="0" applyFont="1" applyFill="1" applyBorder="1" applyAlignment="1" applyProtection="1">
      <protection locked="0"/>
    </xf>
    <xf numFmtId="0" fontId="55" fillId="0" borderId="8" xfId="5" applyFont="1" applyBorder="1" applyProtection="1">
      <protection locked="0"/>
    </xf>
    <xf numFmtId="0" fontId="69" fillId="0" borderId="103" xfId="5" applyBorder="1" applyAlignment="1">
      <alignment horizontal="left"/>
    </xf>
    <xf numFmtId="0" fontId="69" fillId="0" borderId="2" xfId="5" applyBorder="1" applyAlignment="1">
      <alignment horizontal="left"/>
    </xf>
    <xf numFmtId="0" fontId="69" fillId="0" borderId="2" xfId="5" applyBorder="1" applyAlignment="1">
      <alignment horizontal="center"/>
    </xf>
    <xf numFmtId="0" fontId="112" fillId="0" borderId="2" xfId="0" applyFont="1" applyBorder="1"/>
    <xf numFmtId="0" fontId="55" fillId="0" borderId="7" xfId="5" applyFont="1" applyBorder="1"/>
    <xf numFmtId="0" fontId="189" fillId="0" borderId="0" xfId="0" applyFont="1" applyBorder="1"/>
    <xf numFmtId="0" fontId="55" fillId="0" borderId="107" xfId="5" applyFont="1" applyBorder="1" applyProtection="1">
      <protection locked="0"/>
    </xf>
    <xf numFmtId="0" fontId="215" fillId="0" borderId="0" xfId="0" applyFont="1" applyBorder="1" applyAlignment="1">
      <alignment horizontal="right"/>
    </xf>
    <xf numFmtId="167" fontId="55" fillId="34" borderId="106" xfId="5" applyNumberFormat="1" applyFont="1" applyFill="1" applyBorder="1" applyAlignment="1" applyProtection="1">
      <alignment vertical="center"/>
    </xf>
    <xf numFmtId="0" fontId="79" fillId="37" borderId="92" xfId="5" applyFont="1" applyFill="1" applyBorder="1"/>
    <xf numFmtId="0" fontId="79" fillId="37" borderId="167" xfId="5" applyFont="1" applyFill="1" applyBorder="1"/>
    <xf numFmtId="0" fontId="216" fillId="0" borderId="0" xfId="0" applyFont="1" applyAlignment="1">
      <alignment horizontal="left" vertical="center" indent="15"/>
    </xf>
    <xf numFmtId="0" fontId="216" fillId="0" borderId="0" xfId="0" applyFont="1" applyAlignment="1">
      <alignment vertical="center"/>
    </xf>
    <xf numFmtId="0" fontId="217" fillId="0" borderId="0" xfId="0" applyFont="1" applyAlignment="1">
      <alignment horizontal="left" vertical="center" indent="15"/>
    </xf>
    <xf numFmtId="0" fontId="217" fillId="0" borderId="0" xfId="0" applyFont="1" applyAlignment="1">
      <alignment vertical="center"/>
    </xf>
    <xf numFmtId="181" fontId="69" fillId="0" borderId="0" xfId="5" applyNumberFormat="1"/>
    <xf numFmtId="0" fontId="69" fillId="37" borderId="0" xfId="5" applyFill="1"/>
    <xf numFmtId="0" fontId="69" fillId="72" borderId="0" xfId="5" applyFill="1" applyProtection="1"/>
    <xf numFmtId="182" fontId="69" fillId="72" borderId="0" xfId="5" applyNumberFormat="1" applyFill="1" applyProtection="1"/>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204" fillId="35" borderId="3" xfId="5" applyFont="1" applyFill="1" applyBorder="1"/>
    <xf numFmtId="0" fontId="4" fillId="0" borderId="14" xfId="0" applyFont="1" applyBorder="1" applyAlignment="1" applyProtection="1">
      <alignment vertical="center" shrinkToFit="1"/>
    </xf>
    <xf numFmtId="0" fontId="222" fillId="55" borderId="103" xfId="5" applyFont="1" applyFill="1" applyBorder="1"/>
    <xf numFmtId="0" fontId="221" fillId="55" borderId="103" xfId="5" applyFont="1" applyFill="1" applyBorder="1"/>
    <xf numFmtId="0" fontId="105" fillId="55" borderId="103" xfId="5" applyFont="1" applyFill="1" applyBorder="1"/>
    <xf numFmtId="0" fontId="132" fillId="43" borderId="143" xfId="6" applyFont="1" applyFill="1" applyBorder="1" applyProtection="1">
      <protection locked="0"/>
    </xf>
    <xf numFmtId="0" fontId="132" fillId="43" borderId="144" xfId="6" applyFont="1" applyFill="1" applyBorder="1" applyProtection="1">
      <protection locked="0"/>
    </xf>
    <xf numFmtId="0" fontId="132" fillId="43" borderId="123" xfId="6" applyFont="1" applyFill="1" applyBorder="1" applyProtection="1">
      <protection locked="0"/>
    </xf>
    <xf numFmtId="0" fontId="55" fillId="43" borderId="143" xfId="6" applyFont="1" applyFill="1" applyBorder="1" applyProtection="1">
      <protection locked="0"/>
    </xf>
    <xf numFmtId="179" fontId="55" fillId="62" borderId="198" xfId="6" applyNumberFormat="1" applyFont="1" applyFill="1" applyBorder="1" applyAlignment="1" applyProtection="1">
      <alignment horizontal="center"/>
    </xf>
    <xf numFmtId="179" fontId="55" fillId="62" borderId="189" xfId="6" applyNumberFormat="1" applyFont="1" applyFill="1" applyBorder="1" applyAlignment="1" applyProtection="1">
      <alignment horizontal="center"/>
    </xf>
    <xf numFmtId="179" fontId="55" fillId="62" borderId="199" xfId="6" applyNumberFormat="1" applyFont="1" applyFill="1" applyBorder="1" applyAlignment="1" applyProtection="1">
      <alignment horizontal="center"/>
    </xf>
    <xf numFmtId="180" fontId="186" fillId="61" borderId="200" xfId="6" applyNumberFormat="1" applyFont="1" applyFill="1" applyBorder="1" applyProtection="1"/>
    <xf numFmtId="0" fontId="186" fillId="61" borderId="194" xfId="6" applyFont="1" applyFill="1" applyBorder="1" applyAlignment="1" applyProtection="1">
      <alignment horizontal="center"/>
    </xf>
    <xf numFmtId="0" fontId="186" fillId="43" borderId="201" xfId="6" applyFont="1" applyFill="1" applyBorder="1" applyAlignment="1" applyProtection="1">
      <alignment horizontal="center" vertical="center"/>
      <protection locked="0"/>
    </xf>
    <xf numFmtId="0" fontId="186" fillId="61" borderId="193" xfId="6" applyFont="1" applyFill="1" applyBorder="1" applyProtection="1"/>
    <xf numFmtId="0" fontId="186" fillId="61" borderId="202" xfId="6" applyFont="1" applyFill="1" applyBorder="1" applyAlignment="1" applyProtection="1">
      <alignment horizontal="left"/>
    </xf>
    <xf numFmtId="180" fontId="186" fillId="61" borderId="144" xfId="6" applyNumberFormat="1" applyFont="1" applyFill="1" applyBorder="1" applyProtection="1"/>
    <xf numFmtId="180" fontId="186" fillId="61" borderId="119" xfId="6" applyNumberFormat="1" applyFont="1" applyFill="1" applyBorder="1" applyProtection="1"/>
    <xf numFmtId="0" fontId="55" fillId="43" borderId="47" xfId="5" applyFont="1" applyFill="1" applyBorder="1"/>
    <xf numFmtId="0" fontId="55" fillId="43" borderId="67" xfId="6" applyFont="1" applyFill="1" applyBorder="1" applyProtection="1"/>
    <xf numFmtId="0" fontId="55" fillId="43" borderId="73" xfId="6" applyFont="1" applyFill="1" applyBorder="1" applyProtection="1"/>
    <xf numFmtId="0" fontId="55" fillId="43" borderId="91" xfId="6" applyFont="1" applyFill="1" applyBorder="1" applyProtection="1"/>
    <xf numFmtId="0" fontId="55" fillId="43" borderId="79" xfId="6" applyFont="1" applyFill="1" applyBorder="1" applyProtection="1"/>
    <xf numFmtId="0" fontId="196" fillId="49" borderId="0" xfId="6" applyFont="1" applyFill="1" applyBorder="1" applyProtection="1"/>
    <xf numFmtId="0" fontId="132" fillId="43" borderId="144" xfId="6" quotePrefix="1" applyFont="1" applyFill="1" applyBorder="1" applyProtection="1">
      <protection locked="0"/>
    </xf>
    <xf numFmtId="0" fontId="55" fillId="43" borderId="145" xfId="6" applyFont="1" applyFill="1" applyBorder="1" applyProtection="1"/>
    <xf numFmtId="0" fontId="223" fillId="0" borderId="0" xfId="0" applyFont="1"/>
    <xf numFmtId="2" fontId="120" fillId="0" borderId="0" xfId="5" applyNumberFormat="1" applyFont="1" applyBorder="1" applyAlignment="1">
      <alignment horizontal="center" vertical="center"/>
    </xf>
    <xf numFmtId="2" fontId="143" fillId="73" borderId="124" xfId="5" applyNumberFormat="1" applyFont="1" applyFill="1" applyBorder="1" applyAlignment="1">
      <alignment horizontal="center" vertical="center"/>
    </xf>
    <xf numFmtId="2" fontId="143" fillId="73" borderId="92" xfId="5" applyNumberFormat="1" applyFont="1" applyFill="1" applyBorder="1" applyAlignment="1">
      <alignment horizontal="center" vertical="center"/>
    </xf>
    <xf numFmtId="2" fontId="143" fillId="74" borderId="167" xfId="5" applyNumberFormat="1" applyFont="1" applyFill="1" applyBorder="1" applyAlignment="1">
      <alignment horizontal="center" vertical="center"/>
    </xf>
    <xf numFmtId="2" fontId="120" fillId="0" borderId="205" xfId="5" applyNumberFormat="1" applyFont="1" applyBorder="1" applyAlignment="1">
      <alignment horizontal="center" vertical="center"/>
    </xf>
    <xf numFmtId="2" fontId="120" fillId="30" borderId="96" xfId="5" applyNumberFormat="1" applyFont="1" applyFill="1" applyBorder="1" applyAlignment="1">
      <alignment horizontal="center" vertical="center"/>
    </xf>
    <xf numFmtId="2" fontId="120" fillId="0" borderId="96" xfId="5" applyNumberFormat="1" applyFont="1" applyBorder="1" applyAlignment="1">
      <alignment horizontal="center" vertical="center"/>
    </xf>
    <xf numFmtId="2" fontId="120" fillId="30" borderId="96" xfId="5" applyNumberFormat="1" applyFont="1" applyFill="1" applyBorder="1"/>
    <xf numFmtId="2" fontId="120" fillId="35" borderId="96" xfId="5" applyNumberFormat="1" applyFont="1" applyFill="1" applyBorder="1"/>
    <xf numFmtId="2" fontId="120" fillId="35" borderId="98" xfId="5" applyNumberFormat="1" applyFont="1" applyFill="1" applyBorder="1"/>
    <xf numFmtId="2" fontId="120" fillId="30" borderId="76" xfId="5" applyNumberFormat="1" applyFont="1" applyFill="1" applyBorder="1" applyAlignment="1">
      <alignment horizontal="center" vertical="center"/>
    </xf>
    <xf numFmtId="2" fontId="120" fillId="0" borderId="77" xfId="5" applyNumberFormat="1" applyFont="1" applyBorder="1" applyAlignment="1">
      <alignment horizontal="center" vertical="center"/>
    </xf>
    <xf numFmtId="2" fontId="120" fillId="30" borderId="77" xfId="5" applyNumberFormat="1" applyFont="1" applyFill="1" applyBorder="1" applyAlignment="1">
      <alignment horizontal="center" vertical="center"/>
    </xf>
    <xf numFmtId="2" fontId="120" fillId="30" borderId="127" xfId="5" applyNumberFormat="1" applyFont="1" applyFill="1" applyBorder="1" applyAlignment="1">
      <alignment horizontal="center" vertical="center"/>
    </xf>
    <xf numFmtId="2" fontId="120" fillId="30" borderId="103" xfId="5" applyNumberFormat="1" applyFont="1" applyFill="1" applyBorder="1" applyAlignment="1">
      <alignment horizontal="center" vertical="center"/>
    </xf>
    <xf numFmtId="2" fontId="120" fillId="30" borderId="104" xfId="5" applyNumberFormat="1" applyFont="1" applyFill="1" applyBorder="1" applyAlignment="1">
      <alignment horizontal="center" vertical="center"/>
    </xf>
    <xf numFmtId="2" fontId="120" fillId="30" borderId="128" xfId="5" applyNumberFormat="1" applyFont="1" applyFill="1" applyBorder="1" applyAlignment="1">
      <alignment horizontal="center" vertical="center"/>
    </xf>
    <xf numFmtId="2" fontId="120" fillId="35" borderId="100" xfId="5" applyNumberFormat="1" applyFont="1" applyFill="1" applyBorder="1" applyAlignment="1">
      <alignment horizontal="center" vertical="center"/>
    </xf>
    <xf numFmtId="2" fontId="120" fillId="30" borderId="100" xfId="5" applyNumberFormat="1" applyFont="1" applyFill="1" applyBorder="1" applyAlignment="1">
      <alignment horizontal="center" vertical="center"/>
    </xf>
    <xf numFmtId="2" fontId="120" fillId="30" borderId="129" xfId="5" applyNumberFormat="1" applyFont="1" applyFill="1" applyBorder="1" applyAlignment="1">
      <alignment horizontal="center" vertical="center"/>
    </xf>
    <xf numFmtId="2" fontId="143" fillId="74" borderId="93" xfId="5" applyNumberFormat="1" applyFont="1" applyFill="1" applyBorder="1" applyAlignment="1">
      <alignment horizontal="center" vertical="center"/>
    </xf>
    <xf numFmtId="2" fontId="120" fillId="0" borderId="76" xfId="5" applyNumberFormat="1" applyFont="1" applyBorder="1" applyAlignment="1">
      <alignment horizontal="center" vertical="center"/>
    </xf>
    <xf numFmtId="2" fontId="120" fillId="35" borderId="77" xfId="5" applyNumberFormat="1" applyFont="1" applyFill="1" applyBorder="1" applyAlignment="1">
      <alignment horizontal="center" vertical="center"/>
    </xf>
    <xf numFmtId="2" fontId="120" fillId="0" borderId="127" xfId="5" applyNumberFormat="1" applyFont="1" applyBorder="1" applyAlignment="1">
      <alignment horizontal="center" vertical="center"/>
    </xf>
    <xf numFmtId="2" fontId="120" fillId="0" borderId="103" xfId="5" applyNumberFormat="1" applyFont="1" applyBorder="1" applyAlignment="1">
      <alignment horizontal="center" vertical="center"/>
    </xf>
    <xf numFmtId="2" fontId="120" fillId="0" borderId="104" xfId="5" applyNumberFormat="1" applyFont="1" applyBorder="1" applyAlignment="1">
      <alignment horizontal="center" vertical="center"/>
    </xf>
    <xf numFmtId="2" fontId="120" fillId="35" borderId="103" xfId="5" applyNumberFormat="1" applyFont="1" applyFill="1" applyBorder="1" applyAlignment="1">
      <alignment horizontal="center" vertical="center"/>
    </xf>
    <xf numFmtId="2" fontId="120" fillId="35" borderId="104" xfId="5" applyNumberFormat="1" applyFont="1" applyFill="1" applyBorder="1" applyAlignment="1">
      <alignment horizontal="center" vertical="center"/>
    </xf>
    <xf numFmtId="2" fontId="120" fillId="35" borderId="128" xfId="5" applyNumberFormat="1" applyFont="1" applyFill="1" applyBorder="1" applyAlignment="1">
      <alignment horizontal="center" vertical="center"/>
    </xf>
    <xf numFmtId="2" fontId="120" fillId="35" borderId="129" xfId="5" applyNumberFormat="1" applyFont="1" applyFill="1" applyBorder="1" applyAlignment="1">
      <alignment horizontal="center" vertical="center"/>
    </xf>
    <xf numFmtId="2" fontId="69" fillId="0" borderId="0" xfId="5" applyNumberFormat="1" applyFill="1"/>
    <xf numFmtId="0" fontId="104" fillId="0" borderId="0" xfId="5" applyFont="1"/>
    <xf numFmtId="0" fontId="224" fillId="55" borderId="2" xfId="0" applyFont="1" applyFill="1" applyBorder="1" applyAlignment="1">
      <alignment horizontal="left" vertical="center"/>
    </xf>
    <xf numFmtId="0" fontId="55" fillId="35" borderId="2" xfId="5" applyFont="1" applyFill="1" applyBorder="1"/>
    <xf numFmtId="0" fontId="225" fillId="0" borderId="0" xfId="0" applyFont="1" applyAlignment="1">
      <alignment vertical="center"/>
    </xf>
    <xf numFmtId="0" fontId="55" fillId="35" borderId="0" xfId="5" applyFont="1" applyFill="1"/>
    <xf numFmtId="0" fontId="55" fillId="27" borderId="2" xfId="5" applyFont="1" applyFill="1" applyBorder="1" applyAlignment="1" applyProtection="1">
      <alignment wrapText="1"/>
    </xf>
    <xf numFmtId="0" fontId="55" fillId="75" borderId="2" xfId="5" applyFont="1" applyFill="1" applyBorder="1" applyAlignment="1" applyProtection="1">
      <alignment wrapText="1"/>
    </xf>
    <xf numFmtId="0" fontId="55" fillId="0" borderId="2" xfId="5" applyFont="1" applyFill="1" applyBorder="1" applyAlignment="1" applyProtection="1">
      <alignment wrapText="1"/>
    </xf>
    <xf numFmtId="0" fontId="55" fillId="34" borderId="2" xfId="5" applyFont="1" applyFill="1" applyBorder="1" applyAlignment="1">
      <alignment wrapText="1"/>
    </xf>
    <xf numFmtId="0" fontId="69" fillId="34" borderId="2" xfId="5" applyFill="1" applyBorder="1" applyAlignment="1" applyProtection="1">
      <alignment vertical="center"/>
    </xf>
    <xf numFmtId="0" fontId="55" fillId="27" borderId="7" xfId="5" applyFont="1" applyFill="1" applyBorder="1" applyAlignment="1" applyProtection="1">
      <alignment vertical="center"/>
    </xf>
    <xf numFmtId="0" fontId="55" fillId="75" borderId="3" xfId="5" applyFont="1" applyFill="1" applyBorder="1" applyAlignment="1" applyProtection="1">
      <alignment vertical="center"/>
    </xf>
    <xf numFmtId="0" fontId="79" fillId="0" borderId="7" xfId="5" applyFont="1" applyFill="1" applyBorder="1" applyAlignment="1" applyProtection="1">
      <alignment vertical="center"/>
    </xf>
    <xf numFmtId="2" fontId="69" fillId="27" borderId="2" xfId="5" applyNumberFormat="1" applyFill="1" applyBorder="1" applyAlignment="1" applyProtection="1">
      <alignment vertical="center"/>
    </xf>
    <xf numFmtId="1" fontId="69" fillId="27" borderId="2" xfId="5" applyNumberFormat="1" applyFill="1" applyBorder="1" applyAlignment="1" applyProtection="1">
      <alignment vertical="center"/>
    </xf>
    <xf numFmtId="0" fontId="69" fillId="0" borderId="2" xfId="5" applyFill="1" applyBorder="1" applyAlignment="1" applyProtection="1">
      <alignment wrapText="1"/>
    </xf>
    <xf numFmtId="0" fontId="55" fillId="0" borderId="2" xfId="5" quotePrefix="1" applyFont="1" applyFill="1" applyBorder="1" applyAlignment="1" applyProtection="1">
      <alignment vertical="center"/>
    </xf>
    <xf numFmtId="0" fontId="55" fillId="0" borderId="22" xfId="5" applyFont="1" applyFill="1" applyBorder="1" applyAlignment="1" applyProtection="1">
      <alignment wrapText="1"/>
    </xf>
    <xf numFmtId="0" fontId="55" fillId="0" borderId="22" xfId="5" applyFont="1" applyFill="1" applyBorder="1" applyAlignment="1" applyProtection="1">
      <alignment vertical="center"/>
    </xf>
    <xf numFmtId="0" fontId="69" fillId="0" borderId="2" xfId="5" applyFill="1" applyBorder="1" applyAlignment="1" applyProtection="1">
      <alignment vertical="center"/>
    </xf>
    <xf numFmtId="0" fontId="79" fillId="75" borderId="2" xfId="5" applyFont="1" applyFill="1" applyBorder="1" applyAlignment="1" applyProtection="1">
      <alignment wrapText="1"/>
    </xf>
    <xf numFmtId="1" fontId="79" fillId="75" borderId="2" xfId="5" applyNumberFormat="1" applyFont="1" applyFill="1" applyBorder="1" applyAlignment="1" applyProtection="1">
      <alignment vertical="center"/>
      <protection locked="0"/>
    </xf>
    <xf numFmtId="0" fontId="79" fillId="75" borderId="3" xfId="5" applyFont="1" applyFill="1" applyBorder="1" applyAlignment="1" applyProtection="1">
      <alignment vertical="center"/>
    </xf>
    <xf numFmtId="0" fontId="79" fillId="34" borderId="2" xfId="5" applyFont="1" applyFill="1" applyBorder="1" applyAlignment="1">
      <alignment wrapText="1"/>
    </xf>
    <xf numFmtId="1" fontId="79" fillId="34" borderId="2" xfId="5" applyNumberFormat="1" applyFont="1" applyFill="1" applyBorder="1" applyAlignment="1">
      <alignment vertical="center"/>
    </xf>
    <xf numFmtId="0" fontId="79" fillId="34" borderId="2" xfId="5" applyFont="1" applyFill="1" applyBorder="1" applyAlignment="1">
      <alignment vertical="center"/>
    </xf>
    <xf numFmtId="188" fontId="69" fillId="35" borderId="0" xfId="5" applyNumberFormat="1" applyFill="1"/>
    <xf numFmtId="0" fontId="0" fillId="0" borderId="0" xfId="0" applyAlignment="1">
      <alignment horizontal="center"/>
    </xf>
    <xf numFmtId="0" fontId="79" fillId="0" borderId="107" xfId="0" applyFont="1" applyBorder="1" applyAlignment="1">
      <alignment horizontal="center"/>
    </xf>
    <xf numFmtId="0" fontId="0" fillId="0" borderId="8" xfId="0" applyBorder="1" applyAlignment="1">
      <alignment horizontal="center"/>
    </xf>
    <xf numFmtId="0" fontId="69" fillId="35" borderId="193" xfId="5" applyFill="1" applyBorder="1"/>
    <xf numFmtId="0" fontId="69" fillId="35" borderId="0" xfId="5" applyFill="1" applyAlignment="1">
      <alignment wrapText="1"/>
    </xf>
    <xf numFmtId="0" fontId="104" fillId="35" borderId="0" xfId="5" applyFont="1" applyFill="1" applyAlignment="1">
      <alignment wrapText="1"/>
    </xf>
    <xf numFmtId="0" fontId="69" fillId="35" borderId="1" xfId="5" applyFill="1" applyBorder="1" applyAlignment="1">
      <alignment wrapText="1"/>
    </xf>
    <xf numFmtId="0" fontId="55" fillId="35" borderId="1" xfId="5" applyFont="1" applyFill="1" applyBorder="1" applyAlignment="1">
      <alignment wrapText="1"/>
    </xf>
    <xf numFmtId="0" fontId="69" fillId="35" borderId="2" xfId="5" applyFill="1" applyBorder="1" applyAlignment="1">
      <alignment wrapText="1"/>
    </xf>
    <xf numFmtId="0" fontId="55" fillId="35" borderId="0" xfId="5" quotePrefix="1" applyFont="1" applyFill="1" applyAlignment="1">
      <alignment wrapText="1"/>
    </xf>
    <xf numFmtId="0" fontId="0" fillId="0" borderId="5" xfId="0" applyBorder="1" applyAlignment="1">
      <alignment wrapText="1"/>
    </xf>
    <xf numFmtId="0" fontId="0" fillId="0" borderId="192" xfId="0" applyBorder="1" applyAlignment="1">
      <alignment wrapText="1"/>
    </xf>
    <xf numFmtId="0" fontId="0" fillId="0" borderId="1" xfId="0" applyBorder="1" applyAlignment="1">
      <alignment wrapText="1"/>
    </xf>
    <xf numFmtId="0" fontId="0" fillId="0" borderId="0" xfId="0" applyAlignment="1">
      <alignment wrapText="1"/>
    </xf>
    <xf numFmtId="0" fontId="79" fillId="0" borderId="2" xfId="0" applyFont="1" applyBorder="1" applyAlignment="1">
      <alignment wrapText="1"/>
    </xf>
    <xf numFmtId="0" fontId="0" fillId="0" borderId="2" xfId="0" applyBorder="1" applyAlignment="1">
      <alignment wrapText="1"/>
    </xf>
    <xf numFmtId="0" fontId="0" fillId="0" borderId="6" xfId="0" applyBorder="1" applyAlignment="1">
      <alignment wrapText="1"/>
    </xf>
    <xf numFmtId="0" fontId="79" fillId="0" borderId="0" xfId="0" applyFont="1" applyFill="1" applyBorder="1" applyAlignment="1">
      <alignment wrapText="1"/>
    </xf>
    <xf numFmtId="0" fontId="79" fillId="0" borderId="2" xfId="0" applyFont="1" applyFill="1" applyBorder="1" applyAlignment="1">
      <alignment wrapText="1"/>
    </xf>
    <xf numFmtId="0" fontId="55" fillId="35" borderId="0" xfId="5" applyFont="1" applyFill="1" applyAlignment="1">
      <alignment wrapText="1"/>
    </xf>
    <xf numFmtId="170" fontId="55" fillId="27" borderId="2" xfId="5" applyNumberFormat="1" applyFont="1" applyFill="1" applyBorder="1" applyAlignment="1" applyProtection="1">
      <alignment vertical="center"/>
    </xf>
    <xf numFmtId="0" fontId="55" fillId="27" borderId="6" xfId="5" applyFont="1" applyFill="1" applyBorder="1" applyAlignment="1" applyProtection="1">
      <alignment wrapText="1"/>
    </xf>
    <xf numFmtId="169" fontId="79" fillId="27" borderId="6" xfId="5" applyNumberFormat="1" applyFont="1" applyFill="1" applyBorder="1" applyAlignment="1" applyProtection="1">
      <alignment vertical="center"/>
    </xf>
    <xf numFmtId="0" fontId="79" fillId="27" borderId="3" xfId="5" applyFont="1" applyFill="1" applyBorder="1" applyAlignment="1" applyProtection="1">
      <alignment vertical="center"/>
    </xf>
    <xf numFmtId="0" fontId="55" fillId="34" borderId="189" xfId="5" applyFont="1" applyFill="1" applyBorder="1" applyAlignment="1">
      <alignment wrapText="1"/>
    </xf>
    <xf numFmtId="0" fontId="55" fillId="27" borderId="194" xfId="5" applyFont="1" applyFill="1" applyBorder="1" applyAlignment="1" applyProtection="1">
      <alignment vertical="center"/>
    </xf>
    <xf numFmtId="0" fontId="55" fillId="0" borderId="76" xfId="5" applyFont="1" applyFill="1" applyBorder="1" applyAlignment="1" applyProtection="1">
      <alignment wrapText="1"/>
    </xf>
    <xf numFmtId="0" fontId="55" fillId="0" borderId="79" xfId="5" applyFont="1" applyFill="1" applyBorder="1" applyAlignment="1" applyProtection="1">
      <alignment vertical="center"/>
    </xf>
    <xf numFmtId="0" fontId="55" fillId="76" borderId="103" xfId="5" applyFont="1" applyFill="1" applyBorder="1" applyAlignment="1" applyProtection="1">
      <alignment wrapText="1"/>
    </xf>
    <xf numFmtId="169" fontId="79" fillId="76" borderId="2" xfId="5" applyNumberFormat="1" applyFont="1" applyFill="1" applyBorder="1" applyAlignment="1" applyProtection="1">
      <alignment vertical="center"/>
    </xf>
    <xf numFmtId="0" fontId="79" fillId="76" borderId="106" xfId="5" applyFont="1" applyFill="1" applyBorder="1" applyAlignment="1" applyProtection="1">
      <alignment wrapText="1"/>
    </xf>
    <xf numFmtId="169" fontId="79" fillId="76" borderId="131" xfId="5" applyNumberFormat="1" applyFont="1" applyFill="1" applyBorder="1" applyAlignment="1" applyProtection="1">
      <alignment vertical="center"/>
    </xf>
    <xf numFmtId="0" fontId="55" fillId="76" borderId="47" xfId="5" applyFont="1" applyFill="1" applyBorder="1" applyAlignment="1" applyProtection="1">
      <alignment vertical="center"/>
    </xf>
    <xf numFmtId="0" fontId="55" fillId="76" borderId="73" xfId="5" applyFont="1" applyFill="1" applyBorder="1" applyAlignment="1" applyProtection="1">
      <alignment vertical="center"/>
    </xf>
    <xf numFmtId="167" fontId="79" fillId="76" borderId="2" xfId="5" applyNumberFormat="1" applyFont="1" applyFill="1" applyBorder="1" applyAlignment="1" applyProtection="1">
      <alignment vertical="center"/>
    </xf>
    <xf numFmtId="0" fontId="55" fillId="34" borderId="2" xfId="5" applyFont="1" applyFill="1" applyBorder="1" applyAlignment="1" applyProtection="1">
      <alignment wrapText="1"/>
    </xf>
    <xf numFmtId="0" fontId="79" fillId="34" borderId="193" xfId="0" applyFont="1" applyFill="1" applyBorder="1"/>
    <xf numFmtId="0" fontId="0" fillId="34" borderId="194" xfId="0" applyFill="1" applyBorder="1"/>
    <xf numFmtId="0" fontId="0" fillId="34" borderId="1" xfId="0" applyFill="1" applyBorder="1" applyAlignment="1">
      <alignment wrapText="1"/>
    </xf>
    <xf numFmtId="0" fontId="0" fillId="34" borderId="8" xfId="0" applyFill="1" applyBorder="1" applyAlignment="1">
      <alignment horizontal="center"/>
    </xf>
    <xf numFmtId="1" fontId="79" fillId="34" borderId="8" xfId="0" applyNumberFormat="1" applyFont="1" applyFill="1" applyBorder="1"/>
    <xf numFmtId="0" fontId="0" fillId="34" borderId="7" xfId="0" applyFill="1" applyBorder="1"/>
    <xf numFmtId="169" fontId="79" fillId="34" borderId="8" xfId="0" applyNumberFormat="1" applyFont="1" applyFill="1" applyBorder="1"/>
    <xf numFmtId="0" fontId="55" fillId="34" borderId="0" xfId="5" applyFont="1" applyFill="1" applyBorder="1" applyAlignment="1">
      <alignment horizontal="center" vertical="center"/>
    </xf>
    <xf numFmtId="0" fontId="55" fillId="34" borderId="193" xfId="5" applyFont="1" applyFill="1" applyBorder="1" applyAlignment="1">
      <alignment horizontal="center" vertical="center"/>
    </xf>
    <xf numFmtId="0" fontId="55" fillId="35" borderId="0" xfId="5" applyFont="1" applyFill="1" applyBorder="1" applyAlignment="1">
      <alignment horizontal="left" textRotation="90"/>
    </xf>
    <xf numFmtId="176" fontId="69" fillId="34" borderId="189" xfId="5" applyNumberFormat="1" applyFill="1" applyBorder="1" applyAlignment="1">
      <alignment vertical="center"/>
    </xf>
    <xf numFmtId="0" fontId="55" fillId="0" borderId="189" xfId="5" applyFont="1" applyFill="1" applyBorder="1" applyAlignment="1">
      <alignment wrapText="1"/>
    </xf>
    <xf numFmtId="0" fontId="55" fillId="0" borderId="194" xfId="5" applyFont="1" applyFill="1" applyBorder="1" applyAlignment="1" applyProtection="1">
      <alignment vertical="center"/>
    </xf>
    <xf numFmtId="169" fontId="69" fillId="75" borderId="2" xfId="5" applyNumberFormat="1" applyFill="1" applyBorder="1" applyAlignment="1" applyProtection="1">
      <alignment vertical="center"/>
      <protection locked="0"/>
    </xf>
    <xf numFmtId="0" fontId="0" fillId="34" borderId="2" xfId="0" applyFill="1" applyBorder="1" applyAlignment="1">
      <alignment wrapText="1"/>
    </xf>
    <xf numFmtId="167" fontId="0" fillId="34" borderId="1" xfId="0" applyNumberFormat="1" applyFill="1" applyBorder="1" applyAlignment="1">
      <alignment horizontal="center"/>
    </xf>
    <xf numFmtId="0" fontId="79" fillId="0" borderId="106" xfId="0" applyFont="1" applyBorder="1" applyAlignment="1">
      <alignment wrapText="1"/>
    </xf>
    <xf numFmtId="0" fontId="79" fillId="34" borderId="106" xfId="0" applyFont="1" applyFill="1" applyBorder="1" applyAlignment="1">
      <alignment wrapText="1"/>
    </xf>
    <xf numFmtId="167" fontId="79" fillId="34" borderId="2" xfId="0" applyNumberFormat="1" applyFont="1" applyFill="1" applyBorder="1" applyAlignment="1">
      <alignment horizontal="center"/>
    </xf>
    <xf numFmtId="0" fontId="79" fillId="34" borderId="76" xfId="0" applyFont="1" applyFill="1" applyBorder="1" applyAlignment="1">
      <alignment wrapText="1"/>
    </xf>
    <xf numFmtId="0" fontId="79" fillId="34" borderId="103" xfId="0" applyFont="1" applyFill="1" applyBorder="1" applyAlignment="1">
      <alignment wrapText="1"/>
    </xf>
    <xf numFmtId="0" fontId="0" fillId="34" borderId="104" xfId="0" applyFill="1" applyBorder="1"/>
    <xf numFmtId="0" fontId="0" fillId="34" borderId="128" xfId="0" applyFill="1" applyBorder="1" applyAlignment="1">
      <alignment wrapText="1"/>
    </xf>
    <xf numFmtId="167" fontId="79" fillId="34" borderId="100" xfId="0" applyNumberFormat="1" applyFont="1" applyFill="1" applyBorder="1" applyAlignment="1">
      <alignment horizontal="center"/>
    </xf>
    <xf numFmtId="0" fontId="0" fillId="34" borderId="129" xfId="0" applyFill="1" applyBorder="1"/>
    <xf numFmtId="0" fontId="81" fillId="34" borderId="93" xfId="5" applyFont="1" applyFill="1" applyBorder="1" applyAlignment="1">
      <alignment wrapText="1"/>
    </xf>
    <xf numFmtId="167" fontId="204" fillId="35" borderId="107" xfId="5" applyNumberFormat="1" applyFont="1" applyFill="1" applyBorder="1"/>
    <xf numFmtId="169" fontId="69" fillId="27" borderId="2" xfId="5" applyNumberFormat="1" applyFill="1" applyBorder="1" applyAlignment="1" applyProtection="1">
      <alignment vertical="center"/>
    </xf>
    <xf numFmtId="0" fontId="79" fillId="35" borderId="0" xfId="5" applyFont="1" applyFill="1" applyAlignment="1">
      <alignment horizontal="right"/>
    </xf>
    <xf numFmtId="167" fontId="69" fillId="35" borderId="0" xfId="5" applyNumberFormat="1" applyFill="1"/>
    <xf numFmtId="1" fontId="79" fillId="34" borderId="2" xfId="5" applyNumberFormat="1" applyFont="1" applyFill="1" applyBorder="1" applyAlignment="1" applyProtection="1">
      <alignment vertical="center"/>
    </xf>
    <xf numFmtId="0" fontId="79" fillId="34" borderId="7" xfId="5" applyFont="1" applyFill="1" applyBorder="1" applyAlignment="1" applyProtection="1">
      <alignment vertical="center"/>
    </xf>
    <xf numFmtId="0" fontId="0" fillId="0" borderId="6" xfId="0" applyBorder="1" applyAlignment="1" applyProtection="1">
      <alignment horizontal="center"/>
      <protection locked="0"/>
    </xf>
    <xf numFmtId="0" fontId="55" fillId="34" borderId="6" xfId="0" applyFont="1" applyFill="1" applyBorder="1" applyAlignment="1">
      <alignment wrapText="1"/>
    </xf>
    <xf numFmtId="167" fontId="159" fillId="34" borderId="94" xfId="0" applyNumberFormat="1" applyFont="1" applyFill="1" applyBorder="1" applyAlignment="1">
      <alignment horizontal="center"/>
    </xf>
    <xf numFmtId="2" fontId="159" fillId="34" borderId="47" xfId="0" applyNumberFormat="1" applyFont="1" applyFill="1" applyBorder="1" applyAlignment="1">
      <alignment horizontal="center"/>
    </xf>
    <xf numFmtId="0" fontId="55" fillId="37" borderId="0" xfId="5" applyFont="1" applyFill="1"/>
    <xf numFmtId="167" fontId="69" fillId="27" borderId="2" xfId="5" applyNumberFormat="1" applyFill="1" applyBorder="1" applyAlignment="1" applyProtection="1">
      <alignment vertical="center"/>
    </xf>
    <xf numFmtId="0" fontId="55" fillId="35" borderId="0" xfId="5" applyFont="1" applyFill="1" applyAlignment="1">
      <alignment horizontal="left"/>
    </xf>
    <xf numFmtId="1" fontId="113" fillId="27" borderId="75" xfId="5" applyNumberFormat="1" applyFont="1" applyFill="1" applyBorder="1" applyAlignment="1" applyProtection="1">
      <alignment horizontal="right"/>
    </xf>
    <xf numFmtId="1" fontId="113" fillId="27" borderId="50" xfId="5" applyNumberFormat="1" applyFont="1" applyFill="1" applyBorder="1" applyAlignment="1" applyProtection="1">
      <alignment horizontal="right"/>
    </xf>
    <xf numFmtId="1" fontId="113" fillId="27" borderId="67" xfId="5" applyNumberFormat="1" applyFont="1" applyFill="1" applyBorder="1" applyAlignment="1" applyProtection="1">
      <alignment horizontal="right"/>
    </xf>
    <xf numFmtId="0" fontId="55" fillId="43" borderId="2" xfId="5" quotePrefix="1" applyFont="1" applyFill="1" applyBorder="1" applyAlignment="1" applyProtection="1">
      <alignment vertical="center"/>
    </xf>
    <xf numFmtId="0" fontId="105" fillId="0" borderId="106" xfId="5" applyFont="1" applyBorder="1"/>
    <xf numFmtId="0" fontId="186" fillId="0" borderId="103" xfId="5" applyFont="1" applyBorder="1"/>
    <xf numFmtId="0" fontId="186" fillId="0" borderId="76" xfId="5" applyFont="1" applyBorder="1"/>
    <xf numFmtId="0" fontId="55" fillId="0" borderId="122" xfId="5" applyFont="1" applyBorder="1"/>
    <xf numFmtId="0" fontId="69" fillId="0" borderId="165" xfId="5" applyBorder="1" applyProtection="1">
      <protection locked="0"/>
    </xf>
    <xf numFmtId="169" fontId="69" fillId="19" borderId="6" xfId="5" applyNumberFormat="1" applyFill="1" applyBorder="1" applyAlignment="1" applyProtection="1">
      <alignment vertical="center"/>
      <protection locked="0"/>
    </xf>
    <xf numFmtId="0" fontId="0" fillId="0" borderId="65" xfId="0" applyBorder="1" applyAlignment="1">
      <alignment vertical="center" wrapText="1"/>
    </xf>
    <xf numFmtId="0" fontId="55" fillId="0" borderId="142" xfId="5" applyFont="1" applyBorder="1"/>
    <xf numFmtId="167" fontId="69" fillId="34" borderId="6" xfId="5" applyNumberFormat="1" applyFill="1" applyBorder="1" applyAlignment="1" applyProtection="1">
      <alignment vertical="center"/>
      <protection locked="0"/>
    </xf>
    <xf numFmtId="167" fontId="81" fillId="64" borderId="46" xfId="5" applyNumberFormat="1" applyFont="1" applyFill="1" applyBorder="1"/>
    <xf numFmtId="169" fontId="69" fillId="0" borderId="0" xfId="5" applyNumberFormat="1" applyBorder="1"/>
    <xf numFmtId="0" fontId="0" fillId="0" borderId="4" xfId="0" applyBorder="1"/>
    <xf numFmtId="0" fontId="0" fillId="0" borderId="194" xfId="0" applyBorder="1"/>
    <xf numFmtId="0" fontId="0" fillId="0" borderId="3" xfId="0" applyBorder="1"/>
    <xf numFmtId="0" fontId="105" fillId="0" borderId="147" xfId="5" applyFont="1" applyBorder="1"/>
    <xf numFmtId="0" fontId="123" fillId="0" borderId="206" xfId="5" applyFont="1" applyBorder="1"/>
    <xf numFmtId="0" fontId="69" fillId="19" borderId="140" xfId="5" applyFill="1" applyBorder="1" applyProtection="1">
      <protection locked="0"/>
    </xf>
    <xf numFmtId="0" fontId="186" fillId="0" borderId="128" xfId="5" applyFont="1" applyBorder="1"/>
    <xf numFmtId="0" fontId="69" fillId="19" borderId="207" xfId="5" applyFill="1" applyBorder="1" applyProtection="1">
      <protection locked="0"/>
    </xf>
    <xf numFmtId="0" fontId="55" fillId="0" borderId="208" xfId="5" applyFont="1" applyBorder="1"/>
    <xf numFmtId="0" fontId="55" fillId="0" borderId="161" xfId="5" applyFont="1" applyBorder="1" applyProtection="1">
      <protection locked="0"/>
    </xf>
    <xf numFmtId="0" fontId="97" fillId="0" borderId="75" xfId="5" applyFont="1" applyBorder="1" applyAlignment="1">
      <alignment horizontal="left"/>
    </xf>
    <xf numFmtId="0" fontId="97" fillId="0" borderId="127" xfId="5" applyFont="1" applyBorder="1" applyAlignment="1">
      <alignment horizontal="left"/>
    </xf>
    <xf numFmtId="0" fontId="97" fillId="0" borderId="129" xfId="5" applyFont="1" applyBorder="1" applyAlignment="1">
      <alignment horizontal="left"/>
    </xf>
    <xf numFmtId="169" fontId="69" fillId="27" borderId="189" xfId="5" applyNumberFormat="1" applyFill="1" applyBorder="1" applyAlignment="1">
      <alignment horizontal="center"/>
    </xf>
    <xf numFmtId="0" fontId="97" fillId="0" borderId="104" xfId="5" applyFont="1" applyBorder="1" applyAlignment="1">
      <alignment horizontal="left"/>
    </xf>
    <xf numFmtId="0" fontId="97" fillId="0" borderId="199" xfId="5" applyFont="1" applyBorder="1" applyAlignment="1">
      <alignment horizontal="left"/>
    </xf>
    <xf numFmtId="169" fontId="69" fillId="27" borderId="100" xfId="5" applyNumberFormat="1" applyFill="1" applyBorder="1" applyAlignment="1">
      <alignment horizontal="center"/>
    </xf>
    <xf numFmtId="2" fontId="69" fillId="27" borderId="189" xfId="5" applyNumberFormat="1" applyFill="1" applyBorder="1" applyAlignment="1">
      <alignment horizontal="center"/>
    </xf>
    <xf numFmtId="0" fontId="97" fillId="0" borderId="48" xfId="5" applyFont="1" applyBorder="1" applyAlignment="1">
      <alignment horizontal="left" indent="4"/>
    </xf>
    <xf numFmtId="0" fontId="81" fillId="0" borderId="46" xfId="5" applyFont="1" applyBorder="1" applyAlignment="1">
      <alignment horizontal="left"/>
    </xf>
    <xf numFmtId="167" fontId="81" fillId="27" borderId="131" xfId="5" applyNumberFormat="1" applyFont="1" applyFill="1" applyBorder="1" applyAlignment="1">
      <alignment horizontal="center"/>
    </xf>
    <xf numFmtId="0" fontId="81" fillId="27" borderId="132" xfId="5" quotePrefix="1" applyFont="1" applyFill="1" applyBorder="1"/>
    <xf numFmtId="167" fontId="69" fillId="27" borderId="203" xfId="5" applyNumberFormat="1" applyFill="1" applyBorder="1" applyAlignment="1">
      <alignment horizontal="center"/>
    </xf>
    <xf numFmtId="0" fontId="97" fillId="0" borderId="146" xfId="5" applyFont="1" applyBorder="1" applyAlignment="1">
      <alignment horizontal="left"/>
    </xf>
    <xf numFmtId="0" fontId="69" fillId="19" borderId="77" xfId="5" applyFill="1" applyBorder="1" applyAlignment="1" applyProtection="1">
      <alignment horizontal="center"/>
      <protection locked="0"/>
    </xf>
    <xf numFmtId="167" fontId="69" fillId="19" borderId="77" xfId="5" applyNumberFormat="1" applyFill="1" applyBorder="1" applyAlignment="1" applyProtection="1">
      <alignment horizontal="center"/>
      <protection locked="0"/>
    </xf>
    <xf numFmtId="167" fontId="69" fillId="19" borderId="2" xfId="5" applyNumberFormat="1" applyFill="1" applyBorder="1" applyAlignment="1" applyProtection="1">
      <alignment horizontal="center"/>
      <protection locked="0"/>
    </xf>
    <xf numFmtId="169" fontId="69" fillId="19" borderId="77" xfId="5" applyNumberFormat="1" applyFill="1" applyBorder="1" applyAlignment="1" applyProtection="1">
      <alignment horizontal="center"/>
      <protection locked="0"/>
    </xf>
    <xf numFmtId="0" fontId="215" fillId="0" borderId="93" xfId="0" applyFont="1" applyBorder="1" applyAlignment="1">
      <alignment vertical="center" wrapText="1"/>
    </xf>
    <xf numFmtId="0" fontId="215" fillId="0" borderId="47" xfId="0" applyFont="1" applyBorder="1" applyAlignment="1">
      <alignment vertical="center" wrapText="1"/>
    </xf>
    <xf numFmtId="0" fontId="189" fillId="0" borderId="167" xfId="0" applyFont="1" applyBorder="1" applyAlignment="1">
      <alignment vertical="center" wrapText="1"/>
    </xf>
    <xf numFmtId="0" fontId="189" fillId="0" borderId="91" xfId="0" applyFont="1" applyBorder="1" applyAlignment="1">
      <alignment vertical="center" wrapText="1"/>
    </xf>
    <xf numFmtId="0" fontId="0" fillId="0" borderId="0" xfId="0" applyFont="1"/>
    <xf numFmtId="0" fontId="215" fillId="0" borderId="47" xfId="0" applyFont="1" applyBorder="1" applyAlignment="1">
      <alignment horizontal="center" vertical="center" wrapText="1"/>
    </xf>
    <xf numFmtId="0" fontId="189" fillId="0" borderId="48" xfId="0" applyFont="1" applyBorder="1" applyAlignment="1">
      <alignment vertical="center" wrapText="1"/>
    </xf>
    <xf numFmtId="0" fontId="189" fillId="0" borderId="48" xfId="0" applyFont="1" applyBorder="1" applyAlignment="1">
      <alignment horizontal="center" vertical="center" wrapText="1"/>
    </xf>
    <xf numFmtId="0" fontId="189" fillId="0" borderId="102" xfId="0" applyFont="1" applyBorder="1" applyAlignment="1">
      <alignment horizontal="left" vertical="center" wrapText="1" indent="1"/>
    </xf>
    <xf numFmtId="0" fontId="189" fillId="0" borderId="167" xfId="0" applyFont="1" applyBorder="1" applyAlignment="1">
      <alignment horizontal="left" vertical="center" wrapText="1" indent="1"/>
    </xf>
    <xf numFmtId="0" fontId="189" fillId="0" borderId="91" xfId="0" applyFont="1" applyBorder="1" applyAlignment="1">
      <alignment horizontal="center" vertical="center" wrapText="1"/>
    </xf>
    <xf numFmtId="0" fontId="0" fillId="0" borderId="102" xfId="0" applyFont="1" applyBorder="1" applyAlignment="1">
      <alignment vertical="top" wrapText="1"/>
    </xf>
    <xf numFmtId="0" fontId="0" fillId="0" borderId="167" xfId="0" applyFont="1" applyBorder="1" applyAlignment="1">
      <alignment vertical="top" wrapText="1"/>
    </xf>
    <xf numFmtId="0" fontId="215" fillId="0" borderId="102" xfId="0" applyFont="1" applyBorder="1" applyAlignment="1">
      <alignment vertical="center" wrapText="1"/>
    </xf>
    <xf numFmtId="0" fontId="215" fillId="0" borderId="167" xfId="0" applyFont="1" applyBorder="1" applyAlignment="1">
      <alignment vertical="center" wrapText="1"/>
    </xf>
    <xf numFmtId="0" fontId="189" fillId="0" borderId="92" xfId="0" applyFont="1" applyBorder="1" applyAlignment="1">
      <alignment horizontal="center" vertical="center" wrapText="1"/>
    </xf>
    <xf numFmtId="0" fontId="189" fillId="0" borderId="167" xfId="0" applyFont="1" applyBorder="1" applyAlignment="1">
      <alignment horizontal="center" vertical="center" wrapText="1"/>
    </xf>
    <xf numFmtId="0" fontId="215" fillId="0" borderId="93" xfId="0" applyFont="1" applyBorder="1" applyAlignment="1">
      <alignment vertical="center"/>
    </xf>
    <xf numFmtId="0" fontId="189" fillId="0" borderId="92" xfId="0" applyFont="1" applyBorder="1" applyAlignment="1">
      <alignment horizontal="left" vertical="center" wrapText="1"/>
    </xf>
    <xf numFmtId="0" fontId="0" fillId="0" borderId="0" xfId="0" applyFont="1" applyAlignment="1">
      <alignment horizontal="left"/>
    </xf>
    <xf numFmtId="0" fontId="0" fillId="0" borderId="0" xfId="0" applyAlignment="1">
      <alignment horizontal="left"/>
    </xf>
    <xf numFmtId="0" fontId="189" fillId="0" borderId="167" xfId="0" applyFont="1" applyBorder="1" applyAlignment="1">
      <alignment horizontal="left" vertical="center" wrapText="1"/>
    </xf>
    <xf numFmtId="0" fontId="215" fillId="0" borderId="46" xfId="0" applyFont="1" applyBorder="1" applyAlignment="1">
      <alignment horizontal="left" vertical="center"/>
    </xf>
    <xf numFmtId="0" fontId="215" fillId="0" borderId="23" xfId="0" applyFont="1" applyBorder="1" applyAlignment="1">
      <alignment horizontal="left" vertical="center"/>
    </xf>
    <xf numFmtId="0" fontId="215" fillId="0" borderId="47" xfId="0" applyFont="1" applyBorder="1" applyAlignment="1">
      <alignment horizontal="left" vertical="center"/>
    </xf>
    <xf numFmtId="0" fontId="215" fillId="0" borderId="46" xfId="0" applyFont="1" applyBorder="1" applyAlignment="1">
      <alignment horizontal="left" vertical="center" wrapText="1"/>
    </xf>
    <xf numFmtId="0" fontId="215" fillId="0" borderId="47" xfId="0" applyFont="1" applyBorder="1" applyAlignment="1">
      <alignment horizontal="left" vertical="center" wrapText="1"/>
    </xf>
    <xf numFmtId="0" fontId="189" fillId="0" borderId="75" xfId="0" applyFont="1" applyBorder="1" applyAlignment="1">
      <alignment horizontal="left" vertical="center" wrapText="1"/>
    </xf>
    <xf numFmtId="0" fontId="189" fillId="0" borderId="67" xfId="0" applyFont="1" applyBorder="1" applyAlignment="1">
      <alignment horizontal="left" vertical="center" wrapText="1"/>
    </xf>
    <xf numFmtId="0" fontId="189" fillId="0" borderId="46" xfId="0" applyFont="1" applyBorder="1" applyAlignment="1">
      <alignment horizontal="left" vertical="center" wrapText="1"/>
    </xf>
    <xf numFmtId="0" fontId="189" fillId="0" borderId="47" xfId="0" applyFont="1" applyBorder="1" applyAlignment="1">
      <alignment horizontal="left" vertical="center" wrapText="1"/>
    </xf>
    <xf numFmtId="0" fontId="189" fillId="0" borderId="24" xfId="0" applyFont="1" applyBorder="1" applyAlignment="1">
      <alignment horizontal="left" vertical="center" wrapText="1"/>
    </xf>
    <xf numFmtId="0" fontId="189" fillId="0" borderId="91" xfId="0" applyFont="1" applyBorder="1" applyAlignment="1">
      <alignment horizontal="left" vertical="center" wrapText="1"/>
    </xf>
    <xf numFmtId="0" fontId="0" fillId="0" borderId="0" xfId="0" applyFont="1" applyBorder="1"/>
    <xf numFmtId="167" fontId="55" fillId="78" borderId="189" xfId="5" applyNumberFormat="1" applyFont="1" applyFill="1" applyBorder="1" applyAlignment="1" applyProtection="1">
      <alignment vertical="center"/>
    </xf>
    <xf numFmtId="0" fontId="234" fillId="0" borderId="0" xfId="0" applyFont="1" applyAlignment="1">
      <alignment horizontal="left" vertical="center" wrapText="1"/>
    </xf>
    <xf numFmtId="0" fontId="119" fillId="0" borderId="75" xfId="5" applyFont="1" applyBorder="1"/>
    <xf numFmtId="0" fontId="233" fillId="0" borderId="75" xfId="0" applyFont="1" applyBorder="1" applyAlignment="1">
      <alignment vertical="center"/>
    </xf>
    <xf numFmtId="0" fontId="0" fillId="0" borderId="50" xfId="0" applyFont="1" applyBorder="1"/>
    <xf numFmtId="0" fontId="0" fillId="0" borderId="67" xfId="0" applyFont="1" applyBorder="1"/>
    <xf numFmtId="0" fontId="189" fillId="0" borderId="65" xfId="0" applyFont="1" applyBorder="1" applyAlignment="1">
      <alignment vertical="center"/>
    </xf>
    <xf numFmtId="0" fontId="0" fillId="0" borderId="48" xfId="0" applyFont="1" applyBorder="1"/>
    <xf numFmtId="0" fontId="189" fillId="0" borderId="65" xfId="0" applyFont="1" applyBorder="1" applyAlignment="1">
      <alignment vertical="top"/>
    </xf>
    <xf numFmtId="0" fontId="0" fillId="0" borderId="0" xfId="0" applyFont="1" applyBorder="1" applyAlignment="1">
      <alignment vertical="top"/>
    </xf>
    <xf numFmtId="0" fontId="189" fillId="0" borderId="65" xfId="0" applyFont="1" applyBorder="1" applyAlignment="1">
      <alignment horizontal="justify" vertical="center"/>
    </xf>
    <xf numFmtId="0" fontId="0" fillId="0" borderId="91" xfId="0" applyFont="1" applyBorder="1"/>
    <xf numFmtId="0" fontId="235" fillId="80" borderId="2" xfId="12" applyFont="1" applyFill="1" applyBorder="1" applyAlignment="1" applyProtection="1">
      <alignment horizontal="left" vertical="center"/>
    </xf>
    <xf numFmtId="0" fontId="235" fillId="81" borderId="2" xfId="12" applyFont="1" applyFill="1" applyBorder="1" applyAlignment="1" applyProtection="1">
      <alignment horizontal="left" vertical="center"/>
    </xf>
    <xf numFmtId="0" fontId="235" fillId="82" borderId="2" xfId="12" applyFont="1" applyFill="1" applyBorder="1" applyAlignment="1" applyProtection="1">
      <alignment horizontal="left" vertical="center"/>
    </xf>
    <xf numFmtId="0" fontId="235" fillId="85" borderId="2" xfId="12" applyFont="1" applyFill="1" applyBorder="1" applyAlignment="1" applyProtection="1">
      <alignment horizontal="left" vertical="center" wrapText="1"/>
    </xf>
    <xf numFmtId="0" fontId="237" fillId="0" borderId="2" xfId="0" applyFont="1" applyBorder="1" applyAlignment="1">
      <alignment horizontal="left" vertical="center"/>
    </xf>
    <xf numFmtId="0" fontId="224" fillId="0" borderId="0" xfId="0" applyFont="1" applyAlignment="1">
      <alignment horizontal="left" vertical="center"/>
    </xf>
    <xf numFmtId="0" fontId="237" fillId="0" borderId="0" xfId="0" applyFont="1" applyAlignment="1">
      <alignment horizontal="left" vertical="center"/>
    </xf>
    <xf numFmtId="0" fontId="235" fillId="86" borderId="2" xfId="12" applyFont="1" applyFill="1" applyBorder="1" applyAlignment="1" applyProtection="1">
      <alignment horizontal="left" vertical="center"/>
    </xf>
    <xf numFmtId="0" fontId="235" fillId="88" borderId="2" xfId="12" applyFont="1" applyFill="1" applyBorder="1" applyAlignment="1" applyProtection="1">
      <alignment horizontal="left" vertical="center"/>
    </xf>
    <xf numFmtId="0" fontId="235" fillId="85" borderId="2" xfId="12" applyFont="1" applyFill="1" applyBorder="1" applyAlignment="1" applyProtection="1">
      <alignment horizontal="left" vertical="center"/>
    </xf>
    <xf numFmtId="0" fontId="235" fillId="91" borderId="2" xfId="12" applyFont="1" applyFill="1" applyBorder="1" applyAlignment="1" applyProtection="1">
      <alignment horizontal="left" vertical="center"/>
    </xf>
    <xf numFmtId="0" fontId="235" fillId="92" borderId="2" xfId="12" applyFont="1" applyFill="1" applyBorder="1" applyAlignment="1" applyProtection="1">
      <alignment horizontal="left" vertical="center"/>
    </xf>
    <xf numFmtId="0" fontId="104" fillId="89" borderId="2" xfId="12" applyFont="1" applyFill="1" applyBorder="1" applyAlignment="1" applyProtection="1">
      <alignment horizontal="left" vertical="center"/>
    </xf>
    <xf numFmtId="0" fontId="104" fillId="83" borderId="2" xfId="12" applyFont="1" applyFill="1" applyBorder="1" applyAlignment="1" applyProtection="1">
      <alignment horizontal="left" vertical="center"/>
    </xf>
    <xf numFmtId="0" fontId="104" fillId="37" borderId="2" xfId="12" applyFont="1" applyFill="1" applyBorder="1" applyAlignment="1" applyProtection="1">
      <alignment horizontal="left" vertical="center"/>
    </xf>
    <xf numFmtId="0" fontId="104" fillId="87" borderId="2" xfId="12" applyFont="1" applyFill="1" applyBorder="1" applyAlignment="1" applyProtection="1">
      <alignment horizontal="left" vertical="center"/>
    </xf>
    <xf numFmtId="0" fontId="104" fillId="90" borderId="2" xfId="12" applyFont="1" applyFill="1" applyBorder="1" applyAlignment="1" applyProtection="1">
      <alignment horizontal="left" vertical="center"/>
    </xf>
    <xf numFmtId="0" fontId="104" fillId="60" borderId="2" xfId="12" applyFont="1" applyFill="1" applyBorder="1" applyAlignment="1" applyProtection="1">
      <alignment horizontal="left" vertical="center"/>
    </xf>
    <xf numFmtId="0" fontId="104" fillId="39" borderId="0" xfId="12" applyFont="1" applyFill="1" applyAlignment="1" applyProtection="1"/>
    <xf numFmtId="0" fontId="104" fillId="55" borderId="2" xfId="12" applyFont="1" applyFill="1" applyBorder="1" applyAlignment="1" applyProtection="1">
      <alignment horizontal="left" vertical="center"/>
    </xf>
    <xf numFmtId="0" fontId="235" fillId="93" borderId="2" xfId="12" applyFont="1" applyFill="1" applyBorder="1" applyAlignment="1" applyProtection="1">
      <alignment horizontal="left" vertical="center"/>
    </xf>
    <xf numFmtId="0" fontId="104" fillId="94" borderId="2" xfId="12" applyFont="1" applyFill="1" applyBorder="1" applyAlignment="1" applyProtection="1">
      <alignment horizontal="left" vertical="center"/>
    </xf>
    <xf numFmtId="0" fontId="236" fillId="54" borderId="2" xfId="12" applyFont="1" applyFill="1" applyBorder="1" applyAlignment="1" applyProtection="1">
      <alignment horizontal="left" vertical="center"/>
    </xf>
    <xf numFmtId="0" fontId="236" fillId="95" borderId="2" xfId="12" applyFont="1" applyFill="1" applyBorder="1" applyAlignment="1" applyProtection="1">
      <alignment horizontal="left" vertical="center"/>
    </xf>
    <xf numFmtId="0" fontId="236" fillId="77" borderId="2" xfId="12" applyFont="1" applyFill="1" applyBorder="1" applyAlignment="1" applyProtection="1">
      <alignment horizontal="left" vertical="center"/>
    </xf>
    <xf numFmtId="0" fontId="238" fillId="96" borderId="2" xfId="12" applyFont="1" applyFill="1" applyBorder="1" applyAlignment="1" applyProtection="1">
      <alignment horizontal="left" vertical="center"/>
    </xf>
    <xf numFmtId="0" fontId="239" fillId="0" borderId="0" xfId="0" applyFont="1" applyAlignment="1">
      <alignment horizontal="left" vertical="center"/>
    </xf>
    <xf numFmtId="0" fontId="240" fillId="0" borderId="0" xfId="0" applyFont="1" applyAlignment="1">
      <alignment horizontal="left" vertical="center"/>
    </xf>
    <xf numFmtId="0" fontId="55" fillId="0" borderId="103" xfId="5" applyFont="1" applyBorder="1" applyProtection="1">
      <protection locked="0"/>
    </xf>
    <xf numFmtId="0" fontId="69" fillId="0" borderId="50" xfId="5" applyBorder="1" applyProtection="1"/>
    <xf numFmtId="0" fontId="0" fillId="0" borderId="50" xfId="0" applyBorder="1" applyProtection="1"/>
    <xf numFmtId="0" fontId="0" fillId="0" borderId="67" xfId="0" applyBorder="1" applyProtection="1"/>
    <xf numFmtId="0" fontId="80" fillId="19" borderId="2" xfId="5" applyFont="1" applyFill="1" applyBorder="1" applyAlignment="1" applyProtection="1">
      <alignment vertical="top" wrapText="1"/>
    </xf>
    <xf numFmtId="0" fontId="0" fillId="0" borderId="0" xfId="0" applyBorder="1" applyProtection="1"/>
    <xf numFmtId="0" fontId="0" fillId="0" borderId="48" xfId="0" applyBorder="1" applyProtection="1"/>
    <xf numFmtId="0" fontId="79" fillId="61" borderId="138" xfId="5" applyFont="1" applyFill="1" applyBorder="1" applyProtection="1"/>
    <xf numFmtId="167" fontId="159" fillId="61" borderId="2" xfId="0" applyNumberFormat="1" applyFont="1" applyFill="1" applyBorder="1" applyAlignment="1" applyProtection="1">
      <alignment horizontal="center"/>
    </xf>
    <xf numFmtId="0" fontId="0" fillId="0" borderId="7" xfId="0" applyBorder="1" applyProtection="1"/>
    <xf numFmtId="0" fontId="69" fillId="61" borderId="8" xfId="5" applyFill="1" applyBorder="1" applyProtection="1"/>
    <xf numFmtId="0" fontId="69" fillId="0" borderId="138" xfId="5" applyBorder="1" applyProtection="1"/>
    <xf numFmtId="1" fontId="0" fillId="61" borderId="2" xfId="0" applyNumberFormat="1" applyFill="1" applyBorder="1" applyProtection="1"/>
    <xf numFmtId="0" fontId="0" fillId="61" borderId="2" xfId="0" applyFill="1" applyBorder="1" applyProtection="1"/>
    <xf numFmtId="0" fontId="0" fillId="0" borderId="2" xfId="0" applyBorder="1" applyProtection="1"/>
    <xf numFmtId="0" fontId="0" fillId="0" borderId="65" xfId="0" applyBorder="1" applyProtection="1"/>
    <xf numFmtId="0" fontId="69" fillId="0" borderId="103" xfId="5" applyBorder="1" applyProtection="1"/>
    <xf numFmtId="0" fontId="79" fillId="0" borderId="104" xfId="5" applyFont="1" applyBorder="1" applyProtection="1"/>
    <xf numFmtId="0" fontId="69" fillId="0" borderId="103" xfId="5" quotePrefix="1" applyBorder="1" applyProtection="1"/>
    <xf numFmtId="0" fontId="69" fillId="45" borderId="2" xfId="5" applyFill="1" applyBorder="1" applyProtection="1"/>
    <xf numFmtId="0" fontId="69" fillId="78" borderId="103" xfId="5" applyFill="1" applyBorder="1" applyProtection="1"/>
    <xf numFmtId="169" fontId="69" fillId="78" borderId="2" xfId="5" applyNumberFormat="1" applyFill="1" applyBorder="1" applyProtection="1"/>
    <xf numFmtId="0" fontId="79" fillId="78" borderId="104" xfId="5" applyFont="1" applyFill="1" applyBorder="1" applyProtection="1"/>
    <xf numFmtId="0" fontId="69" fillId="78" borderId="128" xfId="5" applyFill="1" applyBorder="1" applyProtection="1"/>
    <xf numFmtId="169" fontId="69" fillId="78" borderId="100" xfId="5" applyNumberFormat="1" applyFill="1" applyBorder="1" applyProtection="1"/>
    <xf numFmtId="0" fontId="79" fillId="78" borderId="129" xfId="5" applyFont="1" applyFill="1" applyBorder="1" applyProtection="1"/>
    <xf numFmtId="0" fontId="69" fillId="0" borderId="198" xfId="5" applyBorder="1" applyProtection="1"/>
    <xf numFmtId="167" fontId="69" fillId="45" borderId="189" xfId="5" applyNumberFormat="1" applyFill="1" applyBorder="1" applyProtection="1"/>
    <xf numFmtId="0" fontId="79" fillId="0" borderId="199" xfId="5" quotePrefix="1" applyFont="1" applyBorder="1" applyProtection="1"/>
    <xf numFmtId="0" fontId="69" fillId="0" borderId="128" xfId="5" applyBorder="1" applyProtection="1"/>
    <xf numFmtId="167" fontId="69" fillId="45" borderId="100" xfId="5" applyNumberFormat="1" applyFill="1" applyBorder="1" applyProtection="1"/>
    <xf numFmtId="0" fontId="79" fillId="0" borderId="129" xfId="5" applyFont="1" applyBorder="1" applyProtection="1"/>
    <xf numFmtId="167" fontId="69" fillId="78" borderId="2" xfId="5" applyNumberFormat="1" applyFill="1" applyBorder="1" applyProtection="1"/>
    <xf numFmtId="0" fontId="0" fillId="0" borderId="76" xfId="0" applyBorder="1" applyProtection="1"/>
    <xf numFmtId="0" fontId="0" fillId="0" borderId="127" xfId="0" applyBorder="1" applyProtection="1"/>
    <xf numFmtId="0" fontId="0" fillId="0" borderId="103" xfId="0" applyBorder="1" applyProtection="1"/>
    <xf numFmtId="0" fontId="0" fillId="0" borderId="104" xfId="0" applyBorder="1" applyProtection="1"/>
    <xf numFmtId="0" fontId="159" fillId="78" borderId="24" xfId="0" applyFont="1" applyFill="1" applyBorder="1" applyProtection="1"/>
    <xf numFmtId="0" fontId="159" fillId="78" borderId="51" xfId="0" applyFont="1" applyFill="1" applyBorder="1" applyProtection="1"/>
    <xf numFmtId="0" fontId="159" fillId="78" borderId="91" xfId="0" applyFont="1" applyFill="1" applyBorder="1" applyProtection="1"/>
    <xf numFmtId="0" fontId="0" fillId="0" borderId="198" xfId="0" applyBorder="1" applyProtection="1"/>
    <xf numFmtId="0" fontId="0" fillId="0" borderId="199" xfId="0" applyBorder="1" applyProtection="1"/>
    <xf numFmtId="0" fontId="0" fillId="0" borderId="65" xfId="0" applyFill="1" applyBorder="1" applyProtection="1"/>
    <xf numFmtId="0" fontId="159" fillId="78" borderId="46" xfId="0" applyFont="1" applyFill="1" applyBorder="1" applyProtection="1"/>
    <xf numFmtId="0" fontId="159" fillId="78" borderId="23" xfId="0" applyFont="1" applyFill="1" applyBorder="1" applyProtection="1"/>
    <xf numFmtId="0" fontId="159" fillId="78" borderId="47" xfId="0" applyFont="1" applyFill="1" applyBorder="1" applyProtection="1"/>
    <xf numFmtId="0" fontId="223" fillId="78" borderId="46" xfId="0" applyFont="1" applyFill="1" applyBorder="1" applyProtection="1"/>
    <xf numFmtId="0" fontId="223" fillId="78" borderId="23" xfId="0" applyFont="1" applyFill="1" applyBorder="1" applyProtection="1"/>
    <xf numFmtId="0" fontId="223" fillId="78" borderId="47" xfId="0" applyFont="1" applyFill="1" applyBorder="1" applyProtection="1"/>
    <xf numFmtId="0" fontId="159" fillId="78" borderId="103" xfId="0" applyFont="1" applyFill="1" applyBorder="1" applyProtection="1"/>
    <xf numFmtId="0" fontId="159" fillId="78" borderId="2" xfId="0" applyFont="1" applyFill="1" applyBorder="1" applyProtection="1"/>
    <xf numFmtId="0" fontId="159" fillId="78" borderId="104" xfId="0" applyFont="1" applyFill="1" applyBorder="1" applyProtection="1"/>
    <xf numFmtId="0" fontId="55" fillId="0" borderId="104" xfId="5" applyFont="1" applyBorder="1" applyProtection="1"/>
    <xf numFmtId="0" fontId="55" fillId="78" borderId="198" xfId="5" applyFont="1" applyFill="1" applyBorder="1" applyProtection="1"/>
    <xf numFmtId="0" fontId="223" fillId="78" borderId="128" xfId="0" applyFont="1" applyFill="1" applyBorder="1" applyProtection="1"/>
    <xf numFmtId="167" fontId="223" fillId="78" borderId="100" xfId="0" applyNumberFormat="1" applyFont="1" applyFill="1" applyBorder="1" applyProtection="1"/>
    <xf numFmtId="0" fontId="223" fillId="78" borderId="129" xfId="0" applyFont="1" applyFill="1" applyBorder="1" applyProtection="1"/>
    <xf numFmtId="0" fontId="197" fillId="41" borderId="106" xfId="0" applyFont="1" applyFill="1" applyBorder="1" applyProtection="1"/>
    <xf numFmtId="167" fontId="197" fillId="41" borderId="131" xfId="0" applyNumberFormat="1" applyFont="1" applyFill="1" applyBorder="1" applyProtection="1"/>
    <xf numFmtId="0" fontId="197" fillId="41" borderId="132" xfId="0" applyFont="1" applyFill="1" applyBorder="1" applyProtection="1"/>
    <xf numFmtId="0" fontId="232" fillId="41" borderId="106" xfId="0" applyFont="1" applyFill="1" applyBorder="1" applyProtection="1"/>
    <xf numFmtId="167" fontId="232" fillId="41" borderId="131" xfId="0" applyNumberFormat="1" applyFont="1" applyFill="1" applyBorder="1" applyProtection="1"/>
    <xf numFmtId="0" fontId="232" fillId="41" borderId="132" xfId="0" applyFont="1" applyFill="1" applyBorder="1" applyProtection="1"/>
    <xf numFmtId="0" fontId="232" fillId="78" borderId="106" xfId="0" applyFont="1" applyFill="1" applyBorder="1" applyProtection="1"/>
    <xf numFmtId="167" fontId="81" fillId="78" borderId="131" xfId="5" applyNumberFormat="1" applyFont="1" applyFill="1" applyBorder="1" applyProtection="1"/>
    <xf numFmtId="0" fontId="232" fillId="78" borderId="132" xfId="0" applyFont="1" applyFill="1" applyBorder="1" applyProtection="1"/>
    <xf numFmtId="0" fontId="0" fillId="0" borderId="24" xfId="0" applyBorder="1" applyProtection="1"/>
    <xf numFmtId="0" fontId="0" fillId="0" borderId="51" xfId="0" applyBorder="1" applyProtection="1"/>
    <xf numFmtId="0" fontId="0" fillId="0" borderId="91" xfId="0" applyBorder="1" applyProtection="1"/>
    <xf numFmtId="0" fontId="0" fillId="43" borderId="77" xfId="0" applyFill="1" applyBorder="1" applyProtection="1">
      <protection locked="0"/>
    </xf>
    <xf numFmtId="0" fontId="0" fillId="43" borderId="2" xfId="0" applyFill="1" applyBorder="1" applyProtection="1">
      <protection locked="0"/>
    </xf>
    <xf numFmtId="0" fontId="0" fillId="43" borderId="189" xfId="0" applyFill="1" applyBorder="1" applyProtection="1">
      <protection locked="0"/>
    </xf>
    <xf numFmtId="183" fontId="69" fillId="43" borderId="2" xfId="5" applyNumberFormat="1" applyFill="1" applyBorder="1" applyProtection="1">
      <protection locked="0"/>
    </xf>
    <xf numFmtId="0" fontId="79" fillId="60" borderId="124" xfId="5" applyFont="1" applyFill="1" applyBorder="1" applyAlignment="1">
      <alignment vertical="center" wrapText="1"/>
    </xf>
    <xf numFmtId="0" fontId="79" fillId="60" borderId="147" xfId="5" applyFont="1" applyFill="1" applyBorder="1" applyAlignment="1">
      <alignment vertical="center" wrapText="1"/>
    </xf>
    <xf numFmtId="167" fontId="55" fillId="43" borderId="77" xfId="5" applyNumberFormat="1" applyFont="1" applyFill="1" applyBorder="1" applyAlignment="1" applyProtection="1">
      <alignment horizontal="right" vertical="center"/>
      <protection locked="0"/>
    </xf>
    <xf numFmtId="167" fontId="55" fillId="43" borderId="2" xfId="5" applyNumberFormat="1" applyFont="1" applyFill="1" applyBorder="1" applyAlignment="1" applyProtection="1">
      <alignment horizontal="right" vertical="center"/>
      <protection locked="0"/>
    </xf>
    <xf numFmtId="167" fontId="55" fillId="43" borderId="100" xfId="5" applyNumberFormat="1" applyFont="1" applyFill="1" applyBorder="1" applyAlignment="1" applyProtection="1">
      <alignment horizontal="right" vertical="center"/>
      <protection locked="0"/>
    </xf>
    <xf numFmtId="167" fontId="144" fillId="0" borderId="0" xfId="5" applyNumberFormat="1" applyFont="1"/>
    <xf numFmtId="0" fontId="98" fillId="0" borderId="122" xfId="5" applyFont="1" applyFill="1" applyBorder="1"/>
    <xf numFmtId="0" fontId="0" fillId="0" borderId="189" xfId="0" applyFill="1" applyBorder="1" applyProtection="1">
      <protection locked="0"/>
    </xf>
    <xf numFmtId="0" fontId="81" fillId="0" borderId="104" xfId="5" applyFont="1" applyFill="1" applyBorder="1"/>
    <xf numFmtId="168" fontId="123" fillId="27" borderId="136" xfId="5" applyNumberFormat="1" applyFont="1" applyFill="1" applyBorder="1"/>
    <xf numFmtId="0" fontId="123" fillId="27" borderId="129" xfId="5" applyFont="1" applyFill="1" applyBorder="1"/>
    <xf numFmtId="0" fontId="123" fillId="27" borderId="127" xfId="5" applyFont="1" applyFill="1" applyBorder="1"/>
    <xf numFmtId="0" fontId="123" fillId="27" borderId="143" xfId="5" applyFont="1" applyFill="1" applyBorder="1"/>
    <xf numFmtId="167" fontId="123" fillId="27" borderId="77" xfId="5" applyNumberFormat="1" applyFont="1" applyFill="1" applyBorder="1"/>
    <xf numFmtId="0" fontId="123" fillId="27" borderId="123" xfId="5" applyFont="1" applyFill="1" applyBorder="1"/>
    <xf numFmtId="167" fontId="123" fillId="27" borderId="100" xfId="5" applyNumberFormat="1" applyFont="1" applyFill="1" applyBorder="1"/>
    <xf numFmtId="0" fontId="113" fillId="0" borderId="65" xfId="5" applyFont="1" applyBorder="1"/>
    <xf numFmtId="0" fontId="241" fillId="0" borderId="65" xfId="5" applyFont="1" applyBorder="1"/>
    <xf numFmtId="0" fontId="241" fillId="0" borderId="0" xfId="5" applyFont="1" applyBorder="1"/>
    <xf numFmtId="0" fontId="241" fillId="0" borderId="48" xfId="5" applyFont="1" applyBorder="1"/>
    <xf numFmtId="169" fontId="69" fillId="19" borderId="77" xfId="5" applyNumberFormat="1" applyFill="1" applyBorder="1" applyAlignment="1" applyProtection="1">
      <alignment vertical="center"/>
      <protection locked="0"/>
    </xf>
    <xf numFmtId="169" fontId="123" fillId="27" borderId="100" xfId="5" applyNumberFormat="1" applyFont="1" applyFill="1" applyBorder="1"/>
    <xf numFmtId="0" fontId="69" fillId="0" borderId="103" xfId="5" applyBorder="1" applyAlignment="1">
      <alignment horizontal="left"/>
    </xf>
    <xf numFmtId="0" fontId="69" fillId="0" borderId="2" xfId="5" applyBorder="1" applyAlignment="1">
      <alignment horizontal="left"/>
    </xf>
    <xf numFmtId="0" fontId="69" fillId="0" borderId="2" xfId="5" applyBorder="1" applyAlignment="1">
      <alignment horizontal="center"/>
    </xf>
    <xf numFmtId="0" fontId="0" fillId="0" borderId="1" xfId="0" applyBorder="1" applyAlignment="1">
      <alignment horizontal="left"/>
    </xf>
    <xf numFmtId="1" fontId="123" fillId="27" borderId="100" xfId="5" applyNumberFormat="1" applyFont="1" applyFill="1" applyBorder="1"/>
    <xf numFmtId="0" fontId="79" fillId="93" borderId="2" xfId="5" applyFont="1" applyFill="1" applyBorder="1" applyAlignment="1">
      <alignment horizontal="center" wrapText="1"/>
    </xf>
    <xf numFmtId="0" fontId="79" fillId="91" borderId="2" xfId="5" applyFont="1" applyFill="1" applyBorder="1" applyAlignment="1">
      <alignment horizontal="center" wrapText="1"/>
    </xf>
    <xf numFmtId="0" fontId="69" fillId="65" borderId="2" xfId="5" applyFill="1" applyBorder="1" applyAlignment="1">
      <alignment horizontal="center"/>
    </xf>
    <xf numFmtId="1" fontId="69" fillId="61" borderId="2" xfId="5" applyNumberFormat="1" applyFill="1" applyBorder="1"/>
    <xf numFmtId="0" fontId="97" fillId="43" borderId="2" xfId="5" applyFont="1" applyFill="1" applyBorder="1" applyAlignment="1" applyProtection="1">
      <alignment horizontal="center"/>
      <protection locked="0"/>
    </xf>
    <xf numFmtId="2" fontId="81" fillId="27" borderId="23" xfId="5" applyNumberFormat="1" applyFont="1" applyFill="1" applyBorder="1" applyAlignment="1">
      <alignment horizontal="right"/>
    </xf>
    <xf numFmtId="0" fontId="79" fillId="0" borderId="67" xfId="5" applyFont="1" applyBorder="1"/>
    <xf numFmtId="0" fontId="55" fillId="65" borderId="5" xfId="5" applyFont="1" applyFill="1" applyBorder="1" applyAlignment="1">
      <alignment horizontal="center" vertical="center"/>
    </xf>
    <xf numFmtId="0" fontId="55" fillId="65" borderId="192" xfId="5" applyFont="1" applyFill="1" applyBorder="1" applyAlignment="1">
      <alignment horizontal="center" vertical="center"/>
    </xf>
    <xf numFmtId="0" fontId="79" fillId="0" borderId="1" xfId="5" applyFont="1" applyBorder="1" applyAlignment="1">
      <alignment horizontal="center" wrapText="1"/>
    </xf>
    <xf numFmtId="0" fontId="69" fillId="65" borderId="7" xfId="5" applyFill="1" applyBorder="1" applyAlignment="1">
      <alignment horizontal="center"/>
    </xf>
    <xf numFmtId="0" fontId="55" fillId="43" borderId="159" xfId="5" applyFont="1" applyFill="1" applyBorder="1" applyAlignment="1">
      <alignment horizontal="center" vertical="center"/>
    </xf>
    <xf numFmtId="0" fontId="69" fillId="65" borderId="103" xfId="5" applyFill="1" applyBorder="1" applyAlignment="1">
      <alignment horizontal="center"/>
    </xf>
    <xf numFmtId="0" fontId="55" fillId="43" borderId="199" xfId="5" applyFont="1" applyFill="1" applyBorder="1" applyAlignment="1">
      <alignment horizontal="center" vertical="center"/>
    </xf>
    <xf numFmtId="0" fontId="79" fillId="37" borderId="103" xfId="5" applyFont="1" applyFill="1" applyBorder="1" applyAlignment="1">
      <alignment horizontal="center" wrapText="1"/>
    </xf>
    <xf numFmtId="0" fontId="79" fillId="37" borderId="104" xfId="5" applyFont="1" applyFill="1" applyBorder="1" applyAlignment="1">
      <alignment horizontal="center" wrapText="1"/>
    </xf>
    <xf numFmtId="1" fontId="69" fillId="61" borderId="104" xfId="5" applyNumberFormat="1" applyFill="1" applyBorder="1"/>
    <xf numFmtId="0" fontId="79" fillId="78" borderId="103" xfId="5" applyFont="1" applyFill="1" applyBorder="1" applyAlignment="1">
      <alignment horizontal="center" wrapText="1"/>
    </xf>
    <xf numFmtId="0" fontId="79" fillId="78" borderId="104" xfId="5" applyFont="1" applyFill="1" applyBorder="1" applyAlignment="1">
      <alignment horizontal="center" wrapText="1"/>
    </xf>
    <xf numFmtId="0" fontId="79" fillId="20" borderId="103" xfId="5" applyFont="1" applyFill="1" applyBorder="1" applyAlignment="1">
      <alignment horizontal="center" wrapText="1"/>
    </xf>
    <xf numFmtId="0" fontId="79" fillId="20" borderId="104" xfId="5" applyFont="1" applyFill="1" applyBorder="1" applyAlignment="1">
      <alignment horizontal="center" wrapText="1"/>
    </xf>
    <xf numFmtId="0" fontId="79" fillId="93" borderId="7" xfId="5" applyFont="1" applyFill="1" applyBorder="1" applyAlignment="1">
      <alignment horizontal="center" wrapText="1"/>
    </xf>
    <xf numFmtId="0" fontId="79" fillId="63" borderId="103" xfId="5" applyFont="1" applyFill="1" applyBorder="1" applyAlignment="1">
      <alignment horizontal="center" wrapText="1"/>
    </xf>
    <xf numFmtId="0" fontId="79" fillId="63" borderId="104" xfId="5" applyFont="1" applyFill="1" applyBorder="1" applyAlignment="1">
      <alignment horizontal="center" wrapText="1"/>
    </xf>
    <xf numFmtId="0" fontId="55" fillId="35" borderId="0" xfId="7" applyFill="1" applyAlignment="1" applyProtection="1">
      <alignment horizontal="centerContinuous"/>
      <protection hidden="1"/>
    </xf>
    <xf numFmtId="0" fontId="148" fillId="35" borderId="0" xfId="7" applyFont="1" applyFill="1" applyBorder="1" applyAlignment="1" applyProtection="1">
      <protection hidden="1"/>
    </xf>
    <xf numFmtId="0" fontId="148" fillId="35" borderId="0" xfId="7" applyFont="1" applyFill="1" applyAlignment="1" applyProtection="1">
      <protection hidden="1"/>
    </xf>
    <xf numFmtId="0" fontId="149" fillId="35" borderId="0" xfId="7" applyFont="1" applyFill="1" applyAlignment="1" applyProtection="1">
      <alignment horizontal="center"/>
      <protection hidden="1"/>
    </xf>
    <xf numFmtId="0" fontId="150" fillId="35" borderId="93" xfId="7" applyFont="1" applyFill="1" applyBorder="1" applyAlignment="1" applyProtection="1">
      <alignment horizontal="center" vertical="center"/>
      <protection hidden="1"/>
    </xf>
    <xf numFmtId="0" fontId="55" fillId="35" borderId="0" xfId="7" applyFill="1" applyAlignment="1" applyProtection="1">
      <alignment horizontal="center"/>
      <protection hidden="1"/>
    </xf>
    <xf numFmtId="0" fontId="155" fillId="35" borderId="0" xfId="7" applyFont="1" applyFill="1" applyAlignment="1" applyProtection="1">
      <protection hidden="1"/>
    </xf>
    <xf numFmtId="167" fontId="179" fillId="35" borderId="152" xfId="7" applyNumberFormat="1" applyFont="1" applyFill="1" applyBorder="1" applyAlignment="1" applyProtection="1">
      <alignment horizontal="center" vertical="center"/>
      <protection hidden="1"/>
    </xf>
    <xf numFmtId="167" fontId="179" fillId="35" borderId="158" xfId="7" applyNumberFormat="1" applyFont="1" applyFill="1" applyBorder="1" applyAlignment="1" applyProtection="1">
      <alignment horizontal="center" vertical="center"/>
      <protection hidden="1"/>
    </xf>
    <xf numFmtId="0" fontId="69" fillId="0" borderId="48" xfId="5" applyFill="1" applyBorder="1" applyProtection="1">
      <protection locked="0"/>
    </xf>
    <xf numFmtId="0" fontId="79" fillId="27" borderId="47" xfId="5" applyFont="1" applyFill="1" applyBorder="1" applyProtection="1">
      <protection locked="0"/>
    </xf>
    <xf numFmtId="0" fontId="55" fillId="35" borderId="75" xfId="7" applyFill="1" applyBorder="1" applyProtection="1">
      <protection locked="0"/>
    </xf>
    <xf numFmtId="0" fontId="55" fillId="35" borderId="50" xfId="7" applyFill="1" applyBorder="1" applyProtection="1">
      <protection locked="0"/>
    </xf>
    <xf numFmtId="0" fontId="55" fillId="35" borderId="67" xfId="7" applyFill="1" applyBorder="1" applyProtection="1">
      <protection locked="0"/>
    </xf>
    <xf numFmtId="0" fontId="55" fillId="35" borderId="65" xfId="7" applyFill="1" applyBorder="1" applyProtection="1">
      <protection locked="0"/>
    </xf>
    <xf numFmtId="0" fontId="55" fillId="35" borderId="0" xfId="7" applyFill="1" applyBorder="1" applyProtection="1">
      <protection locked="0"/>
    </xf>
    <xf numFmtId="0" fontId="55" fillId="35" borderId="48" xfId="7" applyFill="1" applyBorder="1" applyProtection="1">
      <protection locked="0"/>
    </xf>
    <xf numFmtId="0" fontId="55" fillId="35" borderId="65" xfId="7" applyFill="1" applyBorder="1" applyProtection="1">
      <protection hidden="1"/>
    </xf>
    <xf numFmtId="0" fontId="55" fillId="35" borderId="0" xfId="7" applyFill="1" applyBorder="1" applyProtection="1">
      <protection hidden="1"/>
    </xf>
    <xf numFmtId="0" fontId="55" fillId="35" borderId="51" xfId="7" applyFill="1" applyBorder="1" applyProtection="1">
      <protection locked="0"/>
    </xf>
    <xf numFmtId="0" fontId="55" fillId="35" borderId="91" xfId="7" applyFill="1" applyBorder="1" applyProtection="1">
      <protection locked="0"/>
    </xf>
    <xf numFmtId="0" fontId="97" fillId="61" borderId="128" xfId="5" applyFont="1" applyFill="1" applyBorder="1" applyProtection="1">
      <protection locked="0"/>
    </xf>
    <xf numFmtId="0" fontId="97" fillId="0" borderId="122" xfId="5" applyFont="1" applyFill="1" applyBorder="1" applyProtection="1">
      <protection locked="0"/>
    </xf>
    <xf numFmtId="0" fontId="69" fillId="19" borderId="6" xfId="5" applyFill="1" applyBorder="1" applyProtection="1">
      <protection locked="0"/>
    </xf>
    <xf numFmtId="0" fontId="97" fillId="61" borderId="106" xfId="5" applyFont="1" applyFill="1" applyBorder="1" applyProtection="1">
      <protection locked="0"/>
    </xf>
    <xf numFmtId="1" fontId="79" fillId="61" borderId="132" xfId="5" applyNumberFormat="1" applyFont="1" applyFill="1" applyBorder="1" applyProtection="1"/>
    <xf numFmtId="0" fontId="97" fillId="61" borderId="76" xfId="5" applyFont="1" applyFill="1" applyBorder="1" applyProtection="1">
      <protection locked="0"/>
    </xf>
    <xf numFmtId="169" fontId="79" fillId="61" borderId="127" xfId="5" applyNumberFormat="1" applyFont="1" applyFill="1" applyBorder="1" applyProtection="1"/>
    <xf numFmtId="169" fontId="79" fillId="61" borderId="129" xfId="5" applyNumberFormat="1" applyFont="1" applyFill="1" applyBorder="1" applyProtection="1"/>
    <xf numFmtId="0" fontId="55" fillId="35" borderId="50" xfId="7" applyFill="1" applyBorder="1" applyProtection="1">
      <protection hidden="1"/>
    </xf>
    <xf numFmtId="0" fontId="55" fillId="35" borderId="51" xfId="7" applyFill="1" applyBorder="1" applyProtection="1">
      <protection hidden="1"/>
    </xf>
    <xf numFmtId="0" fontId="79" fillId="27" borderId="67" xfId="5" applyFont="1" applyFill="1" applyBorder="1" applyProtection="1">
      <protection locked="0"/>
    </xf>
    <xf numFmtId="0" fontId="55" fillId="35" borderId="0" xfId="7" applyFill="1" applyBorder="1" applyAlignment="1" applyProtection="1">
      <protection locked="0"/>
    </xf>
    <xf numFmtId="0" fontId="55" fillId="35" borderId="48" xfId="7" applyFill="1" applyBorder="1" applyAlignment="1" applyProtection="1">
      <protection locked="0"/>
    </xf>
    <xf numFmtId="0" fontId="55" fillId="35" borderId="0" xfId="7" applyFill="1" applyBorder="1" applyAlignment="1" applyProtection="1">
      <alignment horizontal="left"/>
      <protection locked="0"/>
    </xf>
    <xf numFmtId="0" fontId="55" fillId="35" borderId="48" xfId="7" applyFill="1" applyBorder="1" applyAlignment="1" applyProtection="1">
      <alignment horizontal="left"/>
      <protection locked="0"/>
    </xf>
    <xf numFmtId="0" fontId="55" fillId="35" borderId="24" xfId="7" applyFill="1" applyBorder="1" applyProtection="1">
      <protection locked="0"/>
    </xf>
    <xf numFmtId="0" fontId="69" fillId="0" borderId="2" xfId="5" applyBorder="1" applyAlignment="1">
      <alignment horizontal="left"/>
    </xf>
    <xf numFmtId="0" fontId="69" fillId="0" borderId="103" xfId="5" applyBorder="1" applyAlignment="1">
      <alignment horizontal="left"/>
    </xf>
    <xf numFmtId="0" fontId="69" fillId="0" borderId="2" xfId="5" applyBorder="1" applyAlignment="1">
      <alignment horizontal="center"/>
    </xf>
    <xf numFmtId="0" fontId="55" fillId="61" borderId="159" xfId="5" applyFont="1" applyFill="1" applyBorder="1" applyAlignment="1">
      <alignment horizontal="center" vertical="center"/>
    </xf>
    <xf numFmtId="0" fontId="55" fillId="61" borderId="199" xfId="5" applyFont="1" applyFill="1" applyBorder="1" applyAlignment="1">
      <alignment horizontal="center" vertical="center"/>
    </xf>
    <xf numFmtId="0" fontId="55" fillId="61" borderId="6" xfId="5" applyFont="1" applyFill="1" applyBorder="1" applyAlignment="1">
      <alignment horizontal="center" vertical="center"/>
    </xf>
    <xf numFmtId="0" fontId="55" fillId="61" borderId="189" xfId="5" applyFont="1" applyFill="1" applyBorder="1" applyAlignment="1">
      <alignment horizontal="center" vertical="center"/>
    </xf>
    <xf numFmtId="167" fontId="0" fillId="0" borderId="0" xfId="0" applyNumberFormat="1"/>
    <xf numFmtId="0" fontId="98" fillId="61" borderId="46" xfId="5" applyFont="1" applyFill="1" applyBorder="1"/>
    <xf numFmtId="2" fontId="81" fillId="61" borderId="46" xfId="5" applyNumberFormat="1" applyFont="1" applyFill="1" applyBorder="1"/>
    <xf numFmtId="169" fontId="81" fillId="61" borderId="46" xfId="5" applyNumberFormat="1" applyFont="1" applyFill="1" applyBorder="1"/>
    <xf numFmtId="0" fontId="210" fillId="43" borderId="143" xfId="0" applyFont="1" applyFill="1" applyBorder="1" applyAlignment="1" applyProtection="1">
      <alignment vertical="center" wrapText="1"/>
    </xf>
    <xf numFmtId="0" fontId="210" fillId="43" borderId="144" xfId="0" applyFont="1" applyFill="1" applyBorder="1" applyAlignment="1" applyProtection="1">
      <alignment vertical="center" wrapText="1"/>
    </xf>
    <xf numFmtId="0" fontId="55" fillId="43" borderId="119" xfId="5" applyFont="1" applyFill="1" applyBorder="1"/>
    <xf numFmtId="0" fontId="55" fillId="43" borderId="46" xfId="5" applyFont="1" applyFill="1" applyBorder="1"/>
    <xf numFmtId="0" fontId="55" fillId="43" borderId="79" xfId="5" applyFont="1" applyFill="1" applyBorder="1"/>
    <xf numFmtId="0" fontId="55" fillId="43" borderId="8" xfId="5" applyFont="1" applyFill="1" applyBorder="1"/>
    <xf numFmtId="0" fontId="55" fillId="43" borderId="107" xfId="5" applyFont="1" applyFill="1" applyBorder="1"/>
    <xf numFmtId="0" fontId="55" fillId="43" borderId="47" xfId="5" quotePrefix="1" applyFont="1" applyFill="1" applyBorder="1"/>
    <xf numFmtId="0" fontId="69" fillId="0" borderId="161" xfId="5" applyFill="1" applyBorder="1" applyProtection="1">
      <protection locked="0"/>
    </xf>
    <xf numFmtId="0" fontId="69" fillId="0" borderId="8" xfId="5" applyFill="1" applyBorder="1" applyProtection="1">
      <protection locked="0"/>
    </xf>
    <xf numFmtId="0" fontId="69" fillId="0" borderId="107" xfId="5" applyFill="1" applyBorder="1" applyProtection="1">
      <protection locked="0"/>
    </xf>
    <xf numFmtId="183" fontId="69" fillId="0" borderId="23" xfId="5" applyNumberFormat="1" applyFill="1" applyBorder="1" applyProtection="1">
      <protection locked="0"/>
    </xf>
    <xf numFmtId="167" fontId="81" fillId="34" borderId="2" xfId="5" applyNumberFormat="1" applyFont="1" applyFill="1" applyBorder="1" applyAlignment="1">
      <alignment horizontal="center"/>
    </xf>
    <xf numFmtId="0" fontId="79" fillId="34" borderId="46" xfId="5" applyFont="1" applyFill="1" applyBorder="1"/>
    <xf numFmtId="167" fontId="81" fillId="34" borderId="23" xfId="5" applyNumberFormat="1" applyFont="1" applyFill="1" applyBorder="1"/>
    <xf numFmtId="0" fontId="81" fillId="34" borderId="47" xfId="5" applyFont="1" applyFill="1" applyBorder="1"/>
    <xf numFmtId="167" fontId="123" fillId="27" borderId="131" xfId="5" applyNumberFormat="1" applyFont="1" applyFill="1" applyBorder="1"/>
    <xf numFmtId="0" fontId="123" fillId="27" borderId="132" xfId="5" applyFont="1" applyFill="1" applyBorder="1"/>
    <xf numFmtId="0" fontId="105" fillId="97" borderId="189" xfId="5" applyFont="1" applyFill="1" applyBorder="1"/>
    <xf numFmtId="168" fontId="105" fillId="97" borderId="209" xfId="5" applyNumberFormat="1" applyFont="1" applyFill="1" applyBorder="1"/>
    <xf numFmtId="0" fontId="105" fillId="97" borderId="210" xfId="5" applyFont="1" applyFill="1" applyBorder="1"/>
    <xf numFmtId="185" fontId="81" fillId="34" borderId="23" xfId="0" applyNumberFormat="1" applyFont="1" applyFill="1" applyBorder="1" applyAlignment="1" applyProtection="1">
      <alignment horizontal="left" vertical="center"/>
    </xf>
    <xf numFmtId="0" fontId="164" fillId="0" borderId="0" xfId="0" applyFont="1"/>
    <xf numFmtId="0" fontId="159" fillId="0" borderId="2" xfId="0" applyFont="1" applyBorder="1" applyAlignment="1">
      <alignment horizontal="center" vertical="center" wrapText="1"/>
    </xf>
    <xf numFmtId="0" fontId="159" fillId="0" borderId="2" xfId="0" applyFont="1" applyBorder="1" applyAlignment="1">
      <alignment horizontal="left"/>
    </xf>
    <xf numFmtId="0" fontId="0" fillId="43" borderId="2" xfId="0" applyFill="1" applyBorder="1" applyAlignment="1">
      <alignment horizontal="center" vertical="center" wrapText="1"/>
    </xf>
    <xf numFmtId="0" fontId="0" fillId="43" borderId="1" xfId="0" applyFill="1" applyBorder="1" applyAlignment="1">
      <alignment vertical="center"/>
    </xf>
    <xf numFmtId="0" fontId="0" fillId="0" borderId="7" xfId="0" applyBorder="1" applyAlignment="1">
      <alignment vertical="center"/>
    </xf>
    <xf numFmtId="0" fontId="159" fillId="0" borderId="1" xfId="0" applyFont="1" applyBorder="1" applyAlignment="1"/>
    <xf numFmtId="0" fontId="0" fillId="43" borderId="2" xfId="0" applyFill="1" applyBorder="1" applyAlignment="1">
      <alignment horizontal="center" vertical="center"/>
    </xf>
    <xf numFmtId="0" fontId="0" fillId="43" borderId="5" xfId="0" applyFill="1" applyBorder="1" applyAlignment="1">
      <alignment vertical="center"/>
    </xf>
    <xf numFmtId="0" fontId="0" fillId="0" borderId="3" xfId="0" applyBorder="1" applyAlignment="1">
      <alignment vertical="center"/>
    </xf>
    <xf numFmtId="0" fontId="0" fillId="78" borderId="1" xfId="0" applyFill="1" applyBorder="1"/>
    <xf numFmtId="0" fontId="0" fillId="0" borderId="93" xfId="0" applyBorder="1"/>
    <xf numFmtId="0" fontId="232" fillId="43" borderId="46" xfId="0" applyFont="1" applyFill="1" applyBorder="1" applyAlignment="1" applyProtection="1"/>
    <xf numFmtId="0" fontId="232" fillId="43" borderId="47" xfId="0" applyFont="1" applyFill="1" applyBorder="1" applyAlignment="1" applyProtection="1">
      <alignment horizontal="left"/>
    </xf>
    <xf numFmtId="0" fontId="232" fillId="0" borderId="51" xfId="0" applyFont="1" applyBorder="1" applyAlignment="1" applyProtection="1"/>
    <xf numFmtId="0" fontId="159" fillId="20" borderId="121" xfId="0" applyFont="1" applyFill="1" applyBorder="1" applyAlignment="1" applyProtection="1"/>
    <xf numFmtId="0" fontId="159" fillId="43" borderId="121" xfId="0" applyFont="1" applyFill="1" applyBorder="1" applyAlignment="1" applyProtection="1"/>
    <xf numFmtId="0" fontId="159" fillId="20" borderId="161" xfId="0" applyFont="1" applyFill="1" applyBorder="1" applyAlignment="1" applyProtection="1"/>
    <xf numFmtId="0" fontId="159" fillId="20" borderId="94" xfId="0" applyFont="1" applyFill="1" applyBorder="1" applyAlignment="1" applyProtection="1"/>
    <xf numFmtId="0" fontId="159" fillId="20" borderId="79" xfId="0" applyFont="1" applyFill="1" applyBorder="1" applyAlignment="1" applyProtection="1"/>
    <xf numFmtId="0" fontId="159" fillId="20" borderId="93" xfId="0" applyFont="1" applyFill="1" applyBorder="1" applyAlignment="1" applyProtection="1"/>
    <xf numFmtId="0" fontId="159" fillId="43" borderId="167" xfId="0" applyFont="1" applyFill="1" applyBorder="1" applyAlignment="1" applyProtection="1"/>
    <xf numFmtId="0" fontId="159" fillId="20" borderId="23" xfId="0" applyFont="1" applyFill="1" applyBorder="1" applyAlignment="1" applyProtection="1"/>
    <xf numFmtId="0" fontId="159" fillId="20" borderId="47" xfId="0" applyFont="1" applyFill="1" applyBorder="1" applyAlignment="1" applyProtection="1"/>
    <xf numFmtId="0" fontId="55" fillId="0" borderId="205" xfId="14" applyBorder="1" applyProtection="1"/>
    <xf numFmtId="167" fontId="55" fillId="43" borderId="205" xfId="14" applyNumberFormat="1" applyFill="1" applyBorder="1" applyProtection="1">
      <protection locked="0"/>
    </xf>
    <xf numFmtId="167" fontId="210" fillId="78" borderId="194" xfId="0" applyNumberFormat="1" applyFont="1" applyFill="1" applyBorder="1" applyProtection="1">
      <protection locked="0"/>
    </xf>
    <xf numFmtId="167" fontId="210" fillId="78" borderId="189" xfId="0" applyNumberFormat="1" applyFont="1" applyFill="1" applyBorder="1" applyProtection="1">
      <protection locked="0"/>
    </xf>
    <xf numFmtId="0" fontId="79" fillId="0" borderId="199" xfId="14" applyFont="1" applyBorder="1" applyProtection="1"/>
    <xf numFmtId="0" fontId="55" fillId="0" borderId="96" xfId="14" applyBorder="1" applyProtection="1"/>
    <xf numFmtId="167" fontId="55" fillId="43" borderId="96" xfId="14" applyNumberFormat="1" applyFill="1" applyBorder="1" applyProtection="1">
      <protection locked="0"/>
    </xf>
    <xf numFmtId="0" fontId="79" fillId="0" borderId="104" xfId="14" applyFont="1" applyBorder="1" applyProtection="1"/>
    <xf numFmtId="167" fontId="55" fillId="19" borderId="98" xfId="14" applyNumberFormat="1" applyFill="1" applyBorder="1" applyProtection="1">
      <protection locked="0"/>
    </xf>
    <xf numFmtId="167" fontId="55" fillId="78" borderId="7" xfId="14" applyNumberFormat="1" applyFill="1" applyBorder="1" applyProtection="1">
      <protection locked="0"/>
    </xf>
    <xf numFmtId="167" fontId="55" fillId="78" borderId="2" xfId="14" applyNumberFormat="1" applyFill="1" applyBorder="1" applyProtection="1">
      <protection locked="0"/>
    </xf>
    <xf numFmtId="169" fontId="55" fillId="45" borderId="198" xfId="14" applyNumberFormat="1" applyFill="1" applyBorder="1" applyProtection="1"/>
    <xf numFmtId="169" fontId="55" fillId="45" borderId="2" xfId="14" applyNumberFormat="1" applyFill="1" applyBorder="1" applyProtection="1"/>
    <xf numFmtId="0" fontId="55" fillId="0" borderId="96" xfId="14" quotePrefix="1" applyBorder="1" applyProtection="1"/>
    <xf numFmtId="169" fontId="55" fillId="45" borderId="103" xfId="14" applyNumberFormat="1" applyFill="1" applyBorder="1" applyProtection="1"/>
    <xf numFmtId="0" fontId="55" fillId="45" borderId="103" xfId="14" applyFill="1" applyBorder="1" applyProtection="1"/>
    <xf numFmtId="0" fontId="55" fillId="45" borderId="2" xfId="14" applyFill="1" applyBorder="1" applyProtection="1"/>
    <xf numFmtId="0" fontId="55" fillId="78" borderId="96" xfId="14" applyFill="1" applyBorder="1" applyProtection="1"/>
    <xf numFmtId="169" fontId="55" fillId="78" borderId="103" xfId="14" applyNumberFormat="1" applyFill="1" applyBorder="1" applyProtection="1"/>
    <xf numFmtId="169" fontId="55" fillId="78" borderId="2" xfId="14" applyNumberFormat="1" applyFill="1" applyBorder="1" applyProtection="1"/>
    <xf numFmtId="0" fontId="79" fillId="78" borderId="104" xfId="14" applyFont="1" applyFill="1" applyBorder="1" applyProtection="1"/>
    <xf numFmtId="0" fontId="55" fillId="78" borderId="98" xfId="14" applyFill="1" applyBorder="1" applyProtection="1"/>
    <xf numFmtId="169" fontId="55" fillId="78" borderId="128" xfId="14" applyNumberFormat="1" applyFill="1" applyBorder="1" applyProtection="1"/>
    <xf numFmtId="169" fontId="55" fillId="78" borderId="100" xfId="14" applyNumberFormat="1" applyFill="1" applyBorder="1" applyProtection="1"/>
    <xf numFmtId="0" fontId="79" fillId="78" borderId="129" xfId="14" applyFont="1" applyFill="1" applyBorder="1" applyProtection="1"/>
    <xf numFmtId="167" fontId="55" fillId="45" borderId="198" xfId="14" applyNumberFormat="1" applyFill="1" applyBorder="1" applyProtection="1"/>
    <xf numFmtId="167" fontId="55" fillId="45" borderId="189" xfId="14" applyNumberFormat="1" applyFill="1" applyBorder="1" applyProtection="1"/>
    <xf numFmtId="0" fontId="79" fillId="0" borderId="199" xfId="14" quotePrefix="1" applyFont="1" applyBorder="1" applyProtection="1"/>
    <xf numFmtId="0" fontId="55" fillId="0" borderId="98" xfId="14" applyBorder="1" applyProtection="1"/>
    <xf numFmtId="167" fontId="55" fillId="45" borderId="128" xfId="14" applyNumberFormat="1" applyFill="1" applyBorder="1" applyProtection="1"/>
    <xf numFmtId="167" fontId="55" fillId="45" borderId="100" xfId="14" applyNumberFormat="1" applyFill="1" applyBorder="1" applyProtection="1"/>
    <xf numFmtId="0" fontId="79" fillId="0" borderId="129" xfId="14" applyFont="1" applyBorder="1" applyProtection="1"/>
    <xf numFmtId="0" fontId="159" fillId="79" borderId="121" xfId="0" applyFont="1" applyFill="1" applyBorder="1" applyAlignment="1" applyProtection="1"/>
    <xf numFmtId="0" fontId="159" fillId="79" borderId="75" xfId="0" applyFont="1" applyFill="1" applyBorder="1" applyAlignment="1" applyProtection="1"/>
    <xf numFmtId="0" fontId="159" fillId="79" borderId="161" xfId="0" applyFont="1" applyFill="1" applyBorder="1" applyAlignment="1" applyProtection="1"/>
    <xf numFmtId="0" fontId="159" fillId="79" borderId="79" xfId="0" applyFont="1" applyFill="1" applyBorder="1" applyAlignment="1" applyProtection="1"/>
    <xf numFmtId="0" fontId="55" fillId="37" borderId="96" xfId="14" applyFill="1" applyBorder="1" applyProtection="1"/>
    <xf numFmtId="167" fontId="55" fillId="19" borderId="121" xfId="14" applyNumberFormat="1" applyFill="1" applyBorder="1" applyProtection="1">
      <protection locked="0"/>
    </xf>
    <xf numFmtId="167" fontId="55" fillId="78" borderId="198" xfId="14" applyNumberFormat="1" applyFill="1" applyBorder="1" applyProtection="1"/>
    <xf numFmtId="167" fontId="55" fillId="78" borderId="2" xfId="14" applyNumberFormat="1" applyFill="1" applyBorder="1" applyProtection="1"/>
    <xf numFmtId="0" fontId="0" fillId="0" borderId="121" xfId="0" applyBorder="1" applyProtection="1"/>
    <xf numFmtId="0" fontId="0" fillId="78" borderId="121" xfId="0" applyFill="1" applyBorder="1" applyProtection="1">
      <protection locked="0"/>
    </xf>
    <xf numFmtId="0" fontId="0" fillId="78" borderId="78" xfId="0" applyFill="1" applyBorder="1" applyProtection="1">
      <protection locked="0"/>
    </xf>
    <xf numFmtId="0" fontId="0" fillId="78" borderId="77" xfId="0" applyFill="1" applyBorder="1" applyProtection="1">
      <protection locked="0"/>
    </xf>
    <xf numFmtId="0" fontId="0" fillId="0" borderId="205" xfId="0" applyBorder="1" applyProtection="1"/>
    <xf numFmtId="0" fontId="0" fillId="78" borderId="96" xfId="0" applyFill="1" applyBorder="1" applyProtection="1">
      <protection locked="0"/>
    </xf>
    <xf numFmtId="0" fontId="0" fillId="78" borderId="7" xfId="0" applyFill="1" applyBorder="1" applyProtection="1">
      <protection locked="0"/>
    </xf>
    <xf numFmtId="0" fontId="0" fillId="78" borderId="2" xfId="0" applyFill="1" applyBorder="1" applyProtection="1">
      <protection locked="0"/>
    </xf>
    <xf numFmtId="0" fontId="0" fillId="0" borderId="97" xfId="0" applyBorder="1" applyProtection="1"/>
    <xf numFmtId="0" fontId="0" fillId="78" borderId="97" xfId="0" applyFill="1" applyBorder="1" applyProtection="1">
      <protection locked="0"/>
    </xf>
    <xf numFmtId="0" fontId="0" fillId="78" borderId="3" xfId="0" applyFill="1" applyBorder="1" applyProtection="1">
      <protection locked="0"/>
    </xf>
    <xf numFmtId="0" fontId="0" fillId="78" borderId="6" xfId="0" applyFill="1" applyBorder="1" applyProtection="1">
      <protection locked="0"/>
    </xf>
    <xf numFmtId="0" fontId="0" fillId="0" borderId="159" xfId="0" applyBorder="1" applyProtection="1"/>
    <xf numFmtId="0" fontId="159" fillId="78" borderId="93" xfId="0" applyFont="1" applyFill="1" applyBorder="1" applyProtection="1"/>
    <xf numFmtId="0" fontId="159" fillId="78" borderId="106" xfId="0" applyFont="1" applyFill="1" applyBorder="1" applyProtection="1"/>
    <xf numFmtId="0" fontId="159" fillId="78" borderId="131" xfId="0" applyFont="1" applyFill="1" applyBorder="1" applyProtection="1"/>
    <xf numFmtId="0" fontId="159" fillId="78" borderId="94" xfId="0" applyFont="1" applyFill="1" applyBorder="1" applyProtection="1"/>
    <xf numFmtId="0" fontId="159" fillId="78" borderId="167" xfId="0" applyFont="1" applyFill="1" applyBorder="1" applyProtection="1"/>
    <xf numFmtId="0" fontId="159" fillId="78" borderId="147" xfId="0" applyFont="1" applyFill="1" applyBorder="1" applyProtection="1"/>
    <xf numFmtId="0" fontId="159" fillId="78" borderId="203" xfId="0" applyFont="1" applyFill="1" applyBorder="1" applyProtection="1"/>
    <xf numFmtId="0" fontId="159" fillId="78" borderId="176" xfId="0" applyFont="1" applyFill="1" applyBorder="1" applyProtection="1"/>
    <xf numFmtId="0" fontId="0" fillId="43" borderId="76" xfId="0" applyFill="1" applyBorder="1" applyProtection="1">
      <protection locked="0"/>
    </xf>
    <xf numFmtId="1" fontId="210" fillId="78" borderId="189" xfId="0" applyNumberFormat="1" applyFont="1" applyFill="1" applyBorder="1" applyProtection="1">
      <protection locked="0"/>
    </xf>
    <xf numFmtId="0" fontId="0" fillId="0" borderId="102" xfId="0" applyFill="1" applyBorder="1" applyProtection="1"/>
    <xf numFmtId="0" fontId="0" fillId="43" borderId="198" xfId="0" applyFill="1" applyBorder="1" applyProtection="1">
      <protection locked="0"/>
    </xf>
    <xf numFmtId="0" fontId="0" fillId="37" borderId="102" xfId="0" applyFill="1" applyBorder="1" applyProtection="1"/>
    <xf numFmtId="0" fontId="0" fillId="43" borderId="147" xfId="0" applyFill="1" applyBorder="1" applyProtection="1">
      <protection locked="0"/>
    </xf>
    <xf numFmtId="0" fontId="223" fillId="78" borderId="93" xfId="0" applyFont="1" applyFill="1" applyBorder="1" applyProtection="1"/>
    <xf numFmtId="0" fontId="223" fillId="78" borderId="106" xfId="0" applyFont="1" applyFill="1" applyBorder="1" applyProtection="1"/>
    <xf numFmtId="0" fontId="223" fillId="78" borderId="131" xfId="0" applyFont="1" applyFill="1" applyBorder="1" applyProtection="1"/>
    <xf numFmtId="0" fontId="223" fillId="78" borderId="94" xfId="0" applyFont="1" applyFill="1" applyBorder="1" applyProtection="1"/>
    <xf numFmtId="0" fontId="0" fillId="37" borderId="205" xfId="0" applyFill="1" applyBorder="1" applyProtection="1"/>
    <xf numFmtId="0" fontId="0" fillId="43" borderId="93" xfId="0" applyFill="1" applyBorder="1" applyProtection="1">
      <protection locked="0"/>
    </xf>
    <xf numFmtId="0" fontId="0" fillId="78" borderId="194" xfId="0" applyFill="1" applyBorder="1" applyProtection="1">
      <protection locked="0"/>
    </xf>
    <xf numFmtId="0" fontId="0" fillId="78" borderId="189" xfId="0" applyFill="1" applyBorder="1" applyProtection="1">
      <protection locked="0"/>
    </xf>
    <xf numFmtId="0" fontId="159" fillId="78" borderId="96" xfId="0" applyFont="1" applyFill="1" applyBorder="1" applyProtection="1"/>
    <xf numFmtId="0" fontId="159" fillId="78" borderId="175" xfId="0" applyFont="1" applyFill="1" applyBorder="1" applyProtection="1"/>
    <xf numFmtId="183" fontId="55" fillId="43" borderId="93" xfId="14" applyNumberFormat="1" applyFill="1" applyBorder="1" applyProtection="1">
      <protection locked="0"/>
    </xf>
    <xf numFmtId="183" fontId="55" fillId="78" borderId="7" xfId="14" applyNumberFormat="1" applyFill="1" applyBorder="1" applyProtection="1">
      <protection locked="0"/>
    </xf>
    <xf numFmtId="183" fontId="55" fillId="78" borderId="2" xfId="14" applyNumberFormat="1" applyFill="1" applyBorder="1" applyProtection="1">
      <protection locked="0"/>
    </xf>
    <xf numFmtId="0" fontId="55" fillId="0" borderId="104" xfId="14" applyFont="1" applyBorder="1" applyProtection="1"/>
    <xf numFmtId="0" fontId="55" fillId="78" borderId="205" xfId="14" applyFont="1" applyFill="1" applyBorder="1" applyProtection="1"/>
    <xf numFmtId="167" fontId="55" fillId="78" borderId="198" xfId="14" applyNumberFormat="1" applyFont="1" applyFill="1" applyBorder="1" applyAlignment="1" applyProtection="1">
      <alignment vertical="center"/>
    </xf>
    <xf numFmtId="167" fontId="55" fillId="78" borderId="189" xfId="14" applyNumberFormat="1" applyFont="1" applyFill="1" applyBorder="1" applyAlignment="1" applyProtection="1">
      <alignment vertical="center"/>
    </xf>
    <xf numFmtId="0" fontId="223" fillId="78" borderId="98" xfId="0" applyFont="1" applyFill="1" applyBorder="1" applyProtection="1"/>
    <xf numFmtId="167" fontId="223" fillId="78" borderId="128" xfId="0" applyNumberFormat="1" applyFont="1" applyFill="1" applyBorder="1" applyProtection="1"/>
    <xf numFmtId="0" fontId="197" fillId="37" borderId="93" xfId="0" applyFont="1" applyFill="1" applyBorder="1" applyProtection="1"/>
    <xf numFmtId="167" fontId="197" fillId="41" borderId="106" xfId="0" applyNumberFormat="1" applyFont="1" applyFill="1" applyBorder="1" applyProtection="1"/>
    <xf numFmtId="0" fontId="232" fillId="41" borderId="93" xfId="0" applyFont="1" applyFill="1" applyBorder="1" applyProtection="1"/>
    <xf numFmtId="167" fontId="232" fillId="41" borderId="106" xfId="0" applyNumberFormat="1" applyFont="1" applyFill="1" applyBorder="1" applyProtection="1"/>
    <xf numFmtId="0" fontId="232" fillId="78" borderId="92" xfId="0" applyFont="1" applyFill="1" applyBorder="1" applyProtection="1"/>
    <xf numFmtId="167" fontId="81" fillId="78" borderId="124" xfId="14" applyNumberFormat="1" applyFont="1" applyFill="1" applyBorder="1" applyProtection="1"/>
    <xf numFmtId="167" fontId="81" fillId="78" borderId="125" xfId="14" applyNumberFormat="1" applyFont="1" applyFill="1" applyBorder="1" applyProtection="1"/>
    <xf numFmtId="0" fontId="232" fillId="78" borderId="126" xfId="0" applyFont="1" applyFill="1" applyBorder="1" applyProtection="1"/>
    <xf numFmtId="0" fontId="197" fillId="0" borderId="93" xfId="0" applyFont="1" applyBorder="1"/>
    <xf numFmtId="167" fontId="197" fillId="78" borderId="106" xfId="0" applyNumberFormat="1" applyFont="1" applyFill="1" applyBorder="1"/>
    <xf numFmtId="167" fontId="197" fillId="78" borderId="131" xfId="0" applyNumberFormat="1" applyFont="1" applyFill="1" applyBorder="1"/>
    <xf numFmtId="0" fontId="81" fillId="0" borderId="132" xfId="14" applyFont="1" applyBorder="1" applyProtection="1"/>
    <xf numFmtId="0" fontId="0" fillId="0" borderId="205" xfId="0" applyBorder="1"/>
    <xf numFmtId="167" fontId="0" fillId="43" borderId="93" xfId="0" applyNumberFormat="1" applyFill="1" applyBorder="1"/>
    <xf numFmtId="167" fontId="0" fillId="78" borderId="194" xfId="0" applyNumberFormat="1" applyFill="1" applyBorder="1" applyProtection="1">
      <protection locked="0"/>
    </xf>
    <xf numFmtId="167" fontId="0" fillId="78" borderId="189" xfId="0" applyNumberFormat="1" applyFill="1" applyBorder="1" applyProtection="1">
      <protection locked="0"/>
    </xf>
    <xf numFmtId="0" fontId="0" fillId="0" borderId="199" xfId="0" applyBorder="1"/>
    <xf numFmtId="0" fontId="0" fillId="0" borderId="96" xfId="0" applyBorder="1"/>
    <xf numFmtId="167" fontId="159" fillId="78" borderId="198" xfId="0" applyNumberFormat="1" applyFont="1" applyFill="1" applyBorder="1"/>
    <xf numFmtId="167" fontId="159" fillId="78" borderId="2" xfId="0" applyNumberFormat="1" applyFont="1" applyFill="1" applyBorder="1"/>
    <xf numFmtId="0" fontId="159" fillId="0" borderId="98" xfId="0" applyFont="1" applyBorder="1" applyProtection="1"/>
    <xf numFmtId="167" fontId="159" fillId="78" borderId="128" xfId="0" applyNumberFormat="1" applyFont="1" applyFill="1" applyBorder="1" applyProtection="1">
      <protection locked="0"/>
    </xf>
    <xf numFmtId="167" fontId="159" fillId="78" borderId="100" xfId="0" applyNumberFormat="1" applyFont="1" applyFill="1" applyBorder="1" applyProtection="1">
      <protection locked="0"/>
    </xf>
    <xf numFmtId="0" fontId="0" fillId="0" borderId="129" xfId="0" applyBorder="1" applyProtection="1"/>
    <xf numFmtId="167" fontId="242" fillId="0" borderId="0" xfId="0" applyNumberFormat="1" applyFont="1"/>
    <xf numFmtId="167" fontId="0" fillId="78" borderId="8" xfId="0" applyNumberFormat="1" applyFill="1" applyBorder="1"/>
    <xf numFmtId="167" fontId="0" fillId="78" borderId="7" xfId="0" applyNumberFormat="1" applyFill="1" applyBorder="1" applyAlignment="1">
      <alignment horizontal="left"/>
    </xf>
    <xf numFmtId="0" fontId="0" fillId="78" borderId="2" xfId="0" applyFill="1" applyBorder="1" applyAlignment="1">
      <alignment horizontal="left"/>
    </xf>
    <xf numFmtId="0" fontId="0" fillId="0" borderId="189" xfId="0" applyBorder="1"/>
    <xf numFmtId="167" fontId="0" fillId="0" borderId="189" xfId="0" applyNumberFormat="1" applyBorder="1"/>
    <xf numFmtId="0" fontId="159" fillId="0" borderId="2" xfId="0" applyFont="1" applyBorder="1" applyAlignment="1">
      <alignment wrapText="1"/>
    </xf>
    <xf numFmtId="0" fontId="242" fillId="0" borderId="0" xfId="0" applyFont="1"/>
    <xf numFmtId="167" fontId="0" fillId="78" borderId="1" xfId="0" applyNumberFormat="1" applyFill="1" applyBorder="1"/>
    <xf numFmtId="169" fontId="0" fillId="0" borderId="2" xfId="0" applyNumberFormat="1" applyBorder="1"/>
    <xf numFmtId="0" fontId="159" fillId="0" borderId="189" xfId="0" applyFont="1" applyBorder="1" applyAlignment="1">
      <alignment vertical="center" wrapText="1"/>
    </xf>
    <xf numFmtId="167" fontId="0" fillId="78" borderId="192" xfId="0" applyNumberFormat="1" applyFill="1" applyBorder="1"/>
    <xf numFmtId="167" fontId="0" fillId="78" borderId="194" xfId="0" applyNumberFormat="1" applyFill="1" applyBorder="1" applyAlignment="1">
      <alignment horizontal="left"/>
    </xf>
    <xf numFmtId="0" fontId="0" fillId="78" borderId="189" xfId="0" applyFill="1" applyBorder="1" applyAlignment="1">
      <alignment horizontal="left"/>
    </xf>
    <xf numFmtId="167" fontId="159" fillId="0" borderId="2" xfId="0" applyNumberFormat="1" applyFont="1" applyBorder="1"/>
    <xf numFmtId="167" fontId="0" fillId="0" borderId="5" xfId="0" applyNumberFormat="1" applyFill="1" applyBorder="1"/>
    <xf numFmtId="167" fontId="0" fillId="0" borderId="105" xfId="0" applyNumberFormat="1" applyBorder="1"/>
    <xf numFmtId="167" fontId="0" fillId="0" borderId="2" xfId="0" applyNumberFormat="1" applyFill="1" applyBorder="1"/>
    <xf numFmtId="167" fontId="0" fillId="0" borderId="192" xfId="0" applyNumberFormat="1" applyBorder="1"/>
    <xf numFmtId="0" fontId="159" fillId="0" borderId="0" xfId="0" applyFont="1"/>
    <xf numFmtId="0" fontId="0" fillId="59" borderId="0" xfId="0" applyFill="1"/>
    <xf numFmtId="0" fontId="159" fillId="59" borderId="2" xfId="0" applyFont="1" applyFill="1" applyBorder="1" applyAlignment="1">
      <alignment wrapText="1"/>
    </xf>
    <xf numFmtId="0" fontId="242" fillId="59" borderId="0" xfId="0" applyFont="1" applyFill="1"/>
    <xf numFmtId="167" fontId="0" fillId="59" borderId="1" xfId="0" applyNumberFormat="1" applyFill="1" applyBorder="1"/>
    <xf numFmtId="167" fontId="0" fillId="59" borderId="7" xfId="0" applyNumberFormat="1" applyFill="1" applyBorder="1" applyAlignment="1">
      <alignment horizontal="left"/>
    </xf>
    <xf numFmtId="0" fontId="0" fillId="59" borderId="2" xfId="0" applyFill="1" applyBorder="1" applyAlignment="1">
      <alignment horizontal="left"/>
    </xf>
    <xf numFmtId="0" fontId="0" fillId="59" borderId="2" xfId="0" applyFill="1" applyBorder="1"/>
    <xf numFmtId="169" fontId="0" fillId="59" borderId="2" xfId="0" applyNumberFormat="1" applyFill="1" applyBorder="1"/>
    <xf numFmtId="167" fontId="159" fillId="59" borderId="2" xfId="0" applyNumberFormat="1" applyFont="1" applyFill="1" applyBorder="1"/>
    <xf numFmtId="167" fontId="0" fillId="59" borderId="2" xfId="0" applyNumberFormat="1" applyFill="1" applyBorder="1"/>
    <xf numFmtId="0" fontId="244" fillId="0" borderId="2" xfId="12" applyFont="1" applyBorder="1" applyAlignment="1" applyProtection="1">
      <alignment horizontal="left" vertical="center" wrapText="1"/>
    </xf>
    <xf numFmtId="167" fontId="69" fillId="43" borderId="22" xfId="5" applyNumberFormat="1" applyFill="1" applyBorder="1" applyAlignment="1" applyProtection="1">
      <alignment vertical="center"/>
      <protection locked="0"/>
    </xf>
    <xf numFmtId="1" fontId="79" fillId="43" borderId="2" xfId="5" applyNumberFormat="1" applyFont="1" applyFill="1" applyBorder="1" applyAlignment="1" applyProtection="1">
      <alignment vertical="center"/>
      <protection locked="0"/>
    </xf>
    <xf numFmtId="183" fontId="79" fillId="43" borderId="2" xfId="5" applyNumberFormat="1" applyFont="1" applyFill="1" applyBorder="1" applyAlignment="1" applyProtection="1">
      <alignment vertical="center"/>
      <protection locked="0"/>
    </xf>
    <xf numFmtId="1" fontId="79" fillId="43" borderId="77" xfId="5" applyNumberFormat="1" applyFont="1" applyFill="1" applyBorder="1" applyAlignment="1" applyProtection="1">
      <alignment vertical="center"/>
      <protection locked="0"/>
    </xf>
    <xf numFmtId="167" fontId="69" fillId="43" borderId="189" xfId="5" applyNumberFormat="1" applyFill="1" applyBorder="1" applyAlignment="1" applyProtection="1">
      <alignment vertical="center"/>
      <protection locked="0"/>
    </xf>
    <xf numFmtId="1" fontId="0" fillId="43" borderId="2" xfId="0" applyNumberFormat="1" applyFill="1" applyBorder="1" applyAlignment="1" applyProtection="1">
      <alignment horizontal="center"/>
      <protection locked="0"/>
    </xf>
    <xf numFmtId="1" fontId="79" fillId="34" borderId="131" xfId="0" applyNumberFormat="1" applyFont="1" applyFill="1" applyBorder="1" applyAlignment="1" applyProtection="1">
      <alignment horizontal="center"/>
      <protection locked="0"/>
    </xf>
    <xf numFmtId="1" fontId="79" fillId="34" borderId="132" xfId="0" applyNumberFormat="1" applyFont="1" applyFill="1" applyBorder="1" applyAlignment="1" applyProtection="1">
      <alignment horizontal="center"/>
      <protection locked="0"/>
    </xf>
    <xf numFmtId="0" fontId="0" fillId="43" borderId="193" xfId="0" applyFill="1" applyBorder="1" applyAlignment="1" applyProtection="1">
      <alignment horizontal="center"/>
      <protection locked="0"/>
    </xf>
    <xf numFmtId="0" fontId="79" fillId="43" borderId="8" xfId="0" applyFont="1" applyFill="1" applyBorder="1" applyProtection="1">
      <protection locked="0"/>
    </xf>
    <xf numFmtId="176" fontId="55" fillId="34" borderId="0" xfId="5" applyNumberFormat="1" applyFont="1" applyFill="1" applyBorder="1" applyAlignment="1">
      <alignment vertical="center"/>
    </xf>
    <xf numFmtId="0" fontId="55" fillId="34" borderId="4" xfId="5" applyFont="1" applyFill="1" applyBorder="1" applyAlignment="1">
      <alignment vertical="center"/>
    </xf>
    <xf numFmtId="176" fontId="55" fillId="34" borderId="193" xfId="5" applyNumberFormat="1" applyFont="1" applyFill="1" applyBorder="1" applyAlignment="1">
      <alignment vertical="center"/>
    </xf>
    <xf numFmtId="0" fontId="55" fillId="34" borderId="194" xfId="5" applyFont="1" applyFill="1" applyBorder="1" applyAlignment="1">
      <alignment vertical="center"/>
    </xf>
    <xf numFmtId="0" fontId="55" fillId="43" borderId="107" xfId="5" applyFont="1" applyFill="1" applyBorder="1" applyAlignment="1" applyProtection="1">
      <alignment vertical="center"/>
      <protection locked="0"/>
    </xf>
    <xf numFmtId="0" fontId="55" fillId="43" borderId="107" xfId="5" applyFont="1" applyFill="1" applyBorder="1" applyAlignment="1">
      <alignment horizontal="center" vertical="center"/>
    </xf>
    <xf numFmtId="0" fontId="55" fillId="43" borderId="3" xfId="5" applyFont="1" applyFill="1" applyBorder="1" applyAlignment="1">
      <alignment vertical="center"/>
    </xf>
    <xf numFmtId="0" fontId="159" fillId="0" borderId="193" xfId="0" applyFont="1" applyBorder="1" applyAlignment="1">
      <alignment horizontal="center"/>
    </xf>
    <xf numFmtId="167" fontId="0" fillId="43" borderId="1" xfId="0" applyNumberFormat="1" applyFill="1" applyBorder="1" applyAlignment="1" applyProtection="1">
      <alignment horizontal="center"/>
      <protection locked="0"/>
    </xf>
    <xf numFmtId="0" fontId="0" fillId="43" borderId="7" xfId="0" applyFill="1" applyBorder="1"/>
    <xf numFmtId="0" fontId="62" fillId="0" borderId="65" xfId="3" applyFont="1" applyFill="1" applyBorder="1" applyAlignment="1" applyProtection="1">
      <alignment horizontal="center" vertical="center"/>
    </xf>
    <xf numFmtId="0" fontId="63" fillId="0" borderId="48" xfId="3" applyFont="1" applyFill="1" applyBorder="1" applyAlignment="1" applyProtection="1">
      <alignment horizontal="center" vertical="center"/>
    </xf>
    <xf numFmtId="0" fontId="61" fillId="0" borderId="65" xfId="3" applyFont="1" applyFill="1" applyBorder="1" applyAlignment="1" applyProtection="1">
      <alignment horizontal="center" vertical="center"/>
    </xf>
    <xf numFmtId="0" fontId="60" fillId="0" borderId="48" xfId="3" applyFont="1" applyFill="1" applyBorder="1" applyAlignment="1" applyProtection="1">
      <alignment horizontal="center" vertical="center"/>
    </xf>
    <xf numFmtId="0" fontId="50" fillId="0" borderId="51" xfId="3" applyFont="1" applyFill="1" applyBorder="1" applyAlignment="1" applyProtection="1">
      <alignment horizontal="center" vertical="center"/>
    </xf>
    <xf numFmtId="0" fontId="245" fillId="11" borderId="76" xfId="3" applyFont="1" applyFill="1" applyBorder="1" applyAlignment="1" applyProtection="1">
      <alignment horizontal="center" vertical="center"/>
    </xf>
    <xf numFmtId="0" fontId="245" fillId="12" borderId="77" xfId="3" applyFont="1" applyFill="1" applyBorder="1" applyAlignment="1" applyProtection="1">
      <alignment horizontal="center" vertical="center"/>
    </xf>
    <xf numFmtId="0" fontId="245" fillId="12" borderId="78" xfId="3" applyFont="1" applyFill="1" applyBorder="1" applyAlignment="1" applyProtection="1">
      <alignment horizontal="center" vertical="center"/>
    </xf>
    <xf numFmtId="0" fontId="245" fillId="12" borderId="79" xfId="3" applyFont="1" applyFill="1" applyBorder="1" applyAlignment="1" applyProtection="1">
      <alignment horizontal="center" vertical="center"/>
    </xf>
    <xf numFmtId="0" fontId="246" fillId="0" borderId="50" xfId="3" applyFont="1" applyFill="1" applyBorder="1" applyAlignment="1" applyProtection="1">
      <alignment horizontal="center" vertical="center"/>
    </xf>
    <xf numFmtId="0" fontId="246" fillId="0" borderId="0" xfId="3" applyFont="1" applyFill="1" applyBorder="1" applyAlignment="1" applyProtection="1">
      <alignment horizontal="center" vertical="center"/>
    </xf>
    <xf numFmtId="0" fontId="50" fillId="0" borderId="0" xfId="3" quotePrefix="1" applyFont="1" applyFill="1" applyBorder="1" applyAlignment="1" applyProtection="1">
      <alignment vertical="center"/>
    </xf>
    <xf numFmtId="0" fontId="50" fillId="0" borderId="0" xfId="3" applyFont="1" applyFill="1" applyBorder="1" applyAlignment="1" applyProtection="1">
      <alignment horizontal="centerContinuous" vertical="center"/>
    </xf>
    <xf numFmtId="0" fontId="55" fillId="0" borderId="0" xfId="4" applyFill="1" applyBorder="1" applyProtection="1"/>
    <xf numFmtId="0" fontId="248" fillId="0" borderId="0" xfId="3" applyFont="1" applyFill="1" applyBorder="1" applyAlignment="1" applyProtection="1">
      <alignment horizontal="centerContinuous" vertical="top"/>
    </xf>
    <xf numFmtId="0" fontId="249" fillId="0" borderId="0" xfId="3" applyFont="1" applyFill="1" applyBorder="1" applyAlignment="1" applyProtection="1">
      <alignment horizontal="centerContinuous" vertical="top"/>
    </xf>
    <xf numFmtId="0" fontId="238" fillId="84" borderId="2" xfId="12" applyFont="1" applyFill="1" applyBorder="1" applyAlignment="1" applyProtection="1">
      <alignment horizontal="left" vertical="center"/>
    </xf>
    <xf numFmtId="0" fontId="253" fillId="0" borderId="2" xfId="12" applyFont="1" applyBorder="1" applyAlignment="1" applyProtection="1">
      <alignment horizontal="left" vertical="center" wrapText="1"/>
    </xf>
    <xf numFmtId="0" fontId="253" fillId="0" borderId="2" xfId="12" applyFont="1" applyBorder="1" applyAlignment="1" applyProtection="1">
      <alignment horizontal="left" vertical="center"/>
    </xf>
    <xf numFmtId="0" fontId="253" fillId="0" borderId="0" xfId="12" applyFont="1" applyAlignment="1" applyProtection="1">
      <alignment horizontal="left" vertical="center" wrapText="1"/>
    </xf>
    <xf numFmtId="0" fontId="69" fillId="43" borderId="114" xfId="5" applyFill="1" applyBorder="1" applyAlignment="1">
      <alignment horizontal="center"/>
    </xf>
    <xf numFmtId="0" fontId="69" fillId="43" borderId="115" xfId="5" applyFill="1" applyBorder="1" applyAlignment="1">
      <alignment horizontal="center"/>
    </xf>
    <xf numFmtId="0" fontId="69" fillId="43" borderId="116" xfId="5" applyFill="1" applyBorder="1" applyAlignment="1">
      <alignment horizontal="center"/>
    </xf>
    <xf numFmtId="0" fontId="69" fillId="43" borderId="117" xfId="5" applyFill="1" applyBorder="1" applyAlignment="1">
      <alignment horizontal="center"/>
    </xf>
    <xf numFmtId="169" fontId="69" fillId="78" borderId="2" xfId="5" applyNumberFormat="1" applyFill="1" applyBorder="1"/>
    <xf numFmtId="0" fontId="69" fillId="78" borderId="2" xfId="5" applyFill="1" applyBorder="1"/>
    <xf numFmtId="167" fontId="69" fillId="78" borderId="2" xfId="5" applyNumberFormat="1" applyFill="1" applyBorder="1"/>
    <xf numFmtId="167" fontId="69" fillId="78" borderId="100" xfId="5" applyNumberFormat="1" applyFill="1" applyBorder="1"/>
    <xf numFmtId="167" fontId="69" fillId="78" borderId="77" xfId="5" applyNumberFormat="1" applyFill="1" applyBorder="1" applyProtection="1"/>
    <xf numFmtId="167" fontId="69" fillId="78" borderId="2" xfId="5" applyNumberFormat="1" applyFill="1" applyBorder="1" applyProtection="1">
      <protection locked="0"/>
    </xf>
    <xf numFmtId="167" fontId="121" fillId="78" borderId="2" xfId="5" applyNumberFormat="1" applyFont="1" applyFill="1" applyBorder="1"/>
    <xf numFmtId="1" fontId="81" fillId="78" borderId="125" xfId="5" applyNumberFormat="1" applyFont="1" applyFill="1" applyBorder="1"/>
    <xf numFmtId="167" fontId="121" fillId="78" borderId="131" xfId="5" applyNumberFormat="1" applyFont="1" applyFill="1" applyBorder="1"/>
    <xf numFmtId="0" fontId="69" fillId="78" borderId="100" xfId="5" applyFill="1" applyBorder="1"/>
    <xf numFmtId="0" fontId="79" fillId="78" borderId="105" xfId="5" applyFont="1" applyFill="1" applyBorder="1"/>
    <xf numFmtId="0" fontId="75" fillId="78" borderId="4" xfId="5" applyFont="1" applyFill="1" applyBorder="1" applyAlignment="1">
      <alignment horizontal="left"/>
    </xf>
    <xf numFmtId="0" fontId="115" fillId="78" borderId="4" xfId="5" applyFont="1" applyFill="1" applyBorder="1" applyAlignment="1">
      <alignment horizontal="left"/>
    </xf>
    <xf numFmtId="0" fontId="79" fillId="78" borderId="0" xfId="5" applyFont="1" applyFill="1" applyBorder="1"/>
    <xf numFmtId="167" fontId="118" fillId="41" borderId="46" xfId="5" applyNumberFormat="1" applyFont="1" applyFill="1" applyBorder="1" applyAlignment="1">
      <alignment horizontal="right"/>
    </xf>
    <xf numFmtId="0" fontId="55" fillId="78" borderId="0" xfId="5" applyFont="1" applyFill="1" applyBorder="1" applyAlignment="1">
      <alignment horizontal="center"/>
    </xf>
    <xf numFmtId="0" fontId="55" fillId="78" borderId="0" xfId="5" applyFont="1" applyFill="1" applyBorder="1"/>
    <xf numFmtId="168" fontId="55" fillId="78" borderId="0" xfId="5" applyNumberFormat="1" applyFont="1" applyFill="1" applyBorder="1"/>
    <xf numFmtId="0" fontId="55" fillId="78" borderId="4" xfId="5" applyFont="1" applyFill="1" applyBorder="1" applyAlignment="1">
      <alignment horizontal="center"/>
    </xf>
    <xf numFmtId="0" fontId="55" fillId="78" borderId="4" xfId="5" applyFont="1" applyFill="1" applyBorder="1"/>
    <xf numFmtId="0" fontId="79" fillId="78" borderId="28" xfId="5" applyFont="1" applyFill="1" applyBorder="1"/>
    <xf numFmtId="0" fontId="55" fillId="78" borderId="26" xfId="5" applyFont="1" applyFill="1" applyBorder="1" applyAlignment="1">
      <alignment horizontal="center"/>
    </xf>
    <xf numFmtId="0" fontId="55" fillId="78" borderId="21" xfId="5" applyFont="1" applyFill="1" applyBorder="1" applyAlignment="1">
      <alignment horizontal="center"/>
    </xf>
    <xf numFmtId="0" fontId="55" fillId="78" borderId="26" xfId="5" applyFont="1" applyFill="1" applyBorder="1"/>
    <xf numFmtId="0" fontId="55" fillId="78" borderId="21" xfId="5" applyFont="1" applyFill="1" applyBorder="1"/>
    <xf numFmtId="0" fontId="79" fillId="0" borderId="112" xfId="5" applyFont="1" applyBorder="1" applyAlignment="1">
      <alignment horizontal="center" vertical="center" wrapText="1"/>
    </xf>
    <xf numFmtId="0" fontId="79" fillId="0" borderId="2" xfId="5" applyFont="1" applyBorder="1" applyAlignment="1">
      <alignment horizontal="center" vertical="center" wrapText="1"/>
    </xf>
    <xf numFmtId="0" fontId="79" fillId="0" borderId="113" xfId="5" applyFont="1" applyBorder="1" applyAlignment="1">
      <alignment horizontal="center" vertical="center" wrapText="1"/>
    </xf>
    <xf numFmtId="0" fontId="79" fillId="0" borderId="7" xfId="5" applyFont="1" applyBorder="1" applyAlignment="1">
      <alignment horizontal="center" vertical="center" wrapText="1"/>
    </xf>
    <xf numFmtId="0" fontId="0" fillId="0" borderId="27" xfId="0" applyBorder="1"/>
    <xf numFmtId="0" fontId="69" fillId="78" borderId="1" xfId="5" applyFill="1" applyBorder="1"/>
    <xf numFmtId="0" fontId="69" fillId="78" borderId="7" xfId="5" applyFill="1" applyBorder="1"/>
    <xf numFmtId="2" fontId="55" fillId="78" borderId="5" xfId="5" applyNumberFormat="1" applyFont="1" applyFill="1" applyBorder="1"/>
    <xf numFmtId="0" fontId="55" fillId="78" borderId="3" xfId="5" applyFont="1" applyFill="1" applyBorder="1"/>
    <xf numFmtId="2" fontId="81" fillId="78" borderId="46" xfId="5" applyNumberFormat="1" applyFont="1" applyFill="1" applyBorder="1"/>
    <xf numFmtId="0" fontId="81" fillId="78" borderId="47" xfId="5" applyFont="1" applyFill="1" applyBorder="1"/>
    <xf numFmtId="2" fontId="69" fillId="78" borderId="2" xfId="5" applyNumberFormat="1" applyFill="1" applyBorder="1"/>
    <xf numFmtId="2" fontId="69" fillId="78" borderId="2" xfId="5" applyNumberFormat="1" applyFill="1" applyBorder="1" applyProtection="1">
      <protection locked="0"/>
    </xf>
    <xf numFmtId="0" fontId="123" fillId="78" borderId="134" xfId="5" applyFont="1" applyFill="1" applyBorder="1"/>
    <xf numFmtId="167" fontId="81" fillId="78" borderId="46" xfId="5" applyNumberFormat="1" applyFont="1" applyFill="1" applyBorder="1"/>
    <xf numFmtId="0" fontId="81" fillId="78" borderId="47" xfId="5" quotePrefix="1" applyFont="1" applyFill="1" applyBorder="1"/>
    <xf numFmtId="167" fontId="69" fillId="78" borderId="6" xfId="5" applyNumberFormat="1" applyFill="1" applyBorder="1"/>
    <xf numFmtId="0" fontId="81" fillId="78" borderId="131" xfId="5" applyFont="1" applyFill="1" applyBorder="1"/>
    <xf numFmtId="0" fontId="81" fillId="78" borderId="132" xfId="5" applyFont="1" applyFill="1" applyBorder="1"/>
    <xf numFmtId="0" fontId="76" fillId="0" borderId="50" xfId="5" applyFont="1" applyBorder="1"/>
    <xf numFmtId="0" fontId="69" fillId="0" borderId="211" xfId="5" applyBorder="1"/>
    <xf numFmtId="0" fontId="79" fillId="0" borderId="212" xfId="5" applyFont="1" applyBorder="1"/>
    <xf numFmtId="0" fontId="69" fillId="0" borderId="212" xfId="5" applyBorder="1"/>
    <xf numFmtId="0" fontId="104" fillId="0" borderId="213" xfId="5" applyFont="1" applyBorder="1" applyAlignment="1">
      <alignment horizontal="center"/>
    </xf>
    <xf numFmtId="0" fontId="69" fillId="0" borderId="214" xfId="5" applyBorder="1"/>
    <xf numFmtId="0" fontId="55" fillId="37" borderId="212" xfId="5" applyFont="1" applyFill="1" applyBorder="1"/>
    <xf numFmtId="0" fontId="104" fillId="0" borderId="215" xfId="5" applyFont="1" applyBorder="1" applyAlignment="1">
      <alignment horizontal="center"/>
    </xf>
    <xf numFmtId="0" fontId="69" fillId="0" borderId="216" xfId="5" applyBorder="1"/>
    <xf numFmtId="0" fontId="104" fillId="0" borderId="217" xfId="5" applyFont="1" applyBorder="1" applyAlignment="1">
      <alignment horizontal="center"/>
    </xf>
    <xf numFmtId="0" fontId="107" fillId="0" borderId="217" xfId="5" applyFont="1" applyBorder="1" applyAlignment="1">
      <alignment horizontal="left" indent="4"/>
    </xf>
    <xf numFmtId="0" fontId="69" fillId="0" borderId="217" xfId="5" applyBorder="1"/>
    <xf numFmtId="0" fontId="69" fillId="34" borderId="218" xfId="5" applyFill="1" applyBorder="1" applyProtection="1">
      <protection locked="0"/>
    </xf>
    <xf numFmtId="0" fontId="98" fillId="0" borderId="216" xfId="5" applyFont="1" applyBorder="1"/>
    <xf numFmtId="0" fontId="98" fillId="0" borderId="217" xfId="5" applyFont="1" applyBorder="1"/>
    <xf numFmtId="0" fontId="69" fillId="0" borderId="219" xfId="5" applyBorder="1"/>
    <xf numFmtId="0" fontId="104" fillId="0" borderId="220" xfId="5" applyFont="1" applyBorder="1" applyAlignment="1">
      <alignment horizontal="center"/>
    </xf>
    <xf numFmtId="0" fontId="69" fillId="0" borderId="221" xfId="5" applyBorder="1"/>
    <xf numFmtId="0" fontId="69" fillId="0" borderId="222" xfId="5" applyBorder="1"/>
    <xf numFmtId="169" fontId="69" fillId="0" borderId="223" xfId="5" applyNumberFormat="1" applyBorder="1"/>
    <xf numFmtId="0" fontId="69" fillId="0" borderId="223" xfId="5" applyBorder="1"/>
    <xf numFmtId="0" fontId="69" fillId="0" borderId="224" xfId="5" applyBorder="1"/>
    <xf numFmtId="0" fontId="69" fillId="0" borderId="225" xfId="5" applyBorder="1"/>
    <xf numFmtId="169" fontId="69" fillId="0" borderId="221" xfId="5" applyNumberFormat="1" applyBorder="1"/>
    <xf numFmtId="0" fontId="79" fillId="0" borderId="211" xfId="5" applyFont="1" applyBorder="1"/>
    <xf numFmtId="169" fontId="69" fillId="0" borderId="212" xfId="5" applyNumberFormat="1" applyBorder="1"/>
    <xf numFmtId="0" fontId="69" fillId="0" borderId="213" xfId="5" applyBorder="1"/>
    <xf numFmtId="0" fontId="79" fillId="0" borderId="214" xfId="5" applyFont="1" applyBorder="1"/>
    <xf numFmtId="0" fontId="69" fillId="0" borderId="215" xfId="5" applyBorder="1"/>
    <xf numFmtId="0" fontId="69" fillId="0" borderId="226" xfId="5" applyBorder="1"/>
    <xf numFmtId="0" fontId="123" fillId="27" borderId="227" xfId="5" applyFont="1" applyFill="1" applyBorder="1"/>
    <xf numFmtId="0" fontId="96" fillId="0" borderId="211" xfId="5" applyFont="1" applyBorder="1"/>
    <xf numFmtId="0" fontId="97" fillId="0" borderId="216" xfId="5" applyFont="1" applyBorder="1" applyAlignment="1">
      <alignment horizontal="left" indent="4"/>
    </xf>
    <xf numFmtId="0" fontId="97" fillId="0" borderId="216" xfId="5" applyFont="1" applyBorder="1"/>
    <xf numFmtId="0" fontId="104" fillId="0" borderId="0" xfId="5" applyFont="1" applyBorder="1" applyAlignment="1">
      <alignment horizontal="center"/>
    </xf>
    <xf numFmtId="0" fontId="69" fillId="0" borderId="1" xfId="5" applyBorder="1" applyProtection="1">
      <protection locked="0"/>
    </xf>
    <xf numFmtId="0" fontId="69" fillId="0" borderId="228" xfId="5" applyBorder="1"/>
    <xf numFmtId="0" fontId="69" fillId="0" borderId="229" xfId="5" applyBorder="1"/>
    <xf numFmtId="0" fontId="69" fillId="0" borderId="220" xfId="5" applyBorder="1"/>
    <xf numFmtId="0" fontId="79" fillId="45" borderId="103" xfId="5" applyFont="1" applyFill="1" applyBorder="1" applyAlignment="1">
      <alignment horizontal="center" vertical="center"/>
    </xf>
    <xf numFmtId="183" fontId="69" fillId="43" borderId="144" xfId="5" applyNumberFormat="1" applyFill="1" applyBorder="1"/>
    <xf numFmtId="183" fontId="69" fillId="43" borderId="2" xfId="5" applyNumberFormat="1" applyFill="1" applyBorder="1"/>
    <xf numFmtId="0" fontId="80" fillId="19" borderId="2" xfId="5" applyFont="1" applyFill="1" applyBorder="1" applyAlignment="1" applyProtection="1">
      <alignment horizontal="center" vertical="center" wrapText="1"/>
    </xf>
    <xf numFmtId="0" fontId="79" fillId="43" borderId="2" xfId="5" applyFont="1" applyFill="1" applyBorder="1" applyProtection="1">
      <protection locked="0"/>
    </xf>
    <xf numFmtId="0" fontId="55" fillId="43" borderId="1" xfId="5" applyFont="1" applyFill="1" applyBorder="1" applyProtection="1">
      <protection locked="0"/>
    </xf>
    <xf numFmtId="0" fontId="0" fillId="0" borderId="0" xfId="0" applyAlignment="1">
      <alignment horizontal="center" vertical="center"/>
    </xf>
    <xf numFmtId="0" fontId="113" fillId="0" borderId="0" xfId="5" applyFont="1"/>
    <xf numFmtId="0" fontId="253" fillId="0" borderId="0" xfId="12" applyFont="1" applyAlignment="1" applyProtection="1">
      <alignment horizontal="left" vertical="center"/>
    </xf>
    <xf numFmtId="0" fontId="253" fillId="0" borderId="2" xfId="12" quotePrefix="1" applyFont="1" applyBorder="1" applyAlignment="1" applyProtection="1">
      <alignment horizontal="left" vertical="center" wrapText="1"/>
    </xf>
    <xf numFmtId="0" fontId="254" fillId="0" borderId="2" xfId="0" applyFont="1" applyBorder="1" applyAlignment="1">
      <alignment horizontal="left" vertical="center" wrapText="1"/>
    </xf>
    <xf numFmtId="0" fontId="254" fillId="0" borderId="0" xfId="0" applyFont="1" applyAlignment="1">
      <alignment horizontal="left" vertical="center" wrapText="1"/>
    </xf>
    <xf numFmtId="0" fontId="255" fillId="0" borderId="2" xfId="0" applyFont="1" applyBorder="1" applyAlignment="1">
      <alignment horizontal="left" vertical="center" wrapText="1"/>
    </xf>
    <xf numFmtId="0" fontId="244" fillId="90" borderId="2" xfId="12" applyFont="1" applyFill="1" applyBorder="1" applyAlignment="1" applyProtection="1">
      <alignment horizontal="left" vertical="center"/>
    </xf>
    <xf numFmtId="0" fontId="238" fillId="88" borderId="2" xfId="12" applyFont="1" applyFill="1" applyBorder="1" applyAlignment="1" applyProtection="1">
      <alignment horizontal="left" vertical="center"/>
    </xf>
    <xf numFmtId="0" fontId="69" fillId="78" borderId="1" xfId="5" applyFill="1" applyBorder="1" applyProtection="1">
      <protection locked="0"/>
    </xf>
    <xf numFmtId="0" fontId="104" fillId="0" borderId="65" xfId="5" applyFont="1" applyBorder="1"/>
    <xf numFmtId="0" fontId="0" fillId="0" borderId="143" xfId="0" applyBorder="1" applyAlignment="1">
      <alignment vertical="center"/>
    </xf>
    <xf numFmtId="0" fontId="0" fillId="0" borderId="77" xfId="0" applyBorder="1" applyAlignment="1">
      <alignment horizontal="center" wrapText="1"/>
    </xf>
    <xf numFmtId="0" fontId="0" fillId="0" borderId="79" xfId="0" applyBorder="1" applyAlignment="1">
      <alignment horizontal="center" wrapText="1"/>
    </xf>
    <xf numFmtId="0" fontId="0" fillId="0" borderId="200" xfId="0" applyBorder="1"/>
    <xf numFmtId="0" fontId="0" fillId="0" borderId="202" xfId="0" applyBorder="1"/>
    <xf numFmtId="0" fontId="0" fillId="0" borderId="165" xfId="0" applyBorder="1"/>
    <xf numFmtId="0" fontId="0" fillId="0" borderId="203" xfId="0" applyBorder="1"/>
    <xf numFmtId="0" fontId="159" fillId="0" borderId="75" xfId="0" applyFont="1" applyBorder="1"/>
    <xf numFmtId="0" fontId="69" fillId="78" borderId="139" xfId="5" applyFill="1" applyBorder="1" applyProtection="1">
      <protection locked="0"/>
    </xf>
    <xf numFmtId="0" fontId="55" fillId="78" borderId="2" xfId="5" applyFont="1" applyFill="1" applyBorder="1"/>
    <xf numFmtId="167" fontId="123" fillId="78" borderId="100" xfId="5" applyNumberFormat="1" applyFont="1" applyFill="1" applyBorder="1"/>
    <xf numFmtId="0" fontId="98" fillId="0" borderId="51" xfId="5" applyFont="1" applyBorder="1"/>
    <xf numFmtId="0" fontId="98" fillId="0" borderId="91" xfId="5" applyFont="1" applyBorder="1"/>
    <xf numFmtId="0" fontId="69" fillId="19" borderId="230" xfId="5" applyFill="1" applyBorder="1" applyProtection="1">
      <protection locked="0"/>
    </xf>
    <xf numFmtId="0" fontId="55" fillId="0" borderId="79" xfId="5" applyFont="1" applyBorder="1" applyProtection="1">
      <protection locked="0"/>
    </xf>
    <xf numFmtId="0" fontId="55" fillId="0" borderId="73" xfId="5" applyFont="1" applyBorder="1" applyProtection="1">
      <protection locked="0"/>
    </xf>
    <xf numFmtId="0" fontId="123" fillId="0" borderId="129" xfId="5" applyFont="1" applyBorder="1"/>
    <xf numFmtId="0" fontId="257" fillId="83" borderId="2" xfId="12" applyFont="1" applyFill="1" applyBorder="1" applyAlignment="1" applyProtection="1">
      <alignment horizontal="left" vertical="center"/>
    </xf>
    <xf numFmtId="0" fontId="55" fillId="78" borderId="140" xfId="5" applyFont="1" applyFill="1" applyBorder="1"/>
    <xf numFmtId="167" fontId="123" fillId="78" borderId="136" xfId="5" applyNumberFormat="1" applyFont="1" applyFill="1" applyBorder="1"/>
    <xf numFmtId="169" fontId="123" fillId="78" borderId="136" xfId="5" applyNumberFormat="1" applyFont="1" applyFill="1" applyBorder="1"/>
    <xf numFmtId="167" fontId="123" fillId="78" borderId="89" xfId="5" applyNumberFormat="1" applyFont="1" applyFill="1" applyBorder="1"/>
    <xf numFmtId="0" fontId="186" fillId="78" borderId="103" xfId="5" applyFont="1" applyFill="1" applyBorder="1"/>
    <xf numFmtId="0" fontId="55" fillId="78" borderId="137" xfId="5" applyFont="1" applyFill="1" applyBorder="1"/>
    <xf numFmtId="0" fontId="258" fillId="0" borderId="7" xfId="5" applyFont="1" applyBorder="1"/>
    <xf numFmtId="0" fontId="258" fillId="0" borderId="2" xfId="5" applyFont="1" applyBorder="1"/>
    <xf numFmtId="0" fontId="69" fillId="0" borderId="0" xfId="5" applyFill="1" applyBorder="1" applyProtection="1">
      <protection locked="0"/>
    </xf>
    <xf numFmtId="0" fontId="55" fillId="0" borderId="0" xfId="5" applyFont="1" applyFill="1" applyBorder="1" applyProtection="1">
      <protection locked="0"/>
    </xf>
    <xf numFmtId="0" fontId="55" fillId="0" borderId="0" xfId="5" applyFont="1" applyFill="1" applyBorder="1" applyAlignment="1"/>
    <xf numFmtId="0" fontId="69" fillId="78" borderId="6" xfId="5" applyFill="1" applyBorder="1" applyAlignment="1" applyProtection="1">
      <alignment horizontal="center"/>
      <protection locked="0"/>
    </xf>
    <xf numFmtId="0" fontId="69" fillId="78" borderId="2" xfId="5" applyFill="1" applyBorder="1" applyAlignment="1">
      <alignment horizontal="center"/>
    </xf>
    <xf numFmtId="167" fontId="81" fillId="78" borderId="132" xfId="5" applyNumberFormat="1" applyFont="1" applyFill="1" applyBorder="1" applyAlignment="1">
      <alignment horizontal="center"/>
    </xf>
    <xf numFmtId="0" fontId="81" fillId="78" borderId="106" xfId="5" applyFont="1" applyFill="1" applyBorder="1"/>
    <xf numFmtId="0" fontId="81" fillId="78" borderId="132" xfId="5" applyFont="1" applyFill="1" applyBorder="1" applyAlignment="1">
      <alignment horizontal="left"/>
    </xf>
    <xf numFmtId="167" fontId="81" fillId="78" borderId="137" xfId="5" applyNumberFormat="1" applyFont="1" applyFill="1" applyBorder="1"/>
    <xf numFmtId="0" fontId="81" fillId="78" borderId="138" xfId="5" applyFont="1" applyFill="1" applyBorder="1"/>
    <xf numFmtId="0" fontId="106" fillId="78" borderId="103" xfId="5" applyFont="1" applyFill="1" applyBorder="1"/>
    <xf numFmtId="167" fontId="79" fillId="78" borderId="2" xfId="5" applyNumberFormat="1" applyFont="1" applyFill="1" applyBorder="1" applyAlignment="1">
      <alignment horizontal="center"/>
    </xf>
    <xf numFmtId="0" fontId="81" fillId="78" borderId="2" xfId="5" applyFont="1" applyFill="1" applyBorder="1" applyAlignment="1">
      <alignment horizontal="left"/>
    </xf>
    <xf numFmtId="167" fontId="81" fillId="78" borderId="46" xfId="5" applyNumberFormat="1" applyFont="1" applyFill="1" applyBorder="1" applyAlignment="1">
      <alignment horizontal="center"/>
    </xf>
    <xf numFmtId="0" fontId="69" fillId="78" borderId="6" xfId="5" applyFill="1" applyBorder="1" applyAlignment="1">
      <alignment horizontal="center"/>
    </xf>
    <xf numFmtId="0" fontId="81" fillId="78" borderId="6" xfId="5" applyFont="1" applyFill="1" applyBorder="1" applyAlignment="1">
      <alignment horizontal="left"/>
    </xf>
    <xf numFmtId="0" fontId="81" fillId="78" borderId="46" xfId="5" applyFont="1" applyFill="1" applyBorder="1"/>
    <xf numFmtId="167" fontId="81" fillId="78" borderId="106" xfId="5" applyNumberFormat="1" applyFont="1" applyFill="1" applyBorder="1" applyAlignment="1">
      <alignment horizontal="center"/>
    </xf>
    <xf numFmtId="0" fontId="81" fillId="78" borderId="47" xfId="5" applyFont="1" applyFill="1" applyBorder="1" applyAlignment="1">
      <alignment horizontal="left"/>
    </xf>
    <xf numFmtId="0" fontId="81" fillId="78" borderId="24" xfId="5" applyFont="1" applyFill="1" applyBorder="1"/>
    <xf numFmtId="0" fontId="79" fillId="45" borderId="226" xfId="5" applyFont="1" applyFill="1" applyBorder="1" applyAlignment="1">
      <alignment horizontal="center"/>
    </xf>
    <xf numFmtId="0" fontId="69" fillId="19" borderId="231" xfId="5" applyFill="1" applyBorder="1"/>
    <xf numFmtId="0" fontId="79" fillId="32" borderId="226" xfId="5" applyFont="1" applyFill="1" applyBorder="1" applyAlignment="1">
      <alignment horizontal="center"/>
    </xf>
    <xf numFmtId="0" fontId="69" fillId="43" borderId="231" xfId="5" applyFill="1" applyBorder="1"/>
    <xf numFmtId="0" fontId="69" fillId="0" borderId="231" xfId="5" applyBorder="1"/>
    <xf numFmtId="0" fontId="69" fillId="0" borderId="232" xfId="5" applyBorder="1"/>
    <xf numFmtId="0" fontId="79" fillId="64" borderId="234" xfId="5" applyFont="1" applyFill="1" applyBorder="1"/>
    <xf numFmtId="0" fontId="55" fillId="0" borderId="234" xfId="5" applyFont="1" applyBorder="1"/>
    <xf numFmtId="0" fontId="79" fillId="0" borderId="216" xfId="5" applyFont="1" applyBorder="1" applyAlignment="1">
      <alignment horizontal="center"/>
    </xf>
    <xf numFmtId="167" fontId="79" fillId="64" borderId="237" xfId="5" applyNumberFormat="1" applyFont="1" applyFill="1" applyBorder="1"/>
    <xf numFmtId="0" fontId="79" fillId="64" borderId="238" xfId="5" applyFont="1" applyFill="1" applyBorder="1"/>
    <xf numFmtId="0" fontId="79" fillId="64" borderId="220" xfId="5" applyFont="1" applyFill="1" applyBorder="1"/>
    <xf numFmtId="0" fontId="79" fillId="64" borderId="239" xfId="5" applyFont="1" applyFill="1" applyBorder="1"/>
    <xf numFmtId="0" fontId="55" fillId="0" borderId="216" xfId="5" applyFont="1" applyBorder="1"/>
    <xf numFmtId="0" fontId="55" fillId="0" borderId="217" xfId="5" applyFont="1" applyBorder="1"/>
    <xf numFmtId="0" fontId="79" fillId="0" borderId="217" xfId="5" applyFont="1" applyBorder="1"/>
    <xf numFmtId="0" fontId="98" fillId="64" borderId="233" xfId="5" applyFont="1" applyFill="1" applyBorder="1"/>
    <xf numFmtId="0" fontId="81" fillId="64" borderId="234" xfId="5" applyFont="1" applyFill="1" applyBorder="1"/>
    <xf numFmtId="0" fontId="55" fillId="34" borderId="216" xfId="5" applyFont="1" applyFill="1" applyBorder="1"/>
    <xf numFmtId="0" fontId="98" fillId="64" borderId="235" xfId="5" applyFont="1" applyFill="1" applyBorder="1"/>
    <xf numFmtId="167" fontId="81" fillId="64" borderId="240" xfId="5" applyNumberFormat="1" applyFont="1" applyFill="1" applyBorder="1"/>
    <xf numFmtId="0" fontId="81" fillId="64" borderId="238" xfId="5" applyFont="1" applyFill="1" applyBorder="1"/>
    <xf numFmtId="0" fontId="55" fillId="0" borderId="244" xfId="5" applyFont="1" applyFill="1" applyBorder="1"/>
    <xf numFmtId="0" fontId="55" fillId="43" borderId="189" xfId="5" applyFont="1" applyFill="1" applyBorder="1"/>
    <xf numFmtId="0" fontId="55" fillId="0" borderId="245" xfId="5" applyFont="1" applyBorder="1"/>
    <xf numFmtId="0" fontId="55" fillId="0" borderId="226" xfId="5" applyFont="1" applyFill="1" applyBorder="1"/>
    <xf numFmtId="0" fontId="55" fillId="0" borderId="218" xfId="5" applyFont="1" applyBorder="1"/>
    <xf numFmtId="0" fontId="55" fillId="0" borderId="226" xfId="5" applyFont="1" applyBorder="1"/>
    <xf numFmtId="0" fontId="69" fillId="0" borderId="218" xfId="5" applyBorder="1"/>
    <xf numFmtId="0" fontId="69" fillId="0" borderId="246" xfId="5" applyBorder="1"/>
    <xf numFmtId="0" fontId="69" fillId="0" borderId="247" xfId="5" applyBorder="1"/>
    <xf numFmtId="0" fontId="69" fillId="0" borderId="248" xfId="5" applyBorder="1"/>
    <xf numFmtId="0" fontId="69" fillId="43" borderId="249" xfId="5" applyFill="1" applyBorder="1"/>
    <xf numFmtId="0" fontId="69" fillId="0" borderId="250" xfId="5" applyBorder="1"/>
    <xf numFmtId="0" fontId="81" fillId="0" borderId="229" xfId="5" applyFont="1" applyBorder="1"/>
    <xf numFmtId="0" fontId="98" fillId="64" borderId="251" xfId="5" applyFont="1" applyFill="1" applyBorder="1"/>
    <xf numFmtId="0" fontId="81" fillId="64" borderId="252" xfId="5" applyFont="1" applyFill="1" applyBorder="1" applyAlignment="1">
      <alignment vertical="center"/>
    </xf>
    <xf numFmtId="0" fontId="98" fillId="64" borderId="248" xfId="5" applyFont="1" applyFill="1" applyBorder="1"/>
    <xf numFmtId="167" fontId="81" fillId="64" borderId="253" xfId="5" applyNumberFormat="1" applyFont="1" applyFill="1" applyBorder="1" applyAlignment="1">
      <alignment vertical="center"/>
    </xf>
    <xf numFmtId="0" fontId="81" fillId="64" borderId="254" xfId="5" applyFont="1" applyFill="1" applyBorder="1" applyAlignment="1">
      <alignment vertical="center"/>
    </xf>
    <xf numFmtId="0" fontId="144" fillId="0" borderId="216" xfId="5" applyFont="1" applyBorder="1"/>
    <xf numFmtId="0" fontId="0" fillId="55" borderId="1" xfId="0" applyFont="1" applyFill="1" applyBorder="1" applyAlignment="1">
      <alignment horizontal="left" vertical="center" wrapText="1"/>
    </xf>
    <xf numFmtId="0" fontId="0" fillId="55" borderId="8" xfId="0" applyFont="1" applyFill="1" applyBorder="1" applyAlignment="1">
      <alignment horizontal="left" vertical="center" wrapText="1"/>
    </xf>
    <xf numFmtId="0" fontId="0" fillId="55" borderId="7" xfId="0" applyFont="1" applyFill="1" applyBorder="1" applyAlignment="1">
      <alignment horizontal="left" vertical="center" wrapText="1"/>
    </xf>
    <xf numFmtId="0" fontId="247" fillId="0" borderId="0" xfId="3" applyFont="1" applyFill="1" applyBorder="1" applyAlignment="1" applyProtection="1">
      <alignment horizontal="center" vertical="center"/>
    </xf>
    <xf numFmtId="0" fontId="247" fillId="0" borderId="48" xfId="3" applyFont="1" applyFill="1" applyBorder="1" applyAlignment="1" applyProtection="1">
      <alignment horizontal="center" vertical="center"/>
    </xf>
    <xf numFmtId="15" fontId="251" fillId="11" borderId="0" xfId="3" quotePrefix="1" applyNumberFormat="1" applyFont="1" applyFill="1" applyAlignment="1" applyProtection="1">
      <alignment horizontal="center" vertical="center"/>
      <protection locked="0"/>
    </xf>
    <xf numFmtId="0" fontId="251" fillId="11" borderId="0" xfId="3" quotePrefix="1" applyFont="1" applyFill="1" applyAlignment="1" applyProtection="1">
      <alignment horizontal="center" vertical="center"/>
      <protection locked="0"/>
    </xf>
    <xf numFmtId="0" fontId="250" fillId="0" borderId="65" xfId="3" applyFont="1" applyFill="1" applyBorder="1" applyAlignment="1" applyProtection="1">
      <alignment horizontal="center" vertical="center"/>
    </xf>
    <xf numFmtId="0" fontId="250" fillId="0" borderId="0" xfId="3" applyFont="1" applyFill="1" applyBorder="1" applyAlignment="1" applyProtection="1">
      <alignment horizontal="center" vertical="center"/>
    </xf>
    <xf numFmtId="0" fontId="58" fillId="0" borderId="0" xfId="3" applyFont="1" applyFill="1" applyBorder="1" applyAlignment="1" applyProtection="1">
      <alignment horizontal="center" vertical="center"/>
    </xf>
    <xf numFmtId="0" fontId="252" fillId="37" borderId="46" xfId="12" applyFont="1" applyFill="1" applyBorder="1" applyAlignment="1" applyProtection="1">
      <alignment horizontal="center" vertical="center"/>
    </xf>
    <xf numFmtId="0" fontId="252" fillId="37" borderId="23" xfId="12" applyFont="1" applyFill="1" applyBorder="1" applyAlignment="1" applyProtection="1">
      <alignment horizontal="center" vertical="center"/>
    </xf>
    <xf numFmtId="0" fontId="252" fillId="37" borderId="47" xfId="12" applyFont="1" applyFill="1" applyBorder="1" applyAlignment="1" applyProtection="1">
      <alignment horizontal="center" vertical="center"/>
    </xf>
    <xf numFmtId="0" fontId="54" fillId="0" borderId="0" xfId="3" applyFont="1" applyFill="1" applyBorder="1" applyAlignment="1" applyProtection="1">
      <alignment horizontal="left" vertical="center"/>
    </xf>
    <xf numFmtId="0" fontId="54" fillId="0" borderId="0" xfId="3" applyFont="1" applyFill="1" applyBorder="1" applyAlignment="1" applyProtection="1">
      <alignment horizontal="right" vertical="center"/>
    </xf>
    <xf numFmtId="0" fontId="193" fillId="37" borderId="46" xfId="12" applyFill="1" applyBorder="1" applyAlignment="1" applyProtection="1">
      <alignment horizontal="center" vertical="center"/>
    </xf>
    <xf numFmtId="0" fontId="193" fillId="37" borderId="23" xfId="12" applyFill="1" applyBorder="1" applyAlignment="1" applyProtection="1">
      <alignment horizontal="center" vertical="center"/>
    </xf>
    <xf numFmtId="0" fontId="193" fillId="37" borderId="47" xfId="12" applyFill="1" applyBorder="1" applyAlignment="1" applyProtection="1">
      <alignment horizontal="center" vertical="center"/>
    </xf>
    <xf numFmtId="0" fontId="96" fillId="0" borderId="75" xfId="5" applyFont="1" applyBorder="1" applyAlignment="1">
      <alignment horizontal="center"/>
    </xf>
    <xf numFmtId="0" fontId="96" fillId="0" borderId="50" xfId="5" applyFont="1" applyBorder="1" applyAlignment="1">
      <alignment horizontal="center"/>
    </xf>
    <xf numFmtId="0" fontId="96" fillId="0" borderId="67" xfId="5" applyFont="1" applyBorder="1" applyAlignment="1">
      <alignment horizontal="center"/>
    </xf>
    <xf numFmtId="0" fontId="55" fillId="0" borderId="103" xfId="5" applyFont="1" applyBorder="1" applyAlignment="1">
      <alignment horizontal="left" wrapText="1"/>
    </xf>
    <xf numFmtId="0" fontId="69" fillId="0" borderId="2" xfId="5" applyBorder="1" applyAlignment="1">
      <alignment horizontal="left" wrapText="1"/>
    </xf>
    <xf numFmtId="0" fontId="81" fillId="33" borderId="46" xfId="5" applyFont="1" applyFill="1" applyBorder="1" applyAlignment="1"/>
    <xf numFmtId="0" fontId="98" fillId="33" borderId="23" xfId="5" applyFont="1" applyFill="1" applyBorder="1" applyAlignment="1"/>
    <xf numFmtId="0" fontId="220" fillId="37" borderId="46" xfId="12" applyFont="1" applyFill="1" applyBorder="1" applyAlignment="1" applyProtection="1">
      <alignment horizontal="center" vertical="center"/>
    </xf>
    <xf numFmtId="0" fontId="220" fillId="37" borderId="23" xfId="12" applyFont="1" applyFill="1" applyBorder="1" applyAlignment="1" applyProtection="1">
      <alignment horizontal="center" vertical="center"/>
    </xf>
    <xf numFmtId="0" fontId="220" fillId="37" borderId="47" xfId="12" applyFont="1" applyFill="1" applyBorder="1" applyAlignment="1" applyProtection="1">
      <alignment horizontal="center" vertical="center"/>
    </xf>
    <xf numFmtId="0" fontId="55" fillId="0" borderId="103" xfId="5" applyFont="1" applyBorder="1" applyAlignment="1" applyProtection="1">
      <alignment horizontal="left" wrapText="1"/>
    </xf>
    <xf numFmtId="0" fontId="69" fillId="0" borderId="2" xfId="5" applyBorder="1" applyAlignment="1" applyProtection="1">
      <alignment horizontal="left" wrapText="1"/>
    </xf>
    <xf numFmtId="0" fontId="96" fillId="0" borderId="75" xfId="5" applyFont="1" applyBorder="1" applyAlignment="1" applyProtection="1">
      <alignment horizontal="center"/>
    </xf>
    <xf numFmtId="0" fontId="96" fillId="0" borderId="50" xfId="5" applyFont="1" applyBorder="1" applyAlignment="1" applyProtection="1">
      <alignment horizontal="center"/>
    </xf>
    <xf numFmtId="0" fontId="96" fillId="0" borderId="67" xfId="5" applyFont="1" applyBorder="1" applyAlignment="1" applyProtection="1">
      <alignment horizontal="center"/>
    </xf>
    <xf numFmtId="0" fontId="81" fillId="33" borderId="46" xfId="5" applyFont="1" applyFill="1" applyBorder="1" applyAlignment="1" applyProtection="1"/>
    <xf numFmtId="0" fontId="98" fillId="33" borderId="23" xfId="5" applyFont="1" applyFill="1" applyBorder="1" applyAlignment="1" applyProtection="1"/>
    <xf numFmtId="0" fontId="165" fillId="0" borderId="50" xfId="0" applyFont="1" applyBorder="1" applyAlignment="1">
      <alignment horizontal="center"/>
    </xf>
    <xf numFmtId="0" fontId="165" fillId="0" borderId="67" xfId="0" applyFont="1" applyBorder="1" applyAlignment="1">
      <alignment horizontal="center"/>
    </xf>
    <xf numFmtId="0" fontId="0" fillId="54" borderId="24" xfId="0" applyFill="1" applyBorder="1" applyAlignment="1">
      <alignment horizontal="center"/>
    </xf>
    <xf numFmtId="0" fontId="0" fillId="54" borderId="51" xfId="0" applyFill="1" applyBorder="1" applyAlignment="1">
      <alignment horizontal="center"/>
    </xf>
    <xf numFmtId="0" fontId="0" fillId="0" borderId="46" xfId="0" applyBorder="1" applyAlignment="1">
      <alignment horizontal="right"/>
    </xf>
    <xf numFmtId="0" fontId="0" fillId="0" borderId="23" xfId="0" applyBorder="1" applyAlignment="1">
      <alignment horizontal="right"/>
    </xf>
    <xf numFmtId="0" fontId="0" fillId="0" borderId="47" xfId="0" applyBorder="1" applyAlignment="1">
      <alignment horizontal="right"/>
    </xf>
    <xf numFmtId="0" fontId="81" fillId="27" borderId="94" xfId="5" applyFont="1" applyFill="1" applyBorder="1" applyAlignment="1">
      <alignment horizontal="left"/>
    </xf>
    <xf numFmtId="0" fontId="81" fillId="27" borderId="47" xfId="5" applyFont="1" applyFill="1" applyBorder="1" applyAlignment="1">
      <alignment horizontal="left"/>
    </xf>
    <xf numFmtId="0" fontId="101" fillId="0" borderId="75" xfId="5" applyFont="1" applyBorder="1" applyAlignment="1">
      <alignment horizontal="center" vertical="center"/>
    </xf>
    <xf numFmtId="0" fontId="101" fillId="0" borderId="50" xfId="5" applyFont="1" applyBorder="1" applyAlignment="1">
      <alignment horizontal="center" vertical="center"/>
    </xf>
    <xf numFmtId="0" fontId="101" fillId="0" borderId="67" xfId="5" applyFont="1" applyBorder="1" applyAlignment="1">
      <alignment horizontal="center" vertical="center"/>
    </xf>
    <xf numFmtId="0" fontId="104" fillId="35" borderId="2" xfId="5" applyFont="1" applyFill="1" applyBorder="1" applyAlignment="1"/>
    <xf numFmtId="0" fontId="81" fillId="27" borderId="46" xfId="5" applyFont="1" applyFill="1" applyBorder="1" applyAlignment="1" applyProtection="1">
      <alignment horizontal="center"/>
    </xf>
    <xf numFmtId="0" fontId="81" fillId="27" borderId="23" xfId="5" applyFont="1" applyFill="1" applyBorder="1" applyAlignment="1" applyProtection="1">
      <alignment horizontal="center"/>
    </xf>
    <xf numFmtId="0" fontId="81" fillId="27" borderId="47" xfId="5" applyFont="1" applyFill="1" applyBorder="1" applyAlignment="1" applyProtection="1">
      <alignment horizontal="center"/>
    </xf>
    <xf numFmtId="0" fontId="0" fillId="43" borderId="1" xfId="0" applyFill="1" applyBorder="1" applyAlignment="1" applyProtection="1">
      <alignment horizontal="center"/>
      <protection locked="0"/>
    </xf>
    <xf numFmtId="0" fontId="0" fillId="43" borderId="7" xfId="0" applyFill="1" applyBorder="1" applyAlignment="1" applyProtection="1">
      <alignment horizontal="center"/>
      <protection locked="0"/>
    </xf>
    <xf numFmtId="0" fontId="55" fillId="34" borderId="5" xfId="0" applyFont="1" applyFill="1" applyBorder="1" applyAlignment="1">
      <alignment horizontal="center"/>
    </xf>
    <xf numFmtId="0" fontId="0" fillId="34" borderId="3" xfId="0" applyFill="1" applyBorder="1" applyAlignment="1">
      <alignment horizontal="center"/>
    </xf>
    <xf numFmtId="1" fontId="159" fillId="34" borderId="77" xfId="0" applyNumberFormat="1" applyFont="1" applyFill="1" applyBorder="1" applyAlignment="1">
      <alignment horizontal="center"/>
    </xf>
    <xf numFmtId="0" fontId="159" fillId="34" borderId="127" xfId="0" applyFont="1" applyFill="1" applyBorder="1" applyAlignment="1">
      <alignment horizontal="center"/>
    </xf>
    <xf numFmtId="0" fontId="55" fillId="35" borderId="5" xfId="5" applyFont="1" applyFill="1" applyBorder="1" applyAlignment="1">
      <alignment horizontal="left" vertical="top" wrapText="1"/>
    </xf>
    <xf numFmtId="0" fontId="55" fillId="35" borderId="105" xfId="5" applyFont="1" applyFill="1" applyBorder="1" applyAlignment="1">
      <alignment horizontal="left" vertical="top" wrapText="1"/>
    </xf>
    <xf numFmtId="0" fontId="55" fillId="35" borderId="192" xfId="5" applyFont="1" applyFill="1" applyBorder="1" applyAlignment="1">
      <alignment horizontal="left" vertical="top" wrapText="1"/>
    </xf>
    <xf numFmtId="0" fontId="55" fillId="0" borderId="107" xfId="0" applyFont="1" applyFill="1" applyBorder="1" applyAlignment="1">
      <alignment horizontal="center"/>
    </xf>
    <xf numFmtId="0" fontId="55" fillId="0" borderId="3" xfId="0" applyFont="1" applyFill="1" applyBorder="1" applyAlignment="1">
      <alignment horizontal="center"/>
    </xf>
    <xf numFmtId="0" fontId="55" fillId="76" borderId="75" xfId="5" applyFont="1" applyFill="1" applyBorder="1" applyAlignment="1">
      <alignment horizontal="center" vertical="top" wrapText="1"/>
    </xf>
    <xf numFmtId="0" fontId="55" fillId="76" borderId="67" xfId="5" applyFont="1" applyFill="1" applyBorder="1" applyAlignment="1">
      <alignment horizontal="center" vertical="top"/>
    </xf>
    <xf numFmtId="0" fontId="55" fillId="76" borderId="65" xfId="5" applyFont="1" applyFill="1" applyBorder="1" applyAlignment="1">
      <alignment horizontal="center" vertical="top"/>
    </xf>
    <xf numFmtId="0" fontId="55" fillId="76" borderId="48" xfId="5" applyFont="1" applyFill="1" applyBorder="1" applyAlignment="1">
      <alignment horizontal="center" vertical="top"/>
    </xf>
    <xf numFmtId="0" fontId="55" fillId="76" borderId="24" xfId="5" applyFont="1" applyFill="1" applyBorder="1" applyAlignment="1">
      <alignment horizontal="center" vertical="top"/>
    </xf>
    <xf numFmtId="0" fontId="55" fillId="76" borderId="91" xfId="5" applyFont="1" applyFill="1" applyBorder="1" applyAlignment="1">
      <alignment horizontal="center" vertical="top"/>
    </xf>
    <xf numFmtId="0" fontId="97" fillId="0" borderId="107" xfId="5" applyFont="1" applyBorder="1" applyAlignment="1">
      <alignment horizontal="center" vertical="center"/>
    </xf>
    <xf numFmtId="0" fontId="97" fillId="0" borderId="26" xfId="5" applyFont="1" applyBorder="1" applyAlignment="1">
      <alignment horizontal="center" vertical="center"/>
    </xf>
    <xf numFmtId="0" fontId="97" fillId="0" borderId="5" xfId="5" applyFont="1" applyBorder="1" applyAlignment="1">
      <alignment horizontal="center" vertical="center"/>
    </xf>
    <xf numFmtId="0" fontId="97" fillId="0" borderId="28" xfId="5" applyFont="1" applyBorder="1" applyAlignment="1">
      <alignment horizontal="center" vertical="center"/>
    </xf>
    <xf numFmtId="0" fontId="55" fillId="0" borderId="3" xfId="5" quotePrefix="1" applyFont="1" applyBorder="1" applyAlignment="1">
      <alignment horizontal="center" vertical="center"/>
    </xf>
    <xf numFmtId="0" fontId="55" fillId="0" borderId="21" xfId="5" quotePrefix="1" applyFont="1" applyBorder="1" applyAlignment="1">
      <alignment horizontal="center" vertical="center"/>
    </xf>
    <xf numFmtId="0" fontId="81" fillId="27" borderId="2" xfId="5" applyFont="1" applyFill="1" applyBorder="1" applyAlignment="1">
      <alignment horizontal="left"/>
    </xf>
    <xf numFmtId="0" fontId="55" fillId="0" borderId="3" xfId="5" quotePrefix="1" applyFont="1" applyBorder="1" applyAlignment="1">
      <alignment horizontal="left" vertical="center"/>
    </xf>
    <xf numFmtId="0" fontId="69" fillId="0" borderId="21" xfId="5" applyBorder="1" applyAlignment="1">
      <alignment horizontal="left" vertical="center"/>
    </xf>
    <xf numFmtId="0" fontId="119" fillId="21" borderId="75" xfId="5" applyFont="1" applyFill="1" applyBorder="1" applyAlignment="1">
      <alignment horizontal="center"/>
    </xf>
    <xf numFmtId="0" fontId="119" fillId="21" borderId="50" xfId="5" applyFont="1" applyFill="1" applyBorder="1" applyAlignment="1">
      <alignment horizontal="center"/>
    </xf>
    <xf numFmtId="0" fontId="119" fillId="21" borderId="67" xfId="5" applyFont="1" applyFill="1" applyBorder="1" applyAlignment="1">
      <alignment horizontal="center"/>
    </xf>
    <xf numFmtId="0" fontId="69" fillId="46" borderId="124" xfId="5" applyFill="1" applyBorder="1" applyAlignment="1">
      <alignment horizontal="center"/>
    </xf>
    <xf numFmtId="0" fontId="69" fillId="46" borderId="126" xfId="5" applyFill="1" applyBorder="1" applyAlignment="1">
      <alignment horizontal="center"/>
    </xf>
    <xf numFmtId="0" fontId="114" fillId="38" borderId="109" xfId="5" applyFont="1" applyFill="1" applyBorder="1" applyAlignment="1">
      <alignment horizontal="center"/>
    </xf>
    <xf numFmtId="0" fontId="114" fillId="38" borderId="110" xfId="5" applyFont="1" applyFill="1" applyBorder="1" applyAlignment="1">
      <alignment horizontal="center"/>
    </xf>
    <xf numFmtId="0" fontId="114" fillId="38" borderId="111" xfId="5" applyFont="1" applyFill="1" applyBorder="1" applyAlignment="1">
      <alignment horizontal="center"/>
    </xf>
    <xf numFmtId="0" fontId="105" fillId="38" borderId="110" xfId="5" applyFont="1" applyFill="1" applyBorder="1" applyAlignment="1">
      <alignment horizontal="center"/>
    </xf>
    <xf numFmtId="0" fontId="105" fillId="38" borderId="111" xfId="5" applyFont="1" applyFill="1" applyBorder="1" applyAlignment="1">
      <alignment horizontal="center"/>
    </xf>
    <xf numFmtId="0" fontId="114" fillId="0" borderId="46" xfId="5" applyFont="1" applyBorder="1" applyAlignment="1">
      <alignment horizontal="center"/>
    </xf>
    <xf numFmtId="0" fontId="114" fillId="0" borderId="23" xfId="5" applyFont="1" applyBorder="1" applyAlignment="1">
      <alignment horizontal="center"/>
    </xf>
    <xf numFmtId="0" fontId="114" fillId="0" borderId="47" xfId="5" applyFont="1" applyBorder="1" applyAlignment="1">
      <alignment horizontal="center"/>
    </xf>
    <xf numFmtId="0" fontId="105" fillId="0" borderId="46" xfId="5" applyFont="1" applyBorder="1" applyAlignment="1">
      <alignment horizontal="center"/>
    </xf>
    <xf numFmtId="0" fontId="105" fillId="0" borderId="23" xfId="5" applyFont="1" applyBorder="1" applyAlignment="1">
      <alignment horizontal="center"/>
    </xf>
    <xf numFmtId="0" fontId="105" fillId="0" borderId="47" xfId="5" applyFont="1" applyBorder="1" applyAlignment="1">
      <alignment horizontal="center"/>
    </xf>
    <xf numFmtId="0" fontId="81" fillId="0" borderId="46" xfId="5" applyFont="1" applyBorder="1" applyAlignment="1">
      <alignment horizontal="right"/>
    </xf>
    <xf numFmtId="0" fontId="81" fillId="0" borderId="23" xfId="5" applyFont="1" applyBorder="1" applyAlignment="1">
      <alignment horizontal="right"/>
    </xf>
    <xf numFmtId="0" fontId="119" fillId="42" borderId="75" xfId="5" applyFont="1" applyFill="1" applyBorder="1" applyAlignment="1">
      <alignment horizontal="center"/>
    </xf>
    <xf numFmtId="0" fontId="119" fillId="42" borderId="50" xfId="5" applyFont="1" applyFill="1" applyBorder="1" applyAlignment="1">
      <alignment horizontal="center"/>
    </xf>
    <xf numFmtId="0" fontId="119" fillId="42" borderId="67" xfId="5" applyFont="1" applyFill="1" applyBorder="1" applyAlignment="1">
      <alignment horizontal="center"/>
    </xf>
    <xf numFmtId="0" fontId="55" fillId="70" borderId="2" xfId="0" applyFont="1" applyFill="1" applyBorder="1" applyAlignment="1" applyProtection="1">
      <alignment horizontal="center" vertical="center" wrapText="1"/>
    </xf>
    <xf numFmtId="0" fontId="113" fillId="44" borderId="46" xfId="5" applyFont="1" applyFill="1" applyBorder="1" applyAlignment="1">
      <alignment horizontal="center"/>
    </xf>
    <xf numFmtId="0" fontId="113" fillId="44" borderId="47" xfId="5" applyFont="1" applyFill="1" applyBorder="1" applyAlignment="1">
      <alignment horizontal="center"/>
    </xf>
    <xf numFmtId="0" fontId="55" fillId="0" borderId="179" xfId="5" applyFont="1" applyFill="1" applyBorder="1" applyAlignment="1" applyProtection="1">
      <alignment horizontal="center" vertical="center" wrapText="1"/>
    </xf>
    <xf numFmtId="0" fontId="55" fillId="0" borderId="27" xfId="5" applyFont="1" applyFill="1" applyBorder="1" applyAlignment="1" applyProtection="1">
      <alignment horizontal="center" vertical="center" wrapText="1"/>
    </xf>
    <xf numFmtId="167" fontId="210" fillId="72" borderId="180" xfId="0" applyNumberFormat="1" applyFont="1" applyFill="1" applyBorder="1" applyAlignment="1" applyProtection="1">
      <alignment horizontal="center" vertical="center" wrapText="1"/>
    </xf>
    <xf numFmtId="167" fontId="210" fillId="65" borderId="180" xfId="0" applyNumberFormat="1" applyFont="1" applyFill="1" applyBorder="1" applyAlignment="1" applyProtection="1">
      <alignment horizontal="center" vertical="center" wrapText="1"/>
    </xf>
    <xf numFmtId="0" fontId="210" fillId="0" borderId="180" xfId="0" applyFont="1" applyFill="1" applyBorder="1" applyAlignment="1" applyProtection="1">
      <alignment horizontal="center" vertical="center" wrapText="1"/>
    </xf>
    <xf numFmtId="0" fontId="210" fillId="0" borderId="6" xfId="0" applyFont="1" applyFill="1" applyBorder="1" applyAlignment="1" applyProtection="1">
      <alignment horizontal="center" vertical="center" wrapText="1"/>
    </xf>
    <xf numFmtId="0" fontId="0" fillId="72" borderId="1" xfId="0" applyFill="1" applyBorder="1" applyAlignment="1" applyProtection="1">
      <alignment horizontal="center" vertical="center"/>
    </xf>
    <xf numFmtId="0" fontId="0" fillId="72" borderId="8" xfId="0" applyFill="1" applyBorder="1" applyAlignment="1" applyProtection="1">
      <alignment horizontal="center" vertical="center"/>
    </xf>
    <xf numFmtId="0" fontId="0" fillId="72" borderId="7" xfId="0" applyFill="1" applyBorder="1" applyAlignment="1" applyProtection="1">
      <alignment horizontal="center" vertical="center"/>
    </xf>
    <xf numFmtId="0" fontId="0" fillId="65" borderId="2" xfId="0" applyFill="1" applyBorder="1" applyAlignment="1" applyProtection="1">
      <alignment horizontal="center" vertical="center"/>
    </xf>
    <xf numFmtId="0" fontId="210" fillId="34" borderId="180" xfId="0" applyFont="1" applyFill="1" applyBorder="1" applyAlignment="1" applyProtection="1">
      <alignment horizontal="center" vertical="center" wrapText="1"/>
    </xf>
    <xf numFmtId="0" fontId="210" fillId="34" borderId="6" xfId="0" applyFont="1" applyFill="1" applyBorder="1" applyAlignment="1" applyProtection="1">
      <alignment horizontal="center" vertical="center" wrapText="1"/>
    </xf>
    <xf numFmtId="0" fontId="55" fillId="70" borderId="7" xfId="0" applyFont="1" applyFill="1" applyBorder="1" applyAlignment="1" applyProtection="1">
      <alignment horizontal="center" vertical="center" wrapText="1"/>
    </xf>
    <xf numFmtId="167" fontId="210" fillId="34" borderId="180" xfId="0" applyNumberFormat="1" applyFont="1" applyFill="1" applyBorder="1" applyAlignment="1" applyProtection="1">
      <alignment horizontal="center" vertical="center" wrapText="1"/>
    </xf>
    <xf numFmtId="167" fontId="210" fillId="34" borderId="6" xfId="0" applyNumberFormat="1" applyFont="1" applyFill="1" applyBorder="1" applyAlignment="1" applyProtection="1">
      <alignment horizontal="center" vertical="center" wrapText="1"/>
    </xf>
    <xf numFmtId="0" fontId="210" fillId="34" borderId="181" xfId="0" applyFont="1" applyFill="1" applyBorder="1" applyAlignment="1" applyProtection="1">
      <alignment horizontal="center" vertical="center" wrapText="1"/>
    </xf>
    <xf numFmtId="0" fontId="210" fillId="34" borderId="184" xfId="0" applyFont="1" applyFill="1" applyBorder="1" applyAlignment="1" applyProtection="1">
      <alignment horizontal="center" vertical="center" wrapText="1"/>
    </xf>
    <xf numFmtId="0" fontId="210" fillId="0" borderId="182" xfId="0" applyFont="1" applyFill="1" applyBorder="1" applyAlignment="1" applyProtection="1">
      <alignment horizontal="center" vertical="center" wrapText="1"/>
    </xf>
    <xf numFmtId="0" fontId="210" fillId="0" borderId="185" xfId="0" applyFont="1" applyFill="1" applyBorder="1" applyAlignment="1" applyProtection="1">
      <alignment horizontal="center" vertical="center" wrapText="1"/>
    </xf>
    <xf numFmtId="15" fontId="159" fillId="0" borderId="177" xfId="0" applyNumberFormat="1" applyFont="1" applyFill="1" applyBorder="1" applyAlignment="1">
      <alignment horizontal="right" vertical="center"/>
    </xf>
    <xf numFmtId="0" fontId="81" fillId="34" borderId="75" xfId="5" applyFont="1" applyFill="1" applyBorder="1" applyAlignment="1">
      <alignment horizontal="right" vertical="center"/>
    </xf>
    <xf numFmtId="0" fontId="81" fillId="34" borderId="24" xfId="5" applyFont="1" applyFill="1" applyBorder="1" applyAlignment="1">
      <alignment horizontal="right" vertical="center"/>
    </xf>
    <xf numFmtId="0" fontId="81" fillId="34" borderId="67" xfId="5" applyFont="1" applyFill="1" applyBorder="1" applyAlignment="1">
      <alignment horizontal="left" vertical="center"/>
    </xf>
    <xf numFmtId="0" fontId="81" fillId="34" borderId="91" xfId="5" applyFont="1" applyFill="1" applyBorder="1" applyAlignment="1">
      <alignment horizontal="left" vertical="center"/>
    </xf>
    <xf numFmtId="0" fontId="79" fillId="34" borderId="46" xfId="5" applyFont="1" applyFill="1" applyBorder="1" applyAlignment="1">
      <alignment horizontal="left" vertical="center"/>
    </xf>
    <xf numFmtId="0" fontId="79" fillId="34" borderId="47" xfId="5" applyFont="1" applyFill="1" applyBorder="1" applyAlignment="1">
      <alignment horizontal="left" vertical="center"/>
    </xf>
    <xf numFmtId="0" fontId="79" fillId="71" borderId="186" xfId="5" applyFont="1" applyFill="1" applyBorder="1" applyAlignment="1" applyProtection="1">
      <alignment horizontal="left" vertical="center"/>
      <protection locked="0"/>
    </xf>
    <xf numFmtId="0" fontId="79" fillId="71" borderId="23" xfId="5" applyFont="1" applyFill="1" applyBorder="1" applyAlignment="1" applyProtection="1">
      <alignment horizontal="left" vertical="center"/>
      <protection locked="0"/>
    </xf>
    <xf numFmtId="0" fontId="79" fillId="71" borderId="160" xfId="5" applyFont="1" applyFill="1" applyBorder="1" applyAlignment="1" applyProtection="1">
      <alignment horizontal="left" vertical="center"/>
      <protection locked="0"/>
    </xf>
    <xf numFmtId="0" fontId="55" fillId="61" borderId="178" xfId="5" applyFont="1" applyFill="1" applyBorder="1" applyAlignment="1" applyProtection="1">
      <alignment horizontal="left" vertical="center" wrapText="1"/>
    </xf>
    <xf numFmtId="0" fontId="55" fillId="61" borderId="183" xfId="5" applyFont="1" applyFill="1" applyBorder="1" applyAlignment="1" applyProtection="1">
      <alignment horizontal="left" vertical="center" wrapText="1"/>
    </xf>
    <xf numFmtId="0" fontId="55" fillId="0" borderId="179" xfId="5" applyFont="1" applyFill="1" applyBorder="1" applyAlignment="1" applyProtection="1">
      <alignment horizontal="left" vertical="center" wrapText="1"/>
    </xf>
    <xf numFmtId="0" fontId="55" fillId="0" borderId="27" xfId="5" applyFont="1" applyFill="1" applyBorder="1" applyAlignment="1" applyProtection="1">
      <alignment horizontal="left" vertical="center" wrapText="1"/>
    </xf>
    <xf numFmtId="186" fontId="177" fillId="5" borderId="179" xfId="5" applyNumberFormat="1" applyFont="1" applyFill="1" applyBorder="1" applyAlignment="1" applyProtection="1">
      <alignment horizontal="left" vertical="center" wrapText="1"/>
    </xf>
    <xf numFmtId="186" fontId="55" fillId="5" borderId="27" xfId="5" applyNumberFormat="1" applyFont="1" applyFill="1" applyBorder="1" applyAlignment="1" applyProtection="1">
      <alignment horizontal="left" vertical="center" wrapText="1"/>
    </xf>
    <xf numFmtId="0" fontId="105" fillId="0" borderId="123" xfId="5" applyFont="1" applyBorder="1" applyAlignment="1">
      <alignment horizontal="left" vertical="top" wrapText="1"/>
    </xf>
    <xf numFmtId="0" fontId="105" fillId="0" borderId="99" xfId="5" applyFont="1" applyBorder="1" applyAlignment="1">
      <alignment horizontal="left" vertical="top" wrapText="1"/>
    </xf>
    <xf numFmtId="0" fontId="0" fillId="0" borderId="24" xfId="0" applyBorder="1" applyAlignment="1">
      <alignment horizontal="left" vertical="center" wrapText="1"/>
    </xf>
    <xf numFmtId="0" fontId="0" fillId="0" borderId="51" xfId="0" applyBorder="1" applyAlignment="1">
      <alignment horizontal="left" vertical="center" wrapText="1"/>
    </xf>
    <xf numFmtId="0" fontId="0" fillId="0" borderId="65" xfId="0" applyBorder="1" applyAlignment="1">
      <alignment horizontal="left" wrapText="1"/>
    </xf>
    <xf numFmtId="0" fontId="0" fillId="0" borderId="0" xfId="0" applyBorder="1" applyAlignment="1">
      <alignment horizontal="left" wrapText="1"/>
    </xf>
    <xf numFmtId="0" fontId="0" fillId="0" borderId="122" xfId="0" applyBorder="1" applyAlignment="1">
      <alignment horizontal="left" vertical="center"/>
    </xf>
    <xf numFmtId="0" fontId="0" fillId="0" borderId="147" xfId="0" applyBorder="1" applyAlignment="1">
      <alignment horizontal="left" vertical="center"/>
    </xf>
    <xf numFmtId="0" fontId="55" fillId="0" borderId="143" xfId="5" applyFont="1" applyBorder="1" applyAlignment="1">
      <alignment horizontal="left"/>
    </xf>
    <xf numFmtId="0" fontId="55" fillId="0" borderId="78" xfId="5" applyFont="1" applyBorder="1" applyAlignment="1">
      <alignment horizontal="left"/>
    </xf>
    <xf numFmtId="0" fontId="55" fillId="0" borderId="144" xfId="5" applyFont="1" applyBorder="1" applyAlignment="1">
      <alignment horizontal="left"/>
    </xf>
    <xf numFmtId="0" fontId="55" fillId="0" borderId="7" xfId="5" applyFont="1" applyBorder="1" applyAlignment="1">
      <alignment horizontal="left"/>
    </xf>
    <xf numFmtId="2" fontId="69" fillId="19" borderId="5" xfId="5" applyNumberFormat="1" applyFill="1" applyBorder="1" applyAlignment="1" applyProtection="1">
      <alignment horizontal="center"/>
      <protection locked="0"/>
    </xf>
    <xf numFmtId="2" fontId="69" fillId="19" borderId="3" xfId="5" applyNumberFormat="1" applyFill="1" applyBorder="1" applyAlignment="1" applyProtection="1">
      <alignment horizontal="center"/>
      <protection locked="0"/>
    </xf>
    <xf numFmtId="0" fontId="69" fillId="0" borderId="103" xfId="5" applyBorder="1" applyAlignment="1">
      <alignment horizontal="left"/>
    </xf>
    <xf numFmtId="0" fontId="69" fillId="0" borderId="2" xfId="5" applyBorder="1" applyAlignment="1">
      <alignment horizontal="left"/>
    </xf>
    <xf numFmtId="0" fontId="55" fillId="0" borderId="103" xfId="5" applyFont="1" applyBorder="1" applyAlignment="1">
      <alignment horizontal="left"/>
    </xf>
    <xf numFmtId="0" fontId="55" fillId="0" borderId="122" xfId="5" applyFont="1" applyBorder="1" applyAlignment="1">
      <alignment horizontal="left"/>
    </xf>
    <xf numFmtId="0" fontId="55" fillId="0" borderId="6" xfId="5" applyFont="1" applyBorder="1" applyAlignment="1">
      <alignment horizontal="left"/>
    </xf>
    <xf numFmtId="0" fontId="79" fillId="78" borderId="106" xfId="5" applyFont="1" applyFill="1" applyBorder="1" applyAlignment="1">
      <alignment horizontal="left"/>
    </xf>
    <xf numFmtId="0" fontId="79" fillId="78" borderId="131" xfId="5" applyFont="1" applyFill="1" applyBorder="1" applyAlignment="1">
      <alignment horizontal="left"/>
    </xf>
    <xf numFmtId="0" fontId="79" fillId="78" borderId="94" xfId="5" applyFont="1" applyFill="1" applyBorder="1" applyAlignment="1">
      <alignment horizontal="left"/>
    </xf>
    <xf numFmtId="0" fontId="69" fillId="0" borderId="6" xfId="5" applyBorder="1" applyAlignment="1">
      <alignment horizontal="left" wrapText="1"/>
    </xf>
    <xf numFmtId="0" fontId="125" fillId="0" borderId="0" xfId="5" applyFont="1" applyFill="1" applyBorder="1" applyAlignment="1"/>
    <xf numFmtId="0" fontId="123" fillId="78" borderId="46" xfId="5" applyFont="1" applyFill="1" applyBorder="1" applyAlignment="1">
      <alignment horizontal="center"/>
    </xf>
    <xf numFmtId="0" fontId="123" fillId="78" borderId="23" xfId="5" applyFont="1" applyFill="1" applyBorder="1" applyAlignment="1">
      <alignment horizontal="center"/>
    </xf>
    <xf numFmtId="169" fontId="123" fillId="78" borderId="46" xfId="5" applyNumberFormat="1" applyFont="1" applyFill="1" applyBorder="1" applyAlignment="1">
      <alignment horizontal="center"/>
    </xf>
    <xf numFmtId="169" fontId="123" fillId="78" borderId="133" xfId="5" applyNumberFormat="1" applyFont="1" applyFill="1" applyBorder="1" applyAlignment="1">
      <alignment horizontal="center"/>
    </xf>
    <xf numFmtId="167" fontId="123" fillId="78" borderId="46" xfId="5" applyNumberFormat="1" applyFont="1" applyFill="1" applyBorder="1" applyAlignment="1">
      <alignment horizontal="center"/>
    </xf>
    <xf numFmtId="167" fontId="123" fillId="78" borderId="133" xfId="5" applyNumberFormat="1" applyFont="1" applyFill="1" applyBorder="1" applyAlignment="1">
      <alignment horizontal="center"/>
    </xf>
    <xf numFmtId="0" fontId="69" fillId="78" borderId="6" xfId="5" applyFill="1" applyBorder="1" applyAlignment="1">
      <alignment horizontal="left"/>
    </xf>
    <xf numFmtId="0" fontId="81" fillId="78" borderId="46" xfId="5" applyFont="1" applyFill="1" applyBorder="1" applyAlignment="1">
      <alignment horizontal="center"/>
    </xf>
    <xf numFmtId="0" fontId="81" fillId="78" borderId="23" xfId="5" applyFont="1" applyFill="1" applyBorder="1" applyAlignment="1">
      <alignment horizontal="center"/>
    </xf>
    <xf numFmtId="0" fontId="69" fillId="0" borderId="2" xfId="5" applyFill="1" applyBorder="1" applyAlignment="1">
      <alignment horizontal="right"/>
    </xf>
    <xf numFmtId="0" fontId="69" fillId="0" borderId="6" xfId="5" applyFill="1" applyBorder="1" applyAlignment="1">
      <alignment horizontal="right"/>
    </xf>
    <xf numFmtId="0" fontId="81" fillId="78" borderId="106" xfId="5" applyFont="1" applyFill="1" applyBorder="1" applyAlignment="1">
      <alignment horizontal="right"/>
    </xf>
    <xf numFmtId="0" fontId="81" fillId="78" borderId="131" xfId="5" applyFont="1" applyFill="1" applyBorder="1" applyAlignment="1">
      <alignment horizontal="right"/>
    </xf>
    <xf numFmtId="0" fontId="79" fillId="0" borderId="2" xfId="5" applyFont="1" applyFill="1" applyBorder="1" applyAlignment="1">
      <alignment horizontal="left"/>
    </xf>
    <xf numFmtId="0" fontId="131" fillId="0" borderId="65" xfId="5" applyFont="1" applyBorder="1" applyAlignment="1">
      <alignment horizontal="center"/>
    </xf>
    <xf numFmtId="0" fontId="131" fillId="0" borderId="0" xfId="5" applyFont="1" applyBorder="1" applyAlignment="1">
      <alignment horizontal="center"/>
    </xf>
    <xf numFmtId="0" fontId="131" fillId="0" borderId="48" xfId="5" applyFont="1" applyBorder="1" applyAlignment="1">
      <alignment horizontal="center"/>
    </xf>
    <xf numFmtId="0" fontId="69" fillId="0" borderId="105" xfId="5" applyBorder="1" applyAlignment="1">
      <alignment horizontal="left"/>
    </xf>
    <xf numFmtId="0" fontId="69" fillId="0" borderId="48" xfId="5" applyBorder="1" applyAlignment="1">
      <alignment horizontal="left"/>
    </xf>
    <xf numFmtId="170" fontId="79" fillId="28" borderId="46" xfId="5" applyNumberFormat="1" applyFont="1" applyFill="1" applyBorder="1" applyAlignment="1" applyProtection="1">
      <alignment horizontal="center"/>
      <protection locked="0"/>
    </xf>
    <xf numFmtId="170" fontId="79" fillId="28" borderId="47" xfId="5" applyNumberFormat="1" applyFont="1" applyFill="1" applyBorder="1" applyAlignment="1" applyProtection="1">
      <alignment horizontal="center"/>
      <protection locked="0"/>
    </xf>
    <xf numFmtId="0" fontId="79" fillId="0" borderId="46" xfId="5" applyFont="1" applyBorder="1" applyAlignment="1">
      <alignment horizontal="center"/>
    </xf>
    <xf numFmtId="0" fontId="79" fillId="0" borderId="47" xfId="5" applyFont="1" applyBorder="1" applyAlignment="1">
      <alignment horizontal="center"/>
    </xf>
    <xf numFmtId="180" fontId="194" fillId="61" borderId="46" xfId="6" applyNumberFormat="1" applyFont="1" applyFill="1" applyBorder="1" applyAlignment="1" applyProtection="1">
      <alignment horizontal="right"/>
    </xf>
    <xf numFmtId="180" fontId="194" fillId="61" borderId="23" xfId="6" applyNumberFormat="1" applyFont="1" applyFill="1" applyBorder="1" applyAlignment="1" applyProtection="1">
      <alignment horizontal="right"/>
    </xf>
    <xf numFmtId="0" fontId="79" fillId="49" borderId="23" xfId="6" applyFont="1" applyFill="1" applyBorder="1" applyAlignment="1" applyProtection="1">
      <alignment horizontal="center"/>
    </xf>
    <xf numFmtId="0" fontId="79" fillId="49" borderId="47" xfId="6" applyFont="1" applyFill="1" applyBorder="1" applyAlignment="1" applyProtection="1">
      <alignment horizontal="center"/>
    </xf>
    <xf numFmtId="0" fontId="79" fillId="49" borderId="46" xfId="6" applyFont="1" applyFill="1" applyBorder="1" applyAlignment="1" applyProtection="1">
      <alignment horizontal="center"/>
    </xf>
    <xf numFmtId="0" fontId="119" fillId="45" borderId="46" xfId="5" applyFont="1" applyFill="1" applyBorder="1" applyAlignment="1">
      <alignment horizontal="center"/>
    </xf>
    <xf numFmtId="0" fontId="119" fillId="45" borderId="23" xfId="5" applyFont="1" applyFill="1" applyBorder="1" applyAlignment="1">
      <alignment horizontal="center"/>
    </xf>
    <xf numFmtId="0" fontId="119" fillId="45" borderId="47" xfId="5" applyFont="1" applyFill="1" applyBorder="1" applyAlignment="1">
      <alignment horizontal="center"/>
    </xf>
    <xf numFmtId="0" fontId="81" fillId="0" borderId="75" xfId="5" applyFont="1" applyBorder="1" applyAlignment="1">
      <alignment horizontal="left" vertical="center"/>
    </xf>
    <xf numFmtId="0" fontId="81" fillId="0" borderId="50" xfId="5" applyFont="1" applyBorder="1" applyAlignment="1">
      <alignment horizontal="left" vertical="center"/>
    </xf>
    <xf numFmtId="0" fontId="81" fillId="0" borderId="67" xfId="5" applyFont="1" applyBorder="1" applyAlignment="1">
      <alignment horizontal="left" vertical="center"/>
    </xf>
    <xf numFmtId="0" fontId="119" fillId="45" borderId="75" xfId="5" applyFont="1" applyFill="1" applyBorder="1" applyAlignment="1">
      <alignment horizontal="center"/>
    </xf>
    <xf numFmtId="0" fontId="119" fillId="45" borderId="50" xfId="5" applyFont="1" applyFill="1" applyBorder="1" applyAlignment="1">
      <alignment horizontal="center"/>
    </xf>
    <xf numFmtId="0" fontId="119" fillId="45" borderId="67" xfId="5" applyFont="1" applyFill="1" applyBorder="1" applyAlignment="1">
      <alignment horizontal="center"/>
    </xf>
    <xf numFmtId="0" fontId="119" fillId="45" borderId="24" xfId="5" applyFont="1" applyFill="1" applyBorder="1" applyAlignment="1">
      <alignment horizontal="center"/>
    </xf>
    <xf numFmtId="0" fontId="119" fillId="45" borderId="51" xfId="5" applyFont="1" applyFill="1" applyBorder="1" applyAlignment="1">
      <alignment horizontal="center"/>
    </xf>
    <xf numFmtId="0" fontId="119" fillId="45" borderId="91" xfId="5" applyFont="1" applyFill="1" applyBorder="1" applyAlignment="1">
      <alignment horizontal="center"/>
    </xf>
    <xf numFmtId="181" fontId="159" fillId="34" borderId="144" xfId="0" applyNumberFormat="1" applyFont="1" applyFill="1" applyBorder="1" applyAlignment="1">
      <alignment horizontal="center" vertical="center"/>
    </xf>
    <xf numFmtId="181" fontId="159" fillId="34" borderId="73" xfId="0" applyNumberFormat="1" applyFont="1" applyFill="1" applyBorder="1" applyAlignment="1">
      <alignment horizontal="center" vertical="center"/>
    </xf>
    <xf numFmtId="0" fontId="0" fillId="0" borderId="103" xfId="0" applyBorder="1" applyAlignment="1">
      <alignment horizontal="left"/>
    </xf>
    <xf numFmtId="0" fontId="0" fillId="0" borderId="2" xfId="0" applyBorder="1" applyAlignment="1">
      <alignment horizontal="left"/>
    </xf>
    <xf numFmtId="0" fontId="0" fillId="0" borderId="1" xfId="0" applyBorder="1" applyAlignment="1">
      <alignment horizontal="left"/>
    </xf>
    <xf numFmtId="181" fontId="123" fillId="27" borderId="46" xfId="5" applyNumberFormat="1" applyFont="1" applyFill="1" applyBorder="1" applyAlignment="1">
      <alignment horizontal="center"/>
    </xf>
    <xf numFmtId="181" fontId="123" fillId="27" borderId="47" xfId="5" applyNumberFormat="1" applyFont="1" applyFill="1" applyBorder="1" applyAlignment="1">
      <alignment horizontal="center"/>
    </xf>
    <xf numFmtId="0" fontId="0" fillId="0" borderId="65" xfId="0" applyBorder="1" applyAlignment="1">
      <alignment horizontal="left"/>
    </xf>
    <xf numFmtId="0" fontId="0" fillId="0" borderId="0" xfId="0" applyBorder="1" applyAlignment="1">
      <alignment horizontal="left"/>
    </xf>
    <xf numFmtId="0" fontId="176" fillId="0" borderId="46" xfId="0" applyFont="1" applyFill="1" applyBorder="1" applyAlignment="1">
      <alignment horizontal="center" vertical="center" wrapText="1"/>
    </xf>
    <xf numFmtId="0" fontId="176" fillId="0" borderId="47" xfId="0" applyFont="1" applyFill="1" applyBorder="1" applyAlignment="1">
      <alignment horizontal="center" vertical="center" wrapText="1"/>
    </xf>
    <xf numFmtId="181" fontId="159" fillId="34" borderId="130" xfId="0" applyNumberFormat="1" applyFont="1" applyFill="1" applyBorder="1" applyAlignment="1">
      <alignment horizontal="center" vertical="center"/>
    </xf>
    <xf numFmtId="181" fontId="159" fillId="34" borderId="150" xfId="0" applyNumberFormat="1" applyFont="1" applyFill="1" applyBorder="1" applyAlignment="1">
      <alignment horizontal="center" vertical="center"/>
    </xf>
    <xf numFmtId="181" fontId="159" fillId="34" borderId="103" xfId="0" applyNumberFormat="1" applyFont="1" applyFill="1" applyBorder="1" applyAlignment="1">
      <alignment horizontal="center" vertical="center"/>
    </xf>
    <xf numFmtId="181" fontId="159" fillId="34" borderId="104" xfId="0" applyNumberFormat="1" applyFont="1" applyFill="1" applyBorder="1" applyAlignment="1">
      <alignment horizontal="center" vertical="center"/>
    </xf>
    <xf numFmtId="181" fontId="197" fillId="34" borderId="106" xfId="0" applyNumberFormat="1" applyFont="1" applyFill="1" applyBorder="1" applyAlignment="1">
      <alignment horizontal="center" vertical="center"/>
    </xf>
    <xf numFmtId="181" fontId="197" fillId="34" borderId="132" xfId="0" applyNumberFormat="1" applyFont="1" applyFill="1" applyBorder="1" applyAlignment="1">
      <alignment horizontal="center" vertical="center"/>
    </xf>
    <xf numFmtId="0" fontId="175" fillId="0" borderId="122" xfId="0" applyFont="1" applyBorder="1" applyAlignment="1">
      <alignment horizontal="left"/>
    </xf>
    <xf numFmtId="0" fontId="175" fillId="0" borderId="6" xfId="0" applyFont="1" applyBorder="1" applyAlignment="1">
      <alignment horizontal="left"/>
    </xf>
    <xf numFmtId="0" fontId="175" fillId="0" borderId="5" xfId="0" applyFont="1" applyBorder="1" applyAlignment="1">
      <alignment horizontal="left"/>
    </xf>
    <xf numFmtId="0" fontId="197" fillId="0" borderId="46" xfId="0" applyFont="1" applyBorder="1" applyAlignment="1">
      <alignment horizontal="center" vertical="center"/>
    </xf>
    <xf numFmtId="0" fontId="197" fillId="0" borderId="23" xfId="0" applyFont="1" applyBorder="1" applyAlignment="1">
      <alignment horizontal="center" vertical="center"/>
    </xf>
    <xf numFmtId="0" fontId="197" fillId="0" borderId="47" xfId="0" applyFont="1" applyBorder="1" applyAlignment="1">
      <alignment horizontal="center" vertical="center"/>
    </xf>
    <xf numFmtId="0" fontId="200" fillId="0" borderId="65" xfId="0" applyFont="1" applyBorder="1" applyAlignment="1">
      <alignment horizontal="center"/>
    </xf>
    <xf numFmtId="0" fontId="200" fillId="0" borderId="0" xfId="0" applyFont="1" applyBorder="1" applyAlignment="1">
      <alignment horizontal="center"/>
    </xf>
    <xf numFmtId="0" fontId="200" fillId="0" borderId="48" xfId="0" applyFont="1" applyBorder="1" applyAlignment="1">
      <alignment horizontal="center"/>
    </xf>
    <xf numFmtId="0" fontId="0" fillId="0" borderId="0" xfId="0" applyBorder="1" applyAlignment="1">
      <alignment horizontal="right"/>
    </xf>
    <xf numFmtId="0" fontId="0" fillId="0" borderId="48" xfId="0" applyBorder="1" applyAlignment="1">
      <alignment horizontal="right"/>
    </xf>
    <xf numFmtId="0" fontId="176" fillId="0" borderId="106" xfId="0" applyFont="1" applyBorder="1" applyAlignment="1">
      <alignment horizontal="left" vertical="center"/>
    </xf>
    <xf numFmtId="0" fontId="176" fillId="0" borderId="131" xfId="0" applyFont="1" applyBorder="1" applyAlignment="1">
      <alignment horizontal="left" vertical="center"/>
    </xf>
    <xf numFmtId="0" fontId="176" fillId="0" borderId="94" xfId="0" applyFont="1" applyBorder="1" applyAlignment="1">
      <alignment horizontal="left" vertical="center"/>
    </xf>
    <xf numFmtId="0" fontId="0" fillId="0" borderId="161" xfId="0" applyBorder="1" applyAlignment="1">
      <alignment horizontal="center"/>
    </xf>
    <xf numFmtId="0" fontId="173" fillId="0" borderId="0" xfId="5" applyFont="1" applyBorder="1" applyAlignment="1">
      <alignment horizontal="left"/>
    </xf>
    <xf numFmtId="0" fontId="173" fillId="0" borderId="48" xfId="5" applyFont="1" applyBorder="1" applyAlignment="1">
      <alignment horizontal="left"/>
    </xf>
    <xf numFmtId="0" fontId="0" fillId="0" borderId="76" xfId="0" applyBorder="1" applyAlignment="1">
      <alignment horizontal="left"/>
    </xf>
    <xf numFmtId="0" fontId="0" fillId="0" borderId="77" xfId="0" applyBorder="1" applyAlignment="1">
      <alignment horizontal="left"/>
    </xf>
    <xf numFmtId="0" fontId="0" fillId="0" borderId="127" xfId="0" applyBorder="1" applyAlignment="1">
      <alignment horizontal="left"/>
    </xf>
    <xf numFmtId="0" fontId="0" fillId="0" borderId="104" xfId="0" applyBorder="1" applyAlignment="1">
      <alignment horizontal="left"/>
    </xf>
    <xf numFmtId="0" fontId="0" fillId="0" borderId="128" xfId="0" applyBorder="1" applyAlignment="1">
      <alignment horizontal="left"/>
    </xf>
    <xf numFmtId="0" fontId="0" fillId="0" borderId="100" xfId="0" applyBorder="1" applyAlignment="1">
      <alignment horizontal="left"/>
    </xf>
    <xf numFmtId="0" fontId="0" fillId="0" borderId="129" xfId="0" applyBorder="1" applyAlignment="1">
      <alignment horizontal="left"/>
    </xf>
    <xf numFmtId="0" fontId="0" fillId="0" borderId="130" xfId="0" applyBorder="1" applyAlignment="1">
      <alignment horizontal="left"/>
    </xf>
    <xf numFmtId="0" fontId="0" fillId="0" borderId="22" xfId="0" applyBorder="1" applyAlignment="1">
      <alignment horizontal="left"/>
    </xf>
    <xf numFmtId="0" fontId="0" fillId="0" borderId="150" xfId="0" applyBorder="1" applyAlignment="1">
      <alignment horizontal="left"/>
    </xf>
    <xf numFmtId="0" fontId="137" fillId="0" borderId="0" xfId="5" applyFont="1" applyBorder="1" applyAlignment="1">
      <alignment horizontal="center" wrapText="1"/>
    </xf>
    <xf numFmtId="0" fontId="220" fillId="37" borderId="75" xfId="12" applyFont="1" applyFill="1" applyBorder="1" applyAlignment="1" applyProtection="1">
      <alignment horizontal="center" vertical="center"/>
    </xf>
    <xf numFmtId="0" fontId="220" fillId="37" borderId="50" xfId="12" applyFont="1" applyFill="1" applyBorder="1" applyAlignment="1" applyProtection="1">
      <alignment horizontal="center" vertical="center"/>
    </xf>
    <xf numFmtId="0" fontId="220" fillId="37" borderId="67" xfId="12" applyFont="1" applyFill="1" applyBorder="1" applyAlignment="1" applyProtection="1">
      <alignment horizontal="center" vertical="center"/>
    </xf>
    <xf numFmtId="0" fontId="81" fillId="19" borderId="46" xfId="5" applyFont="1" applyFill="1" applyBorder="1" applyAlignment="1" applyProtection="1">
      <alignment horizontal="center" vertical="center"/>
    </xf>
    <xf numFmtId="0" fontId="81" fillId="19" borderId="47" xfId="5" applyFont="1" applyFill="1" applyBorder="1" applyAlignment="1" applyProtection="1">
      <alignment horizontal="center" vertical="center"/>
    </xf>
    <xf numFmtId="0" fontId="79" fillId="34" borderId="5" xfId="5" applyFont="1" applyFill="1" applyBorder="1" applyAlignment="1" applyProtection="1">
      <alignment horizontal="center"/>
    </xf>
    <xf numFmtId="0" fontId="79" fillId="34" borderId="107" xfId="5" applyFont="1" applyFill="1" applyBorder="1" applyAlignment="1" applyProtection="1">
      <alignment horizontal="center"/>
    </xf>
    <xf numFmtId="0" fontId="79" fillId="34" borderId="8" xfId="5" applyFont="1" applyFill="1" applyBorder="1" applyAlignment="1" applyProtection="1">
      <alignment horizontal="center"/>
    </xf>
    <xf numFmtId="0" fontId="79" fillId="34" borderId="73" xfId="5" applyFont="1" applyFill="1" applyBorder="1" applyAlignment="1" applyProtection="1">
      <alignment horizontal="center"/>
    </xf>
    <xf numFmtId="0" fontId="79" fillId="65" borderId="75" xfId="5" applyFont="1" applyFill="1" applyBorder="1" applyAlignment="1">
      <alignment horizontal="left" vertical="center"/>
    </xf>
    <xf numFmtId="0" fontId="79" fillId="65" borderId="50" xfId="5" applyFont="1" applyFill="1" applyBorder="1" applyAlignment="1">
      <alignment horizontal="left" vertical="center"/>
    </xf>
    <xf numFmtId="0" fontId="194" fillId="65" borderId="50" xfId="0" applyFont="1" applyFill="1" applyBorder="1" applyAlignment="1" applyProtection="1">
      <alignment horizontal="left" vertical="center"/>
      <protection hidden="1"/>
    </xf>
    <xf numFmtId="0" fontId="81" fillId="43" borderId="46" xfId="5" applyFont="1" applyFill="1" applyBorder="1" applyAlignment="1" applyProtection="1">
      <alignment horizontal="center" vertical="center"/>
    </xf>
    <xf numFmtId="0" fontId="81" fillId="43" borderId="47" xfId="5" applyFont="1" applyFill="1" applyBorder="1" applyAlignment="1" applyProtection="1">
      <alignment horizontal="center" vertical="center"/>
    </xf>
    <xf numFmtId="0" fontId="79" fillId="27" borderId="1" xfId="5" applyFont="1" applyFill="1" applyBorder="1" applyAlignment="1" applyProtection="1">
      <alignment horizontal="center"/>
    </xf>
    <xf numFmtId="0" fontId="79" fillId="27" borderId="7" xfId="5" applyFont="1" applyFill="1" applyBorder="1" applyAlignment="1" applyProtection="1">
      <alignment horizontal="center"/>
    </xf>
    <xf numFmtId="0" fontId="79" fillId="14" borderId="1" xfId="5" applyFont="1" applyFill="1" applyBorder="1" applyAlignment="1" applyProtection="1">
      <alignment horizontal="center"/>
    </xf>
    <xf numFmtId="0" fontId="79" fillId="14" borderId="7" xfId="5" applyFont="1" applyFill="1" applyBorder="1" applyAlignment="1" applyProtection="1">
      <alignment horizontal="center"/>
    </xf>
    <xf numFmtId="0" fontId="79" fillId="34" borderId="2" xfId="5" applyFont="1" applyFill="1" applyBorder="1" applyAlignment="1" applyProtection="1">
      <alignment horizontal="center"/>
    </xf>
    <xf numFmtId="0" fontId="79" fillId="66" borderId="2" xfId="5" applyFont="1" applyFill="1" applyBorder="1" applyAlignment="1" applyProtection="1">
      <alignment horizontal="center"/>
    </xf>
    <xf numFmtId="0" fontId="121" fillId="45" borderId="46" xfId="5" applyFont="1" applyFill="1" applyBorder="1" applyAlignment="1">
      <alignment horizontal="center"/>
    </xf>
    <xf numFmtId="0" fontId="121" fillId="45" borderId="23" xfId="5" applyFont="1" applyFill="1" applyBorder="1" applyAlignment="1">
      <alignment horizontal="center"/>
    </xf>
    <xf numFmtId="0" fontId="121" fillId="45" borderId="47" xfId="5" applyFont="1" applyFill="1" applyBorder="1" applyAlignment="1">
      <alignment horizontal="center"/>
    </xf>
    <xf numFmtId="0" fontId="55" fillId="0" borderId="46" xfId="5" applyFont="1" applyBorder="1" applyAlignment="1">
      <alignment horizontal="center"/>
    </xf>
    <xf numFmtId="0" fontId="55" fillId="0" borderId="23" xfId="5" applyFont="1" applyBorder="1" applyAlignment="1">
      <alignment horizontal="center"/>
    </xf>
    <xf numFmtId="0" fontId="55" fillId="0" borderId="47" xfId="5" applyFont="1" applyBorder="1" applyAlignment="1">
      <alignment horizontal="center"/>
    </xf>
    <xf numFmtId="0" fontId="81" fillId="63" borderId="241" xfId="5" applyFont="1" applyFill="1" applyBorder="1" applyAlignment="1">
      <alignment horizontal="center"/>
    </xf>
    <xf numFmtId="0" fontId="81" fillId="63" borderId="242" xfId="5" applyFont="1" applyFill="1" applyBorder="1" applyAlignment="1">
      <alignment horizontal="center"/>
    </xf>
    <xf numFmtId="0" fontId="81" fillId="63" borderId="243" xfId="5" applyFont="1" applyFill="1" applyBorder="1" applyAlignment="1">
      <alignment horizontal="center"/>
    </xf>
    <xf numFmtId="0" fontId="79" fillId="64" borderId="235" xfId="5" applyFont="1" applyFill="1" applyBorder="1" applyAlignment="1">
      <alignment horizontal="right"/>
    </xf>
    <xf numFmtId="0" fontId="79" fillId="64" borderId="236" xfId="5" applyFont="1" applyFill="1" applyBorder="1" applyAlignment="1">
      <alignment horizontal="right"/>
    </xf>
    <xf numFmtId="0" fontId="79" fillId="64" borderId="240" xfId="5" applyFont="1" applyFill="1" applyBorder="1" applyAlignment="1">
      <alignment horizontal="right"/>
    </xf>
    <xf numFmtId="0" fontId="119" fillId="45" borderId="241" xfId="5" applyFont="1" applyFill="1" applyBorder="1" applyAlignment="1">
      <alignment horizontal="center"/>
    </xf>
    <xf numFmtId="0" fontId="119" fillId="45" borderId="242" xfId="5" applyFont="1" applyFill="1" applyBorder="1" applyAlignment="1">
      <alignment horizontal="center"/>
    </xf>
    <xf numFmtId="0" fontId="119" fillId="45" borderId="243" xfId="5" applyFont="1" applyFill="1" applyBorder="1" applyAlignment="1">
      <alignment horizontal="center"/>
    </xf>
    <xf numFmtId="0" fontId="79" fillId="64" borderId="233" xfId="5" applyFont="1" applyFill="1" applyBorder="1" applyAlignment="1">
      <alignment horizontal="right"/>
    </xf>
    <xf numFmtId="0" fontId="79" fillId="64" borderId="160" xfId="5" applyFont="1" applyFill="1" applyBorder="1" applyAlignment="1">
      <alignment horizontal="right"/>
    </xf>
    <xf numFmtId="0" fontId="79" fillId="64" borderId="75" xfId="5" applyFont="1" applyFill="1" applyBorder="1" applyAlignment="1">
      <alignment horizontal="right"/>
    </xf>
    <xf numFmtId="0" fontId="79" fillId="64" borderId="108" xfId="5" applyFont="1" applyFill="1" applyBorder="1" applyAlignment="1">
      <alignment horizontal="right"/>
    </xf>
    <xf numFmtId="0" fontId="79" fillId="64" borderId="123" xfId="5" applyFont="1" applyFill="1" applyBorder="1" applyAlignment="1">
      <alignment horizontal="left"/>
    </xf>
    <xf numFmtId="0" fontId="79" fillId="64" borderId="99" xfId="5" applyFont="1" applyFill="1" applyBorder="1" applyAlignment="1">
      <alignment horizontal="left"/>
    </xf>
    <xf numFmtId="0" fontId="81" fillId="0" borderId="229" xfId="5" applyFont="1" applyBorder="1" applyAlignment="1">
      <alignment horizontal="left" vertical="center"/>
    </xf>
    <xf numFmtId="0" fontId="81" fillId="0" borderId="220" xfId="5" applyFont="1" applyBorder="1" applyAlignment="1">
      <alignment horizontal="left" vertical="center"/>
    </xf>
    <xf numFmtId="0" fontId="119" fillId="45" borderId="233" xfId="5" applyFont="1" applyFill="1" applyBorder="1" applyAlignment="1">
      <alignment horizontal="center"/>
    </xf>
    <xf numFmtId="0" fontId="119" fillId="45" borderId="234" xfId="5" applyFont="1" applyFill="1" applyBorder="1" applyAlignment="1">
      <alignment horizontal="center"/>
    </xf>
    <xf numFmtId="0" fontId="119" fillId="60" borderId="46" xfId="5" applyFont="1" applyFill="1" applyBorder="1" applyAlignment="1">
      <alignment horizontal="center"/>
    </xf>
    <xf numFmtId="0" fontId="119" fillId="60" borderId="23" xfId="5" applyFont="1" applyFill="1" applyBorder="1" applyAlignment="1">
      <alignment horizontal="center"/>
    </xf>
    <xf numFmtId="0" fontId="119" fillId="60" borderId="47" xfId="5" applyFont="1" applyFill="1" applyBorder="1" applyAlignment="1">
      <alignment horizontal="center"/>
    </xf>
    <xf numFmtId="0" fontId="79" fillId="60" borderId="124" xfId="5" applyFont="1" applyFill="1" applyBorder="1" applyAlignment="1">
      <alignment horizontal="center" vertical="center" wrapText="1"/>
    </xf>
    <xf numFmtId="0" fontId="79" fillId="60" borderId="147" xfId="5" applyFont="1" applyFill="1" applyBorder="1" applyAlignment="1">
      <alignment horizontal="center" vertical="center" wrapText="1"/>
    </xf>
    <xf numFmtId="0" fontId="79" fillId="60" borderId="166" xfId="5" applyFont="1" applyFill="1" applyBorder="1" applyAlignment="1">
      <alignment horizontal="center" vertical="center" wrapText="1"/>
    </xf>
    <xf numFmtId="0" fontId="79" fillId="60" borderId="67" xfId="5" applyFont="1" applyFill="1" applyBorder="1" applyAlignment="1">
      <alignment horizontal="center" vertical="center" wrapText="1"/>
    </xf>
    <xf numFmtId="0" fontId="79" fillId="60" borderId="176" xfId="5" applyFont="1" applyFill="1" applyBorder="1" applyAlignment="1">
      <alignment horizontal="center" vertical="center" wrapText="1"/>
    </xf>
    <xf numFmtId="0" fontId="79" fillId="60" borderId="91" xfId="5" applyFont="1" applyFill="1" applyBorder="1" applyAlignment="1">
      <alignment horizontal="center" vertical="center" wrapText="1"/>
    </xf>
    <xf numFmtId="0" fontId="79" fillId="0" borderId="75" xfId="5" applyFont="1" applyBorder="1" applyAlignment="1">
      <alignment horizontal="center" vertical="center" wrapText="1"/>
    </xf>
    <xf numFmtId="0" fontId="79" fillId="0" borderId="67" xfId="5" applyFont="1" applyBorder="1" applyAlignment="1">
      <alignment horizontal="center" vertical="center" wrapText="1"/>
    </xf>
    <xf numFmtId="0" fontId="55" fillId="43" borderId="24" xfId="5" applyFont="1" applyFill="1" applyBorder="1" applyAlignment="1">
      <alignment horizontal="center" wrapText="1"/>
    </xf>
    <xf numFmtId="0" fontId="55" fillId="43" borderId="91" xfId="5" applyFont="1" applyFill="1" applyBorder="1" applyAlignment="1">
      <alignment horizontal="center" wrapText="1"/>
    </xf>
    <xf numFmtId="0" fontId="79" fillId="60" borderId="175" xfId="5" applyFont="1" applyFill="1" applyBorder="1" applyAlignment="1">
      <alignment horizontal="center" vertical="center" wrapText="1"/>
    </xf>
    <xf numFmtId="0" fontId="79" fillId="60" borderId="105" xfId="5" applyFont="1" applyFill="1" applyBorder="1" applyAlignment="1">
      <alignment horizontal="center" vertical="center" wrapText="1"/>
    </xf>
    <xf numFmtId="0" fontId="79" fillId="60" borderId="48" xfId="5" applyFont="1" applyFill="1" applyBorder="1" applyAlignment="1">
      <alignment horizontal="center" vertical="center" wrapText="1"/>
    </xf>
    <xf numFmtId="0" fontId="55" fillId="0" borderId="103" xfId="0" applyFont="1" applyFill="1" applyBorder="1" applyAlignment="1" applyProtection="1">
      <alignment horizontal="center"/>
      <protection locked="0"/>
    </xf>
    <xf numFmtId="0" fontId="55" fillId="0" borderId="2" xfId="0" applyFont="1" applyFill="1" applyBorder="1" applyAlignment="1" applyProtection="1">
      <alignment horizontal="center"/>
      <protection locked="0"/>
    </xf>
    <xf numFmtId="0" fontId="55" fillId="0" borderId="122" xfId="0" applyFont="1" applyFill="1" applyBorder="1" applyAlignment="1" applyProtection="1">
      <alignment horizontal="center"/>
      <protection locked="0"/>
    </xf>
    <xf numFmtId="0" fontId="55" fillId="0" borderId="6" xfId="0" applyFont="1" applyFill="1" applyBorder="1" applyAlignment="1" applyProtection="1">
      <alignment horizontal="center"/>
      <protection locked="0"/>
    </xf>
    <xf numFmtId="0" fontId="81" fillId="0" borderId="106" xfId="0" applyFont="1" applyFill="1" applyBorder="1" applyAlignment="1" applyProtection="1">
      <alignment horizontal="center"/>
      <protection locked="0"/>
    </xf>
    <xf numFmtId="0" fontId="81" fillId="0" borderId="131" xfId="0" applyFont="1" applyFill="1" applyBorder="1" applyAlignment="1" applyProtection="1">
      <alignment horizontal="center"/>
      <protection locked="0"/>
    </xf>
    <xf numFmtId="0" fontId="0" fillId="0" borderId="101" xfId="0" applyBorder="1" applyAlignment="1">
      <alignment horizontal="left"/>
    </xf>
    <xf numFmtId="0" fontId="176" fillId="0" borderId="106" xfId="0" applyFont="1" applyBorder="1" applyAlignment="1">
      <alignment horizontal="left" vertical="center" wrapText="1"/>
    </xf>
    <xf numFmtId="0" fontId="176" fillId="0" borderId="131" xfId="0" applyFont="1" applyBorder="1" applyAlignment="1">
      <alignment horizontal="left" vertical="center" wrapText="1"/>
    </xf>
    <xf numFmtId="0" fontId="176" fillId="0" borderId="94" xfId="0" applyFont="1" applyBorder="1" applyAlignment="1">
      <alignment horizontal="left" vertical="center" wrapText="1"/>
    </xf>
    <xf numFmtId="0" fontId="175" fillId="0" borderId="103" xfId="0" applyFont="1" applyBorder="1" applyAlignment="1">
      <alignment horizontal="left"/>
    </xf>
    <xf numFmtId="0" fontId="175" fillId="0" borderId="2" xfId="0" applyFont="1" applyBorder="1" applyAlignment="1">
      <alignment horizontal="left"/>
    </xf>
    <xf numFmtId="0" fontId="175" fillId="0" borderId="1" xfId="0" applyFont="1" applyBorder="1" applyAlignment="1">
      <alignment horizontal="left"/>
    </xf>
    <xf numFmtId="0" fontId="0" fillId="0" borderId="0" xfId="0" applyAlignment="1">
      <alignment horizontal="right"/>
    </xf>
    <xf numFmtId="0" fontId="104" fillId="0" borderId="75" xfId="5" applyFont="1" applyBorder="1" applyAlignment="1">
      <alignment horizontal="center" vertical="center"/>
    </xf>
    <xf numFmtId="0" fontId="104" fillId="0" borderId="50" xfId="5" applyFont="1" applyBorder="1" applyAlignment="1">
      <alignment horizontal="center" vertical="center"/>
    </xf>
    <xf numFmtId="0" fontId="104" fillId="0" borderId="67" xfId="5" applyFont="1" applyBorder="1" applyAlignment="1">
      <alignment horizontal="center" vertical="center"/>
    </xf>
    <xf numFmtId="0" fontId="81" fillId="78" borderId="131" xfId="5" applyFont="1" applyFill="1" applyBorder="1" applyAlignment="1">
      <alignment horizontal="left"/>
    </xf>
    <xf numFmtId="0" fontId="81" fillId="78" borderId="132" xfId="5" applyFont="1" applyFill="1" applyBorder="1" applyAlignment="1">
      <alignment horizontal="left"/>
    </xf>
    <xf numFmtId="0" fontId="55" fillId="0" borderId="122" xfId="5" applyFont="1" applyBorder="1" applyAlignment="1">
      <alignment horizontal="left" wrapText="1"/>
    </xf>
    <xf numFmtId="0" fontId="81" fillId="78" borderId="46" xfId="5" applyFont="1" applyFill="1" applyBorder="1" applyAlignment="1"/>
    <xf numFmtId="0" fontId="98" fillId="78" borderId="23" xfId="5" applyFont="1" applyFill="1" applyBorder="1" applyAlignment="1"/>
    <xf numFmtId="0" fontId="79" fillId="0" borderId="75" xfId="5" applyFont="1" applyBorder="1" applyAlignment="1">
      <alignment horizontal="left"/>
    </xf>
    <xf numFmtId="0" fontId="79" fillId="0" borderId="50" xfId="5" applyFont="1" applyBorder="1" applyAlignment="1">
      <alignment horizontal="left"/>
    </xf>
    <xf numFmtId="0" fontId="79" fillId="0" borderId="67" xfId="5" applyFont="1" applyBorder="1" applyAlignment="1">
      <alignment horizontal="left"/>
    </xf>
    <xf numFmtId="2" fontId="120" fillId="73" borderId="125" xfId="5" applyNumberFormat="1" applyFont="1" applyFill="1" applyBorder="1" applyAlignment="1">
      <alignment horizontal="center" vertical="center"/>
    </xf>
    <xf numFmtId="2" fontId="120" fillId="73" borderId="203" xfId="5" applyNumberFormat="1" applyFont="1" applyFill="1" applyBorder="1" applyAlignment="1">
      <alignment horizontal="center" vertical="center"/>
    </xf>
    <xf numFmtId="2" fontId="120" fillId="73" borderId="108" xfId="5" applyNumberFormat="1" applyFont="1" applyFill="1" applyBorder="1" applyAlignment="1">
      <alignment horizontal="center" vertical="center"/>
    </xf>
    <xf numFmtId="2" fontId="120" fillId="73" borderId="204" xfId="5" applyNumberFormat="1" applyFont="1" applyFill="1" applyBorder="1" applyAlignment="1">
      <alignment horizontal="center" vertical="center"/>
    </xf>
    <xf numFmtId="2" fontId="120" fillId="73" borderId="126" xfId="5" applyNumberFormat="1" applyFont="1" applyFill="1" applyBorder="1" applyAlignment="1">
      <alignment horizontal="center" vertical="center"/>
    </xf>
    <xf numFmtId="2" fontId="120" fillId="73" borderId="146" xfId="5" applyNumberFormat="1" applyFont="1" applyFill="1" applyBorder="1" applyAlignment="1">
      <alignment horizontal="center" vertical="center"/>
    </xf>
    <xf numFmtId="0" fontId="69" fillId="0" borderId="2" xfId="5" applyBorder="1" applyAlignment="1">
      <alignment horizontal="center"/>
    </xf>
    <xf numFmtId="0" fontId="118" fillId="0" borderId="0" xfId="5" applyFont="1" applyAlignment="1">
      <alignment horizontal="center"/>
    </xf>
    <xf numFmtId="0" fontId="118" fillId="0" borderId="0" xfId="5" applyFont="1" applyAlignment="1">
      <alignment horizontal="left"/>
    </xf>
    <xf numFmtId="0" fontId="69" fillId="0" borderId="26" xfId="5" applyBorder="1" applyAlignment="1">
      <alignment horizontal="center"/>
    </xf>
    <xf numFmtId="0" fontId="81" fillId="14" borderId="2" xfId="5" applyFont="1" applyFill="1" applyBorder="1" applyAlignment="1">
      <alignment horizontal="center"/>
    </xf>
    <xf numFmtId="0" fontId="79" fillId="0" borderId="2" xfId="5" applyFont="1" applyBorder="1" applyAlignment="1">
      <alignment horizontal="center"/>
    </xf>
    <xf numFmtId="0" fontId="69" fillId="0" borderId="22" xfId="5" applyBorder="1" applyAlignment="1">
      <alignment horizontal="center"/>
    </xf>
    <xf numFmtId="0" fontId="69" fillId="0" borderId="5" xfId="5" applyBorder="1" applyAlignment="1">
      <alignment horizontal="center"/>
    </xf>
    <xf numFmtId="0" fontId="69" fillId="0" borderId="3" xfId="5" applyBorder="1" applyAlignment="1">
      <alignment horizontal="center"/>
    </xf>
    <xf numFmtId="0" fontId="69" fillId="0" borderId="28" xfId="5" applyBorder="1" applyAlignment="1">
      <alignment horizontal="center"/>
    </xf>
    <xf numFmtId="0" fontId="69" fillId="0" borderId="21" xfId="5" applyBorder="1" applyAlignment="1">
      <alignment horizontal="center"/>
    </xf>
    <xf numFmtId="0" fontId="69" fillId="0" borderId="2" xfId="5" applyBorder="1" applyAlignment="1">
      <alignment horizontal="center" wrapText="1"/>
    </xf>
    <xf numFmtId="0" fontId="79" fillId="0" borderId="1" xfId="5" applyFont="1" applyBorder="1" applyAlignment="1">
      <alignment horizontal="center"/>
    </xf>
    <xf numFmtId="0" fontId="79" fillId="0" borderId="8" xfId="5" applyFont="1" applyBorder="1" applyAlignment="1">
      <alignment horizontal="center"/>
    </xf>
    <xf numFmtId="0" fontId="79" fillId="0" borderId="7" xfId="5" applyFont="1" applyBorder="1" applyAlignment="1">
      <alignment horizontal="center"/>
    </xf>
    <xf numFmtId="0" fontId="79" fillId="27" borderId="46" xfId="5" applyFont="1" applyFill="1" applyBorder="1" applyAlignment="1" applyProtection="1">
      <alignment horizontal="center"/>
    </xf>
    <xf numFmtId="0" fontId="79" fillId="27" borderId="23" xfId="5" applyFont="1" applyFill="1" applyBorder="1" applyAlignment="1" applyProtection="1">
      <alignment horizontal="center"/>
    </xf>
    <xf numFmtId="0" fontId="79" fillId="27" borderId="47" xfId="5" applyFont="1" applyFill="1" applyBorder="1" applyAlignment="1" applyProtection="1">
      <alignment horizontal="center"/>
    </xf>
    <xf numFmtId="0" fontId="120" fillId="27" borderId="46" xfId="5" applyFont="1" applyFill="1" applyBorder="1" applyAlignment="1" applyProtection="1">
      <alignment horizontal="center"/>
    </xf>
    <xf numFmtId="0" fontId="69" fillId="0" borderId="23" xfId="5" applyBorder="1" applyAlignment="1" applyProtection="1">
      <alignment horizontal="center"/>
    </xf>
    <xf numFmtId="0" fontId="69" fillId="0" borderId="47" xfId="5" applyBorder="1" applyAlignment="1" applyProtection="1">
      <alignment horizontal="center"/>
    </xf>
    <xf numFmtId="0" fontId="55" fillId="43" borderId="1" xfId="5" quotePrefix="1" applyFont="1" applyFill="1" applyBorder="1" applyAlignment="1" applyProtection="1">
      <alignment horizontal="left" vertical="top" wrapText="1"/>
    </xf>
    <xf numFmtId="0" fontId="55" fillId="43" borderId="8" xfId="5" applyFont="1" applyFill="1" applyBorder="1" applyAlignment="1" applyProtection="1">
      <alignment horizontal="left" vertical="top" wrapText="1"/>
    </xf>
    <xf numFmtId="0" fontId="55" fillId="43" borderId="7" xfId="5" applyFont="1" applyFill="1" applyBorder="1" applyAlignment="1" applyProtection="1">
      <alignment horizontal="left" vertical="top" wrapText="1"/>
    </xf>
    <xf numFmtId="1" fontId="113" fillId="27" borderId="23" xfId="5" applyNumberFormat="1" applyFont="1" applyFill="1" applyBorder="1" applyAlignment="1" applyProtection="1">
      <alignment horizontal="left"/>
    </xf>
    <xf numFmtId="1" fontId="113" fillId="27" borderId="47" xfId="5" applyNumberFormat="1" applyFont="1" applyFill="1" applyBorder="1" applyAlignment="1" applyProtection="1">
      <alignment horizontal="left"/>
    </xf>
    <xf numFmtId="0" fontId="79" fillId="0" borderId="0" xfId="0" applyFont="1" applyBorder="1" applyAlignment="1">
      <alignment vertical="center" wrapText="1"/>
    </xf>
    <xf numFmtId="0" fontId="0" fillId="0" borderId="0" xfId="0" applyAlignment="1">
      <alignment vertical="center" wrapText="1"/>
    </xf>
    <xf numFmtId="0" fontId="97" fillId="0" borderId="5" xfId="5" applyFont="1" applyBorder="1" applyAlignment="1">
      <alignment horizontal="left"/>
    </xf>
    <xf numFmtId="0" fontId="97" fillId="0" borderId="3" xfId="5" applyFont="1" applyBorder="1" applyAlignment="1">
      <alignment horizontal="left"/>
    </xf>
    <xf numFmtId="0" fontId="113" fillId="0" borderId="0" xfId="0" applyFont="1" applyAlignment="1">
      <alignment horizontal="center" vertical="center"/>
    </xf>
    <xf numFmtId="0" fontId="0" fillId="0" borderId="0" xfId="0" applyAlignment="1">
      <alignment horizontal="center" vertical="center"/>
    </xf>
    <xf numFmtId="0" fontId="105" fillId="0" borderId="0" xfId="0" applyFont="1" applyAlignment="1">
      <alignment vertical="center" wrapText="1"/>
    </xf>
    <xf numFmtId="0" fontId="119" fillId="0" borderId="75" xfId="5" applyFont="1" applyFill="1" applyBorder="1" applyAlignment="1">
      <alignment horizontal="center"/>
    </xf>
    <xf numFmtId="0" fontId="119" fillId="0" borderId="50" xfId="5" applyFont="1" applyFill="1" applyBorder="1" applyAlignment="1">
      <alignment horizontal="center"/>
    </xf>
    <xf numFmtId="0" fontId="119" fillId="0" borderId="67" xfId="5" applyFont="1" applyFill="1" applyBorder="1" applyAlignment="1">
      <alignment horizontal="center"/>
    </xf>
    <xf numFmtId="0" fontId="79" fillId="0" borderId="46" xfId="5" applyFont="1" applyFill="1" applyBorder="1" applyAlignment="1">
      <alignment horizontal="center" vertical="center"/>
    </xf>
    <xf numFmtId="0" fontId="79" fillId="0" borderId="23" xfId="5" applyFont="1" applyFill="1" applyBorder="1" applyAlignment="1">
      <alignment horizontal="center" vertical="center"/>
    </xf>
    <xf numFmtId="0" fontId="79" fillId="0" borderId="23" xfId="5" applyFont="1" applyFill="1" applyBorder="1" applyAlignment="1">
      <alignment horizontal="center"/>
    </xf>
    <xf numFmtId="0" fontId="79" fillId="0" borderId="47" xfId="5" applyFont="1" applyFill="1" applyBorder="1" applyAlignment="1">
      <alignment horizontal="center"/>
    </xf>
    <xf numFmtId="0" fontId="113" fillId="45" borderId="144" xfId="5" applyFont="1" applyFill="1" applyBorder="1" applyAlignment="1">
      <alignment horizontal="center"/>
    </xf>
    <xf numFmtId="0" fontId="113" fillId="45" borderId="8" xfId="5" applyFont="1" applyFill="1" applyBorder="1" applyAlignment="1">
      <alignment horizontal="center"/>
    </xf>
    <xf numFmtId="0" fontId="113" fillId="45" borderId="7" xfId="5" applyFont="1" applyFill="1" applyBorder="1" applyAlignment="1">
      <alignment horizontal="center"/>
    </xf>
    <xf numFmtId="0" fontId="218" fillId="0" borderId="0" xfId="5" applyFont="1" applyAlignment="1">
      <alignment horizontal="center" wrapText="1"/>
    </xf>
    <xf numFmtId="0" fontId="69" fillId="0" borderId="0" xfId="5" applyAlignment="1">
      <alignment horizontal="center" wrapText="1"/>
    </xf>
    <xf numFmtId="189" fontId="55" fillId="35" borderId="0" xfId="7" applyNumberFormat="1" applyFill="1" applyBorder="1" applyAlignment="1" applyProtection="1">
      <alignment horizontal="center"/>
      <protection locked="0"/>
    </xf>
    <xf numFmtId="0" fontId="55" fillId="35" borderId="65" xfId="7" applyFill="1" applyBorder="1" applyAlignment="1" applyProtection="1">
      <alignment horizontal="center"/>
      <protection locked="0"/>
    </xf>
    <xf numFmtId="0" fontId="55" fillId="35" borderId="0" xfId="7" applyFill="1" applyBorder="1" applyAlignment="1" applyProtection="1">
      <alignment horizontal="center"/>
      <protection locked="0"/>
    </xf>
    <xf numFmtId="0" fontId="55" fillId="35" borderId="48" xfId="7" applyFill="1" applyBorder="1" applyAlignment="1" applyProtection="1">
      <alignment horizontal="center"/>
      <protection locked="0"/>
    </xf>
    <xf numFmtId="0" fontId="55" fillId="35" borderId="0" xfId="7" applyFill="1" applyBorder="1" applyAlignment="1" applyProtection="1">
      <alignment horizontal="left"/>
      <protection locked="0"/>
    </xf>
    <xf numFmtId="0" fontId="55" fillId="35" borderId="48" xfId="7" applyFill="1" applyBorder="1" applyAlignment="1" applyProtection="1">
      <alignment horizontal="left"/>
      <protection locked="0"/>
    </xf>
    <xf numFmtId="0" fontId="157" fillId="35" borderId="0" xfId="8" applyFont="1" applyFill="1" applyBorder="1" applyAlignment="1" applyProtection="1">
      <protection hidden="1"/>
    </xf>
    <xf numFmtId="0" fontId="157" fillId="0" borderId="0" xfId="8" applyFont="1" applyAlignment="1" applyProtection="1">
      <protection hidden="1"/>
    </xf>
    <xf numFmtId="0" fontId="147" fillId="35" borderId="162" xfId="7" applyFont="1" applyFill="1" applyBorder="1" applyAlignment="1" applyProtection="1">
      <alignment horizontal="center" vertical="center"/>
      <protection hidden="1"/>
    </xf>
    <xf numFmtId="0" fontId="147" fillId="35" borderId="163" xfId="7" applyFont="1" applyFill="1" applyBorder="1" applyAlignment="1" applyProtection="1">
      <alignment horizontal="center" vertical="center"/>
      <protection hidden="1"/>
    </xf>
    <xf numFmtId="0" fontId="147" fillId="35" borderId="164" xfId="7" applyFont="1" applyFill="1" applyBorder="1" applyAlignment="1" applyProtection="1">
      <alignment horizontal="center" vertical="center"/>
      <protection hidden="1"/>
    </xf>
    <xf numFmtId="0" fontId="55" fillId="35" borderId="1" xfId="7" applyFill="1" applyBorder="1" applyAlignment="1" applyProtection="1">
      <alignment horizontal="center"/>
      <protection hidden="1"/>
    </xf>
    <xf numFmtId="0" fontId="55" fillId="35" borderId="7" xfId="7" applyFill="1" applyBorder="1" applyAlignment="1" applyProtection="1">
      <alignment horizontal="center"/>
      <protection hidden="1"/>
    </xf>
    <xf numFmtId="0" fontId="43" fillId="6" borderId="29" xfId="0" applyFont="1" applyFill="1" applyBorder="1" applyAlignment="1" applyProtection="1">
      <alignment horizontal="center" vertical="center" shrinkToFit="1"/>
    </xf>
    <xf numFmtId="1" fontId="4" fillId="8" borderId="29" xfId="0" applyNumberFormat="1" applyFont="1" applyFill="1" applyBorder="1" applyAlignment="1" applyProtection="1">
      <alignment horizontal="left" vertical="center" shrinkToFit="1"/>
      <protection locked="0"/>
    </xf>
    <xf numFmtId="0" fontId="26" fillId="7" borderId="29" xfId="0" applyFont="1" applyFill="1" applyBorder="1" applyAlignment="1" applyProtection="1">
      <alignment horizontal="center" vertical="center" wrapText="1" shrinkToFit="1"/>
    </xf>
    <xf numFmtId="0" fontId="8" fillId="7" borderId="29" xfId="0" applyFont="1" applyFill="1" applyBorder="1" applyAlignment="1" applyProtection="1">
      <alignment horizontal="left" vertical="center" wrapText="1" shrinkToFit="1"/>
    </xf>
    <xf numFmtId="169" fontId="29" fillId="0" borderId="30" xfId="0" applyNumberFormat="1" applyFont="1" applyFill="1" applyBorder="1" applyAlignment="1" applyProtection="1">
      <alignment horizontal="center" vertical="center"/>
    </xf>
    <xf numFmtId="169" fontId="29" fillId="0" borderId="31" xfId="0" applyNumberFormat="1" applyFont="1" applyFill="1" applyBorder="1" applyAlignment="1" applyProtection="1">
      <alignment horizontal="center" vertical="center"/>
    </xf>
    <xf numFmtId="164" fontId="4" fillId="7" borderId="29" xfId="2" applyNumberFormat="1" applyFont="1" applyFill="1" applyBorder="1" applyAlignment="1" applyProtection="1">
      <alignment horizontal="center" vertical="center" shrinkToFit="1"/>
    </xf>
    <xf numFmtId="0" fontId="8" fillId="7" borderId="29" xfId="0" applyFont="1" applyFill="1" applyBorder="1" applyAlignment="1" applyProtection="1">
      <alignment horizontal="left" vertical="top" wrapText="1" shrinkToFit="1"/>
    </xf>
    <xf numFmtId="0" fontId="8" fillId="7" borderId="30" xfId="0" applyFont="1" applyFill="1" applyBorder="1" applyAlignment="1" applyProtection="1">
      <alignment horizontal="center" vertical="center" wrapText="1"/>
    </xf>
    <xf numFmtId="0" fontId="8" fillId="7" borderId="31" xfId="0" applyFont="1" applyFill="1" applyBorder="1" applyAlignment="1" applyProtection="1">
      <alignment horizontal="center" vertical="center" wrapText="1"/>
    </xf>
    <xf numFmtId="0" fontId="28" fillId="0" borderId="30" xfId="0" applyFont="1" applyFill="1" applyBorder="1" applyAlignment="1" applyProtection="1">
      <alignment horizontal="center" vertical="center"/>
    </xf>
    <xf numFmtId="0" fontId="28" fillId="0" borderId="31" xfId="0" applyFont="1" applyFill="1" applyBorder="1" applyAlignment="1" applyProtection="1">
      <alignment horizontal="center" vertical="center"/>
    </xf>
    <xf numFmtId="0" fontId="40" fillId="0" borderId="29" xfId="0" applyFont="1" applyBorder="1" applyAlignment="1" applyProtection="1">
      <alignment horizontal="center" vertical="center" shrinkToFit="1"/>
    </xf>
    <xf numFmtId="0" fontId="40" fillId="0" borderId="38" xfId="0" applyFont="1" applyBorder="1" applyAlignment="1" applyProtection="1">
      <alignment horizontal="left" vertical="center" shrinkToFit="1"/>
    </xf>
    <xf numFmtId="0" fontId="40" fillId="0" borderId="39" xfId="0" applyFont="1" applyBorder="1" applyAlignment="1" applyProtection="1">
      <alignment horizontal="left" vertical="center" shrinkToFit="1"/>
    </xf>
    <xf numFmtId="0" fontId="40" fillId="0" borderId="40" xfId="0" applyFont="1" applyBorder="1" applyAlignment="1" applyProtection="1">
      <alignment horizontal="left" vertical="center" shrinkToFit="1"/>
    </xf>
    <xf numFmtId="177" fontId="4" fillId="7" borderId="29" xfId="1" applyNumberFormat="1" applyFont="1" applyFill="1" applyBorder="1" applyAlignment="1" applyProtection="1">
      <alignment horizontal="center" vertical="center" shrinkToFit="1"/>
    </xf>
    <xf numFmtId="0" fontId="19" fillId="6" borderId="2" xfId="0" applyFont="1" applyFill="1" applyBorder="1" applyAlignment="1" applyProtection="1">
      <alignment horizontal="center" vertical="center" shrinkToFit="1"/>
    </xf>
    <xf numFmtId="171" fontId="25" fillId="7" borderId="29" xfId="0" applyNumberFormat="1" applyFont="1" applyFill="1" applyBorder="1" applyAlignment="1" applyProtection="1">
      <alignment horizontal="center" vertical="center" shrinkToFit="1"/>
    </xf>
    <xf numFmtId="9" fontId="4" fillId="7" borderId="29" xfId="1" applyFont="1" applyFill="1" applyBorder="1" applyAlignment="1" applyProtection="1">
      <alignment horizontal="center" vertical="center" shrinkToFit="1"/>
    </xf>
    <xf numFmtId="0" fontId="8" fillId="7" borderId="29" xfId="0" applyFont="1" applyFill="1" applyBorder="1" applyAlignment="1" applyProtection="1">
      <alignment horizontal="center" vertical="center" wrapText="1" shrinkToFit="1"/>
    </xf>
    <xf numFmtId="0" fontId="24" fillId="7" borderId="30" xfId="0" applyFont="1" applyFill="1" applyBorder="1" applyAlignment="1" applyProtection="1">
      <alignment horizontal="center" vertical="center" wrapText="1"/>
    </xf>
    <xf numFmtId="0" fontId="24" fillId="7" borderId="43" xfId="0" applyFont="1" applyFill="1" applyBorder="1" applyAlignment="1" applyProtection="1">
      <alignment horizontal="center" vertical="center" wrapText="1"/>
    </xf>
    <xf numFmtId="0" fontId="24" fillId="7" borderId="31" xfId="0" applyFont="1" applyFill="1" applyBorder="1" applyAlignment="1" applyProtection="1">
      <alignment horizontal="center" vertical="center" wrapText="1"/>
    </xf>
    <xf numFmtId="0" fontId="1" fillId="2" borderId="1" xfId="0" applyFont="1" applyFill="1" applyBorder="1" applyAlignment="1" applyProtection="1">
      <alignment horizontal="center" vertical="center" shrinkToFit="1"/>
    </xf>
    <xf numFmtId="0" fontId="1" fillId="2" borderId="7" xfId="0" applyFont="1" applyFill="1" applyBorder="1" applyAlignment="1" applyProtection="1">
      <alignment horizontal="center" vertical="center" shrinkToFit="1"/>
    </xf>
    <xf numFmtId="0" fontId="1" fillId="2" borderId="4" xfId="0" applyFont="1" applyFill="1" applyBorder="1" applyAlignment="1" applyProtection="1">
      <alignment horizontal="center" vertical="center" shrinkToFit="1"/>
    </xf>
    <xf numFmtId="0" fontId="1" fillId="2" borderId="21" xfId="0" applyFont="1" applyFill="1" applyBorder="1" applyAlignment="1" applyProtection="1">
      <alignment horizontal="center" vertical="center" shrinkToFit="1"/>
    </xf>
    <xf numFmtId="0" fontId="15" fillId="0" borderId="15" xfId="0" applyFont="1" applyBorder="1" applyAlignment="1" applyProtection="1">
      <alignment horizontal="center" vertical="center" shrinkToFit="1"/>
    </xf>
    <xf numFmtId="0" fontId="15" fillId="0" borderId="16" xfId="0" applyFont="1" applyBorder="1" applyAlignment="1" applyProtection="1">
      <alignment horizontal="center" vertical="center" shrinkToFit="1"/>
    </xf>
    <xf numFmtId="0" fontId="15" fillId="0" borderId="19" xfId="0" applyFont="1" applyBorder="1" applyAlignment="1" applyProtection="1">
      <alignment horizontal="center" vertical="center" shrinkToFit="1"/>
    </xf>
    <xf numFmtId="0" fontId="15" fillId="0" borderId="20" xfId="0" applyFont="1" applyBorder="1" applyAlignment="1" applyProtection="1">
      <alignment horizontal="center" vertical="center" shrinkToFit="1"/>
    </xf>
    <xf numFmtId="0" fontId="15" fillId="0" borderId="0" xfId="0" applyFont="1" applyBorder="1" applyAlignment="1" applyProtection="1">
      <alignment horizontal="center" vertical="center" shrinkToFit="1"/>
    </xf>
    <xf numFmtId="0" fontId="43" fillId="6" borderId="31" xfId="0" applyFont="1" applyFill="1" applyBorder="1" applyAlignment="1" applyProtection="1">
      <alignment horizontal="center" vertical="center" shrinkToFit="1"/>
    </xf>
    <xf numFmtId="0" fontId="34" fillId="0" borderId="13" xfId="0" applyFont="1" applyBorder="1" applyAlignment="1" applyProtection="1">
      <alignment horizontal="center" vertical="center" shrinkToFit="1"/>
    </xf>
    <xf numFmtId="0" fontId="34" fillId="0" borderId="18" xfId="0" applyFont="1" applyBorder="1" applyAlignment="1" applyProtection="1">
      <alignment horizontal="center" vertical="center" shrinkToFit="1"/>
    </xf>
    <xf numFmtId="0" fontId="34" fillId="0" borderId="10" xfId="0" applyFont="1" applyBorder="1" applyAlignment="1" applyProtection="1">
      <alignment horizontal="center" vertical="center" shrinkToFit="1"/>
    </xf>
    <xf numFmtId="0" fontId="35" fillId="0" borderId="13" xfId="0" applyFont="1" applyBorder="1" applyAlignment="1" applyProtection="1">
      <alignment horizontal="center" vertical="center" shrinkToFit="1"/>
    </xf>
    <xf numFmtId="0" fontId="35" fillId="0" borderId="18" xfId="0" applyFont="1" applyBorder="1" applyAlignment="1" applyProtection="1">
      <alignment horizontal="center" vertical="center" shrinkToFit="1"/>
    </xf>
    <xf numFmtId="0" fontId="35" fillId="0" borderId="16" xfId="0" applyFont="1" applyBorder="1" applyAlignment="1" applyProtection="1">
      <alignment horizontal="center" vertical="center" shrinkToFit="1"/>
    </xf>
    <xf numFmtId="0" fontId="35" fillId="0" borderId="10" xfId="0" applyFont="1" applyBorder="1" applyAlignment="1" applyProtection="1">
      <alignment horizontal="center" vertical="center" shrinkToFit="1"/>
    </xf>
    <xf numFmtId="0" fontId="8" fillId="7" borderId="29" xfId="0" applyFont="1" applyFill="1" applyBorder="1" applyAlignment="1" applyProtection="1">
      <alignment horizontal="center" vertical="center" shrinkToFit="1"/>
    </xf>
    <xf numFmtId="0" fontId="4" fillId="7" borderId="29" xfId="0" applyFont="1" applyFill="1" applyBorder="1" applyAlignment="1" applyProtection="1">
      <alignment horizontal="left" vertical="center" shrinkToFit="1"/>
    </xf>
    <xf numFmtId="0" fontId="219" fillId="0" borderId="195" xfId="0" applyFont="1" applyBorder="1" applyAlignment="1" applyProtection="1">
      <alignment horizontal="center" vertical="center" shrinkToFit="1"/>
    </xf>
    <xf numFmtId="0" fontId="219" fillId="0" borderId="196" xfId="0" applyFont="1" applyBorder="1" applyAlignment="1" applyProtection="1">
      <alignment horizontal="center" vertical="center" shrinkToFit="1"/>
    </xf>
    <xf numFmtId="0" fontId="219" fillId="0" borderId="197" xfId="0" applyFont="1" applyBorder="1" applyAlignment="1" applyProtection="1">
      <alignment horizontal="center" vertical="center" shrinkToFit="1"/>
    </xf>
    <xf numFmtId="0" fontId="220" fillId="37" borderId="46" xfId="12" applyFont="1" applyFill="1" applyBorder="1" applyAlignment="1" applyProtection="1">
      <alignment horizontal="center"/>
    </xf>
    <xf numFmtId="0" fontId="220" fillId="37" borderId="23" xfId="12" applyFont="1" applyFill="1" applyBorder="1" applyAlignment="1" applyProtection="1">
      <alignment horizontal="center"/>
    </xf>
    <xf numFmtId="0" fontId="220" fillId="37" borderId="47" xfId="12" applyFont="1" applyFill="1" applyBorder="1" applyAlignment="1" applyProtection="1">
      <alignment horizontal="center"/>
    </xf>
    <xf numFmtId="0" fontId="23" fillId="7" borderId="29" xfId="0" applyFont="1" applyFill="1" applyBorder="1" applyAlignment="1" applyProtection="1">
      <alignment horizontal="center" vertical="center" shrinkToFit="1"/>
    </xf>
    <xf numFmtId="0" fontId="25" fillId="0" borderId="0" xfId="0" applyFont="1" applyBorder="1" applyAlignment="1" applyProtection="1">
      <alignment horizontal="center" wrapText="1"/>
    </xf>
    <xf numFmtId="0" fontId="25" fillId="0" borderId="51" xfId="0" applyFont="1" applyBorder="1" applyAlignment="1" applyProtection="1">
      <alignment horizontal="center" wrapText="1"/>
    </xf>
    <xf numFmtId="1" fontId="47" fillId="8" borderId="68" xfId="0" applyNumberFormat="1" applyFont="1" applyFill="1" applyBorder="1" applyAlignment="1" applyProtection="1">
      <alignment horizontal="center" vertical="center" wrapText="1"/>
      <protection locked="0"/>
    </xf>
    <xf numFmtId="1" fontId="47" fillId="8" borderId="69" xfId="0" applyNumberFormat="1" applyFont="1" applyFill="1" applyBorder="1" applyAlignment="1" applyProtection="1">
      <alignment horizontal="center" vertical="center" wrapText="1"/>
      <protection locked="0"/>
    </xf>
    <xf numFmtId="1" fontId="47" fillId="8" borderId="70" xfId="0" applyNumberFormat="1" applyFont="1" applyFill="1" applyBorder="1" applyAlignment="1" applyProtection="1">
      <alignment horizontal="center" vertical="center" wrapText="1"/>
      <protection locked="0"/>
    </xf>
    <xf numFmtId="1" fontId="47" fillId="8" borderId="71" xfId="0" applyNumberFormat="1" applyFont="1" applyFill="1" applyBorder="1" applyAlignment="1" applyProtection="1">
      <alignment horizontal="center" vertical="center" wrapText="1"/>
      <protection locked="0"/>
    </xf>
    <xf numFmtId="1" fontId="47" fillId="8" borderId="0" xfId="0" applyNumberFormat="1" applyFont="1" applyFill="1" applyBorder="1" applyAlignment="1" applyProtection="1">
      <alignment horizontal="center" vertical="center" wrapText="1"/>
      <protection locked="0"/>
    </xf>
    <xf numFmtId="1" fontId="47" fillId="8" borderId="72" xfId="0" applyNumberFormat="1" applyFont="1" applyFill="1" applyBorder="1" applyAlignment="1" applyProtection="1">
      <alignment horizontal="center" vertical="center" wrapText="1"/>
      <protection locked="0"/>
    </xf>
    <xf numFmtId="0" fontId="36" fillId="0" borderId="38" xfId="0" applyFont="1" applyBorder="1" applyAlignment="1" applyProtection="1">
      <alignment horizontal="center" vertical="center" shrinkToFit="1"/>
    </xf>
    <xf numFmtId="0" fontId="36" fillId="0" borderId="39" xfId="0" applyFont="1" applyBorder="1" applyAlignment="1" applyProtection="1">
      <alignment horizontal="center" vertical="center" shrinkToFit="1"/>
    </xf>
    <xf numFmtId="0" fontId="36" fillId="0" borderId="40" xfId="0" applyFont="1" applyBorder="1" applyAlignment="1" applyProtection="1">
      <alignment horizontal="center" vertical="center" shrinkToFit="1"/>
    </xf>
    <xf numFmtId="173" fontId="24" fillId="8" borderId="23" xfId="0" applyNumberFormat="1" applyFont="1" applyFill="1" applyBorder="1" applyAlignment="1" applyProtection="1">
      <alignment horizontal="center" vertical="center" shrinkToFit="1"/>
    </xf>
    <xf numFmtId="0" fontId="1" fillId="5" borderId="46" xfId="0" applyFont="1" applyFill="1" applyBorder="1" applyAlignment="1" applyProtection="1">
      <alignment horizontal="center" vertical="center"/>
    </xf>
    <xf numFmtId="0" fontId="1" fillId="5" borderId="23" xfId="0" applyFont="1" applyFill="1" applyBorder="1" applyAlignment="1" applyProtection="1">
      <alignment horizontal="center" vertical="center"/>
    </xf>
    <xf numFmtId="0" fontId="1" fillId="5" borderId="47" xfId="0" applyFont="1" applyFill="1" applyBorder="1" applyAlignment="1" applyProtection="1">
      <alignment horizontal="center" vertical="center"/>
    </xf>
    <xf numFmtId="0" fontId="25" fillId="0" borderId="66" xfId="0" applyFont="1" applyBorder="1" applyAlignment="1" applyProtection="1">
      <alignment horizontal="center" vertical="top" shrinkToFit="1"/>
    </xf>
    <xf numFmtId="0" fontId="25" fillId="0" borderId="50" xfId="0" applyFont="1" applyBorder="1" applyAlignment="1" applyProtection="1">
      <alignment horizontal="center" vertical="top" shrinkToFit="1"/>
    </xf>
    <xf numFmtId="0" fontId="25" fillId="0" borderId="67" xfId="0" applyFont="1" applyBorder="1" applyAlignment="1" applyProtection="1">
      <alignment horizontal="center" vertical="top" shrinkToFit="1"/>
    </xf>
    <xf numFmtId="0" fontId="37" fillId="0" borderId="29" xfId="0" applyFont="1" applyBorder="1" applyAlignment="1" applyProtection="1">
      <alignment horizontal="center" vertical="center" shrinkToFit="1"/>
    </xf>
    <xf numFmtId="173" fontId="24" fillId="8" borderId="65" xfId="0" applyNumberFormat="1" applyFont="1" applyFill="1" applyBorder="1" applyAlignment="1" applyProtection="1">
      <alignment horizontal="center" vertical="center" textRotation="90" shrinkToFit="1"/>
    </xf>
    <xf numFmtId="173" fontId="24" fillId="8" borderId="24" xfId="0" applyNumberFormat="1" applyFont="1" applyFill="1" applyBorder="1" applyAlignment="1" applyProtection="1">
      <alignment horizontal="center" vertical="center" textRotation="90" shrinkToFit="1"/>
    </xf>
    <xf numFmtId="0" fontId="8" fillId="7" borderId="29" xfId="0" applyFont="1" applyFill="1" applyBorder="1" applyAlignment="1" applyProtection="1">
      <alignment horizontal="left" vertical="center" shrinkToFit="1"/>
    </xf>
    <xf numFmtId="173" fontId="24" fillId="8" borderId="48" xfId="0" applyNumberFormat="1" applyFont="1" applyFill="1" applyBorder="1" applyAlignment="1" applyProtection="1">
      <alignment horizontal="center" vertical="center" textRotation="90" shrinkToFit="1"/>
    </xf>
    <xf numFmtId="0" fontId="25" fillId="7" borderId="29" xfId="0" applyFont="1" applyFill="1" applyBorder="1" applyAlignment="1" applyProtection="1">
      <alignment horizontal="center" vertical="center" wrapText="1" shrinkToFit="1"/>
    </xf>
    <xf numFmtId="171" fontId="24" fillId="7" borderId="29" xfId="0" applyNumberFormat="1" applyFont="1" applyFill="1" applyBorder="1" applyAlignment="1" applyProtection="1">
      <alignment horizontal="right" vertical="center" shrinkToFit="1"/>
    </xf>
    <xf numFmtId="0" fontId="25" fillId="0" borderId="59" xfId="0" applyFont="1" applyBorder="1" applyAlignment="1" applyProtection="1">
      <alignment horizontal="center" vertical="top" shrinkToFit="1"/>
    </xf>
    <xf numFmtId="0" fontId="25" fillId="0" borderId="57" xfId="0" applyFont="1" applyBorder="1" applyAlignment="1" applyProtection="1">
      <alignment horizontal="center" vertical="top" shrinkToFit="1"/>
    </xf>
    <xf numFmtId="0" fontId="25" fillId="0" borderId="58" xfId="0" applyFont="1" applyBorder="1" applyAlignment="1" applyProtection="1">
      <alignment horizontal="center" vertical="top" shrinkToFit="1"/>
    </xf>
    <xf numFmtId="0" fontId="25" fillId="0" borderId="60" xfId="0" applyFont="1" applyBorder="1" applyAlignment="1" applyProtection="1">
      <alignment horizontal="center" shrinkToFit="1"/>
    </xf>
    <xf numFmtId="0" fontId="25" fillId="0" borderId="61" xfId="0" applyFont="1" applyBorder="1" applyAlignment="1" applyProtection="1">
      <alignment horizontal="center" shrinkToFit="1"/>
    </xf>
    <xf numFmtId="0" fontId="25" fillId="0" borderId="62" xfId="0" applyFont="1" applyBorder="1" applyAlignment="1" applyProtection="1">
      <alignment horizontal="center" shrinkToFit="1"/>
    </xf>
    <xf numFmtId="1" fontId="4" fillId="8" borderId="29" xfId="0" applyNumberFormat="1" applyFont="1" applyFill="1" applyBorder="1" applyAlignment="1" applyProtection="1">
      <alignment horizontal="center" vertical="center" shrinkToFit="1"/>
      <protection locked="0"/>
    </xf>
    <xf numFmtId="173" fontId="24" fillId="8" borderId="63" xfId="0" applyNumberFormat="1" applyFont="1" applyFill="1" applyBorder="1" applyAlignment="1" applyProtection="1">
      <alignment horizontal="center" vertical="center" textRotation="90" shrinkToFit="1"/>
    </xf>
    <xf numFmtId="173" fontId="24" fillId="8" borderId="64" xfId="0" applyNumberFormat="1" applyFont="1" applyFill="1" applyBorder="1" applyAlignment="1" applyProtection="1">
      <alignment horizontal="center" vertical="center" textRotation="90" shrinkToFit="1"/>
    </xf>
    <xf numFmtId="0" fontId="24" fillId="7" borderId="29" xfId="0" applyFont="1" applyFill="1" applyBorder="1" applyAlignment="1" applyProtection="1">
      <alignment horizontal="center" vertical="center" wrapText="1"/>
    </xf>
    <xf numFmtId="0" fontId="26" fillId="7" borderId="29" xfId="0" applyFont="1" applyFill="1" applyBorder="1" applyAlignment="1" applyProtection="1">
      <alignment horizontal="center" vertical="center" wrapText="1"/>
    </xf>
    <xf numFmtId="1" fontId="41" fillId="0" borderId="33" xfId="0" applyNumberFormat="1" applyFont="1" applyFill="1" applyBorder="1" applyAlignment="1" applyProtection="1">
      <alignment horizontal="center" vertical="center" shrinkToFit="1"/>
    </xf>
    <xf numFmtId="1" fontId="41" fillId="0" borderId="9" xfId="0" applyNumberFormat="1" applyFont="1" applyFill="1" applyBorder="1" applyAlignment="1" applyProtection="1">
      <alignment horizontal="center" vertical="center" shrinkToFit="1"/>
    </xf>
    <xf numFmtId="1" fontId="41" fillId="0" borderId="34" xfId="0" applyNumberFormat="1" applyFont="1" applyFill="1" applyBorder="1" applyAlignment="1" applyProtection="1">
      <alignment horizontal="center" vertical="center" shrinkToFit="1"/>
    </xf>
    <xf numFmtId="167" fontId="19" fillId="0" borderId="9" xfId="0" applyNumberFormat="1" applyFont="1" applyFill="1" applyBorder="1" applyAlignment="1" applyProtection="1">
      <alignment horizontal="center" vertical="center" shrinkToFit="1"/>
    </xf>
    <xf numFmtId="0" fontId="19" fillId="0" borderId="9" xfId="0" applyFont="1" applyFill="1" applyBorder="1" applyAlignment="1" applyProtection="1">
      <alignment horizontal="center" vertical="center" shrinkToFit="1"/>
    </xf>
    <xf numFmtId="1" fontId="39" fillId="0" borderId="41" xfId="0" applyNumberFormat="1" applyFont="1" applyBorder="1" applyAlignment="1" applyProtection="1">
      <alignment horizontal="center" vertical="center" shrinkToFit="1"/>
    </xf>
    <xf numFmtId="1" fontId="39" fillId="0" borderId="32" xfId="0" applyNumberFormat="1" applyFont="1" applyBorder="1" applyAlignment="1" applyProtection="1">
      <alignment horizontal="center" vertical="center" shrinkToFit="1"/>
    </xf>
    <xf numFmtId="1" fontId="39" fillId="0" borderId="42" xfId="0" applyNumberFormat="1" applyFont="1" applyBorder="1" applyAlignment="1" applyProtection="1">
      <alignment horizontal="center" vertical="center" shrinkToFit="1"/>
    </xf>
    <xf numFmtId="0" fontId="159" fillId="0" borderId="46" xfId="0" applyFont="1" applyBorder="1" applyAlignment="1">
      <alignment horizontal="left"/>
    </xf>
    <xf numFmtId="0" fontId="159" fillId="0" borderId="23" xfId="0" applyFont="1" applyBorder="1" applyAlignment="1">
      <alignment horizontal="left"/>
    </xf>
    <xf numFmtId="0" fontId="159" fillId="0" borderId="47" xfId="0" applyFont="1" applyBorder="1" applyAlignment="1">
      <alignment horizontal="left"/>
    </xf>
    <xf numFmtId="0" fontId="0" fillId="0" borderId="1" xfId="0" applyBorder="1" applyAlignment="1">
      <alignment horizontal="center" vertical="center"/>
    </xf>
    <xf numFmtId="0" fontId="0" fillId="0" borderId="7" xfId="0" applyBorder="1" applyAlignment="1">
      <alignment horizontal="center" vertical="center"/>
    </xf>
    <xf numFmtId="0" fontId="189" fillId="0" borderId="65" xfId="0" applyFont="1" applyBorder="1" applyAlignment="1">
      <alignment horizontal="left" vertical="center" wrapText="1"/>
    </xf>
    <xf numFmtId="0" fontId="189" fillId="0" borderId="0" xfId="0" applyFont="1" applyBorder="1" applyAlignment="1">
      <alignment horizontal="left" vertical="center" wrapText="1"/>
    </xf>
    <xf numFmtId="0" fontId="189" fillId="0" borderId="48" xfId="0" applyFont="1" applyBorder="1" applyAlignment="1">
      <alignment horizontal="left" vertical="center" wrapText="1"/>
    </xf>
    <xf numFmtId="0" fontId="159" fillId="20" borderId="143" xfId="0" applyFont="1" applyFill="1" applyBorder="1" applyAlignment="1" applyProtection="1">
      <alignment horizontal="center"/>
    </xf>
    <xf numFmtId="0" fontId="159" fillId="20" borderId="161" xfId="0" applyFont="1" applyFill="1" applyBorder="1" applyAlignment="1" applyProtection="1">
      <alignment horizontal="center"/>
    </xf>
    <xf numFmtId="0" fontId="159" fillId="20" borderId="79" xfId="0" applyFont="1" applyFill="1" applyBorder="1" applyAlignment="1" applyProtection="1">
      <alignment horizontal="center"/>
    </xf>
    <xf numFmtId="0" fontId="159" fillId="79" borderId="143" xfId="0" applyFont="1" applyFill="1" applyBorder="1" applyAlignment="1" applyProtection="1">
      <alignment horizontal="center"/>
    </xf>
    <xf numFmtId="0" fontId="159" fillId="79" borderId="161" xfId="0" applyFont="1" applyFill="1" applyBorder="1" applyAlignment="1" applyProtection="1">
      <alignment horizontal="center"/>
    </xf>
    <xf numFmtId="0" fontId="159" fillId="79" borderId="79" xfId="0" applyFont="1" applyFill="1" applyBorder="1" applyAlignment="1" applyProtection="1">
      <alignment horizontal="center"/>
    </xf>
    <xf numFmtId="0" fontId="232" fillId="0" borderId="24" xfId="0" applyFont="1" applyBorder="1" applyAlignment="1" applyProtection="1">
      <alignment horizontal="left"/>
    </xf>
    <xf numFmtId="0" fontId="232" fillId="0" borderId="51" xfId="0" applyFont="1" applyBorder="1" applyAlignment="1" applyProtection="1">
      <alignment horizontal="left"/>
    </xf>
    <xf numFmtId="0" fontId="189" fillId="0" borderId="65" xfId="0" applyFont="1" applyBorder="1" applyAlignment="1">
      <alignment horizontal="left" vertical="top" wrapText="1"/>
    </xf>
    <xf numFmtId="0" fontId="189" fillId="0" borderId="0" xfId="0" applyFont="1" applyBorder="1" applyAlignment="1">
      <alignment horizontal="left" vertical="top" wrapText="1"/>
    </xf>
    <xf numFmtId="0" fontId="189" fillId="0" borderId="48" xfId="0" applyFont="1" applyBorder="1" applyAlignment="1">
      <alignment horizontal="left" vertical="top" wrapText="1"/>
    </xf>
    <xf numFmtId="0" fontId="189" fillId="0" borderId="46" xfId="0" applyFont="1" applyBorder="1" applyAlignment="1">
      <alignment horizontal="left" vertical="center" wrapText="1"/>
    </xf>
    <xf numFmtId="0" fontId="189" fillId="0" borderId="23" xfId="0" applyFont="1" applyBorder="1" applyAlignment="1">
      <alignment horizontal="left" vertical="center" wrapText="1"/>
    </xf>
    <xf numFmtId="0" fontId="189" fillId="0" borderId="47" xfId="0" applyFont="1" applyBorder="1" applyAlignment="1">
      <alignment horizontal="left" vertical="center" wrapText="1"/>
    </xf>
    <xf numFmtId="0" fontId="189" fillId="0" borderId="75" xfId="0" applyFont="1" applyBorder="1" applyAlignment="1">
      <alignment horizontal="left" vertical="center" wrapText="1"/>
    </xf>
    <xf numFmtId="0" fontId="189" fillId="0" borderId="50" xfId="0" applyFont="1" applyBorder="1" applyAlignment="1">
      <alignment horizontal="left" vertical="center" wrapText="1"/>
    </xf>
    <xf numFmtId="0" fontId="189" fillId="0" borderId="67" xfId="0" applyFont="1" applyBorder="1" applyAlignment="1">
      <alignment horizontal="left" vertical="center" wrapText="1"/>
    </xf>
    <xf numFmtId="0" fontId="189" fillId="0" borderId="24" xfId="0" applyFont="1" applyBorder="1" applyAlignment="1">
      <alignment horizontal="left" vertical="center" wrapText="1"/>
    </xf>
    <xf numFmtId="0" fontId="189" fillId="0" borderId="51" xfId="0" applyFont="1" applyBorder="1" applyAlignment="1">
      <alignment horizontal="left" vertical="center" wrapText="1"/>
    </xf>
    <xf numFmtId="0" fontId="189" fillId="0" borderId="91" xfId="0" applyFont="1" applyBorder="1" applyAlignment="1">
      <alignment horizontal="left" vertical="center" wrapText="1"/>
    </xf>
    <xf numFmtId="0" fontId="81" fillId="19" borderId="2" xfId="5" applyFont="1" applyFill="1" applyBorder="1" applyAlignment="1" applyProtection="1">
      <alignment horizontal="center"/>
      <protection locked="0"/>
    </xf>
    <xf numFmtId="0" fontId="79" fillId="0" borderId="103" xfId="5" applyFont="1" applyBorder="1" applyAlignment="1">
      <alignment horizontal="center"/>
    </xf>
    <xf numFmtId="0" fontId="79" fillId="0" borderId="27" xfId="5" applyFont="1" applyBorder="1" applyAlignment="1" applyProtection="1">
      <alignment horizontal="center"/>
    </xf>
    <xf numFmtId="0" fontId="79" fillId="0" borderId="189" xfId="5" applyFont="1" applyBorder="1" applyAlignment="1" applyProtection="1">
      <alignment horizontal="center"/>
    </xf>
    <xf numFmtId="0" fontId="215" fillId="0" borderId="92" xfId="0" applyFont="1" applyBorder="1" applyAlignment="1">
      <alignment horizontal="left" vertical="center" wrapText="1"/>
    </xf>
    <xf numFmtId="0" fontId="215" fillId="0" borderId="167" xfId="0" applyFont="1" applyBorder="1" applyAlignment="1">
      <alignment horizontal="left" vertical="center" wrapText="1"/>
    </xf>
    <xf numFmtId="0" fontId="189" fillId="0" borderId="92" xfId="0" applyFont="1" applyBorder="1" applyAlignment="1">
      <alignment horizontal="left" vertical="center" wrapText="1"/>
    </xf>
    <xf numFmtId="0" fontId="189" fillId="0" borderId="167" xfId="0" applyFont="1" applyBorder="1" applyAlignment="1">
      <alignment horizontal="left" vertical="center" wrapText="1"/>
    </xf>
    <xf numFmtId="0" fontId="215" fillId="0" borderId="92" xfId="0" applyFont="1" applyBorder="1" applyAlignment="1">
      <alignment horizontal="center" vertical="center" wrapText="1"/>
    </xf>
    <xf numFmtId="0" fontId="215" fillId="0" borderId="167" xfId="0" applyFont="1" applyBorder="1" applyAlignment="1">
      <alignment horizontal="center" vertical="center" wrapText="1"/>
    </xf>
    <xf numFmtId="0" fontId="189" fillId="0" borderId="92" xfId="0" applyFont="1" applyBorder="1" applyAlignment="1">
      <alignment horizontal="center" vertical="center" wrapText="1"/>
    </xf>
    <xf numFmtId="0" fontId="189" fillId="0" borderId="102" xfId="0" applyFont="1" applyBorder="1" applyAlignment="1">
      <alignment horizontal="center" vertical="center" wrapText="1"/>
    </xf>
    <xf numFmtId="0" fontId="189" fillId="0" borderId="167" xfId="0" applyFont="1" applyBorder="1" applyAlignment="1">
      <alignment horizontal="center" vertical="center" wrapText="1"/>
    </xf>
    <xf numFmtId="0" fontId="215" fillId="0" borderId="92" xfId="0" applyFont="1" applyBorder="1" applyAlignment="1">
      <alignment vertical="center" wrapText="1"/>
    </xf>
    <xf numFmtId="0" fontId="215" fillId="0" borderId="102" xfId="0" applyFont="1" applyBorder="1" applyAlignment="1">
      <alignment vertical="center" wrapText="1"/>
    </xf>
    <xf numFmtId="0" fontId="215" fillId="0" borderId="167" xfId="0" applyFont="1" applyBorder="1" applyAlignment="1">
      <alignment vertical="center" wrapText="1"/>
    </xf>
    <xf numFmtId="0" fontId="215" fillId="0" borderId="46" xfId="0" applyFont="1" applyBorder="1" applyAlignment="1">
      <alignment horizontal="left" vertical="center" wrapText="1"/>
    </xf>
    <xf numFmtId="0" fontId="215" fillId="0" borderId="23" xfId="0" applyFont="1" applyBorder="1" applyAlignment="1">
      <alignment horizontal="left" vertical="center" wrapText="1"/>
    </xf>
    <xf numFmtId="0" fontId="215" fillId="0" borderId="47" xfId="0" applyFont="1" applyBorder="1" applyAlignment="1">
      <alignment horizontal="left" vertical="center" wrapText="1"/>
    </xf>
    <xf numFmtId="0" fontId="1" fillId="2" borderId="28" xfId="0" applyFont="1" applyFill="1" applyBorder="1" applyAlignment="1" applyProtection="1">
      <alignment horizontal="center" vertical="center" wrapText="1"/>
    </xf>
    <xf numFmtId="0" fontId="1" fillId="2" borderId="26"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22" xfId="0" applyFont="1" applyFill="1" applyBorder="1" applyAlignment="1" applyProtection="1">
      <alignment horizontal="center" vertical="center" wrapText="1"/>
    </xf>
    <xf numFmtId="0" fontId="1" fillId="5" borderId="2" xfId="0" applyFont="1" applyFill="1" applyBorder="1" applyAlignment="1" applyProtection="1">
      <alignment horizontal="center" vertical="center" wrapText="1"/>
    </xf>
    <xf numFmtId="0" fontId="1" fillId="5" borderId="6" xfId="0" applyFont="1" applyFill="1" applyBorder="1" applyAlignment="1" applyProtection="1">
      <alignment horizontal="center" vertical="center" wrapText="1"/>
    </xf>
    <xf numFmtId="0" fontId="1" fillId="2" borderId="2" xfId="0" applyFont="1" applyFill="1" applyBorder="1" applyAlignment="1" applyProtection="1">
      <alignment horizontal="center" vertical="center" wrapText="1"/>
    </xf>
    <xf numFmtId="0" fontId="1" fillId="2" borderId="27" xfId="0" applyFont="1" applyFill="1" applyBorder="1" applyAlignment="1" applyProtection="1">
      <alignment horizontal="center" vertical="center" wrapText="1"/>
    </xf>
    <xf numFmtId="0" fontId="2" fillId="2" borderId="2" xfId="0" applyFont="1" applyFill="1" applyBorder="1" applyAlignment="1" applyProtection="1">
      <alignment horizontal="center" vertical="center"/>
    </xf>
    <xf numFmtId="0" fontId="31" fillId="2" borderId="2" xfId="0" applyFont="1" applyFill="1" applyBorder="1" applyAlignment="1" applyProtection="1">
      <alignment horizontal="center" vertical="center"/>
    </xf>
    <xf numFmtId="168" fontId="2" fillId="2" borderId="2" xfId="0" applyNumberFormat="1" applyFont="1" applyFill="1" applyBorder="1" applyAlignment="1" applyProtection="1">
      <alignment horizontal="center" vertical="center" wrapText="1"/>
    </xf>
    <xf numFmtId="0" fontId="2" fillId="2" borderId="2" xfId="0" applyFont="1" applyFill="1" applyBorder="1" applyAlignment="1" applyProtection="1">
      <alignment horizontal="center" vertical="center" wrapText="1"/>
    </xf>
    <xf numFmtId="0" fontId="9" fillId="0" borderId="15" xfId="0" applyFont="1" applyBorder="1" applyAlignment="1" applyProtection="1">
      <alignment horizontal="center" vertical="center" shrinkToFit="1"/>
    </xf>
    <xf numFmtId="0" fontId="9" fillId="0" borderId="16" xfId="0" applyFont="1" applyBorder="1" applyAlignment="1" applyProtection="1">
      <alignment horizontal="center" vertical="center" shrinkToFit="1"/>
    </xf>
    <xf numFmtId="0" fontId="9" fillId="0" borderId="25" xfId="0" applyFont="1" applyBorder="1" applyAlignment="1" applyProtection="1">
      <alignment horizontal="center" vertical="center" shrinkToFit="1"/>
    </xf>
    <xf numFmtId="0" fontId="9" fillId="0" borderId="26" xfId="0" applyFont="1" applyBorder="1" applyAlignment="1" applyProtection="1">
      <alignment horizontal="center" vertical="center" shrinkToFit="1"/>
    </xf>
  </cellXfs>
  <cellStyles count="15">
    <cellStyle name="Currency" xfId="2" builtinId="4"/>
    <cellStyle name="Hyperlink" xfId="12" builtinId="8"/>
    <cellStyle name="Hyperlink_Unit Convertion Table" xfId="8"/>
    <cellStyle name="Normal" xfId="0" builtinId="0"/>
    <cellStyle name="Normal 2" xfId="5"/>
    <cellStyle name="Normal 2 2" xfId="6"/>
    <cellStyle name="Normal 2 3" xfId="14"/>
    <cellStyle name="Normal 3" xfId="9"/>
    <cellStyle name="Normal 4" xfId="11"/>
    <cellStyle name="Normal 5" xfId="13"/>
    <cellStyle name="Normal_CAL-A4" xfId="3"/>
    <cellStyle name="Normal_life_time_calender" xfId="4"/>
    <cellStyle name="Normal_Unit Convertion Table" xfId="7"/>
    <cellStyle name="Percent" xfId="1" builtinId="5"/>
    <cellStyle name="Percent 2" xfId="10"/>
  </cellStyles>
  <dxfs count="25">
    <dxf>
      <font>
        <b/>
        <i val="0"/>
        <condense val="0"/>
        <extend val="0"/>
        <color indexed="10"/>
      </font>
    </dxf>
    <dxf>
      <fill>
        <patternFill>
          <bgColor indexed="29"/>
        </patternFill>
      </fill>
    </dxf>
    <dxf>
      <font>
        <b/>
        <i val="0"/>
        <condense val="0"/>
        <extend val="0"/>
        <color indexed="10"/>
      </font>
    </dxf>
    <dxf>
      <font>
        <condense val="0"/>
        <extend val="0"/>
        <color indexed="47"/>
      </font>
    </dxf>
    <dxf>
      <font>
        <condense val="0"/>
        <extend val="0"/>
        <color indexed="47"/>
      </font>
    </dxf>
    <dxf>
      <font>
        <b/>
        <i val="0"/>
        <color rgb="FFFF0000"/>
      </font>
    </dxf>
    <dxf>
      <font>
        <color rgb="FFFF0000"/>
      </font>
    </dxf>
    <dxf>
      <font>
        <b/>
        <i val="0"/>
        <color rgb="FFFF0000"/>
      </font>
    </dxf>
    <dxf>
      <font>
        <color rgb="FFFF0000"/>
      </font>
    </dxf>
    <dxf>
      <font>
        <color rgb="FFFF0000"/>
      </font>
      <fill>
        <patternFill>
          <bgColor theme="5" tint="0.59996337778862885"/>
        </patternFill>
      </fill>
    </dxf>
    <dxf>
      <font>
        <color rgb="FFFF0000"/>
      </font>
      <fill>
        <patternFill>
          <bgColor theme="5" tint="0.59996337778862885"/>
        </patternFill>
      </fill>
    </dxf>
    <dxf>
      <font>
        <color rgb="FF9C0006"/>
      </font>
      <fill>
        <patternFill>
          <bgColor rgb="FFFFC7CE"/>
        </patternFill>
      </fill>
    </dxf>
    <dxf>
      <font>
        <color theme="9" tint="0.39994506668294322"/>
      </font>
    </dxf>
    <dxf>
      <font>
        <color theme="9" tint="0.39994506668294322"/>
      </font>
    </dxf>
    <dxf>
      <font>
        <b/>
        <i val="0"/>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dxf>
    <dxf>
      <font>
        <b/>
        <i val="0"/>
        <color rgb="FFFF0000"/>
      </font>
    </dxf>
    <dxf>
      <font>
        <color theme="9" tint="0.39994506668294322"/>
      </font>
    </dxf>
    <dxf>
      <font>
        <b/>
        <i val="0"/>
        <color rgb="FFFF0000"/>
      </font>
    </dxf>
    <dxf>
      <font>
        <color theme="9" tint="0.39994506668294322"/>
      </font>
    </dxf>
    <dxf>
      <font>
        <color theme="9" tint="0.39994506668294322"/>
      </font>
    </dxf>
    <dxf>
      <font>
        <b/>
        <i val="0"/>
        <condense val="0"/>
        <extend val="0"/>
        <color indexed="10"/>
      </font>
    </dxf>
  </dxfs>
  <tableStyles count="0" defaultTableStyle="TableStyleMedium2" defaultPivotStyle="PivotStyleLight16"/>
  <colors>
    <mruColors>
      <color rgb="FF0000FF"/>
      <color rgb="FF00FF00"/>
      <color rgb="FFCCFFFF"/>
      <color rgb="FF808000"/>
      <color rgb="FFA800A8"/>
      <color rgb="FF008000"/>
      <color rgb="FFFF00FF"/>
      <color rgb="FFFF0066"/>
      <color rgb="FF9D3BFF"/>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microsoft.com/office/2006/relationships/vbaProject" Target="vbaProject.bin"/><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75" b="1" i="0" u="none" strike="noStrike" baseline="0">
                <a:solidFill>
                  <a:srgbClr val="000000"/>
                </a:solidFill>
                <a:latin typeface="Arial"/>
                <a:ea typeface="Arial"/>
                <a:cs typeface="Arial"/>
              </a:defRPr>
            </a:pPr>
            <a:r>
              <a:rPr lang="en-US"/>
              <a:t>15kW Fan</a:t>
            </a:r>
          </a:p>
        </c:rich>
      </c:tx>
      <c:layout>
        <c:manualLayout>
          <c:xMode val="edge"/>
          <c:yMode val="edge"/>
          <c:x val="0.38832810655115102"/>
          <c:y val="3.6978533576839015E-2"/>
        </c:manualLayout>
      </c:layout>
      <c:overlay val="0"/>
      <c:spPr>
        <a:noFill/>
        <a:ln w="25400">
          <a:noFill/>
        </a:ln>
      </c:spPr>
    </c:title>
    <c:autoTitleDeleted val="0"/>
    <c:plotArea>
      <c:layout>
        <c:manualLayout>
          <c:layoutTarget val="inner"/>
          <c:xMode val="edge"/>
          <c:yMode val="edge"/>
          <c:x val="0.11481005209008173"/>
          <c:y val="0.12942494553878461"/>
          <c:w val="0.83743802701000791"/>
          <c:h val="0.63972901652027814"/>
        </c:manualLayout>
      </c:layout>
      <c:lineChart>
        <c:grouping val="standard"/>
        <c:varyColors val="0"/>
        <c:ser>
          <c:idx val="0"/>
          <c:order val="0"/>
          <c:tx>
            <c:strRef>
              <c:f>Fans!$A$76</c:f>
              <c:strCache>
                <c:ptCount val="1"/>
                <c:pt idx="0">
                  <c:v>Volume (m³/s)</c:v>
                </c:pt>
              </c:strCache>
            </c:strRef>
          </c:tx>
          <c:spPr>
            <a:ln w="3175">
              <a:solidFill>
                <a:srgbClr val="000000"/>
              </a:solidFill>
              <a:prstDash val="solid"/>
            </a:ln>
          </c:spPr>
          <c:marker>
            <c:symbol val="none"/>
          </c:marker>
          <c:cat>
            <c:numRef>
              <c:f>Fans!$A$77:$A$83</c:f>
              <c:numCache>
                <c:formatCode>General</c:formatCode>
                <c:ptCount val="7"/>
                <c:pt idx="0">
                  <c:v>1</c:v>
                </c:pt>
                <c:pt idx="1">
                  <c:v>2</c:v>
                </c:pt>
                <c:pt idx="2">
                  <c:v>3</c:v>
                </c:pt>
                <c:pt idx="3">
                  <c:v>4</c:v>
                </c:pt>
                <c:pt idx="4">
                  <c:v>5</c:v>
                </c:pt>
                <c:pt idx="5">
                  <c:v>6</c:v>
                </c:pt>
                <c:pt idx="6">
                  <c:v>7</c:v>
                </c:pt>
              </c:numCache>
            </c:numRef>
          </c:cat>
          <c:val>
            <c:numRef>
              <c:f>Fans!$A$77:$A$85</c:f>
              <c:numCache>
                <c:formatCode>General</c:formatCode>
                <c:ptCount val="9"/>
                <c:pt idx="0">
                  <c:v>1</c:v>
                </c:pt>
                <c:pt idx="1">
                  <c:v>2</c:v>
                </c:pt>
                <c:pt idx="2">
                  <c:v>3</c:v>
                </c:pt>
                <c:pt idx="3">
                  <c:v>4</c:v>
                </c:pt>
                <c:pt idx="4">
                  <c:v>5</c:v>
                </c:pt>
                <c:pt idx="5">
                  <c:v>6</c:v>
                </c:pt>
                <c:pt idx="6">
                  <c:v>7</c:v>
                </c:pt>
              </c:numCache>
            </c:numRef>
          </c:val>
          <c:smooth val="0"/>
          <c:extLst>
            <c:ext xmlns:c16="http://schemas.microsoft.com/office/drawing/2014/chart" uri="{C3380CC4-5D6E-409C-BE32-E72D297353CC}">
              <c16:uniqueId val="{00000000-84B5-4F1B-9CFC-1BD944D58641}"/>
            </c:ext>
          </c:extLst>
        </c:ser>
        <c:ser>
          <c:idx val="1"/>
          <c:order val="1"/>
          <c:tx>
            <c:strRef>
              <c:f>Fans!$B$76</c:f>
              <c:strCache>
                <c:ptCount val="1"/>
                <c:pt idx="0">
                  <c:v>Pressure (pa)</c:v>
                </c:pt>
              </c:strCache>
            </c:strRef>
          </c:tx>
          <c:spPr>
            <a:ln w="12700">
              <a:solidFill>
                <a:srgbClr val="000080"/>
              </a:solidFill>
              <a:prstDash val="solid"/>
            </a:ln>
          </c:spPr>
          <c:marker>
            <c:symbol val="diamond"/>
            <c:size val="4"/>
            <c:spPr>
              <a:solidFill>
                <a:srgbClr val="000080"/>
              </a:solidFill>
              <a:ln>
                <a:solidFill>
                  <a:srgbClr val="000080"/>
                </a:solidFill>
                <a:prstDash val="solid"/>
              </a:ln>
            </c:spPr>
          </c:marker>
          <c:cat>
            <c:numRef>
              <c:f>Fans!$A$77:$A$83</c:f>
              <c:numCache>
                <c:formatCode>General</c:formatCode>
                <c:ptCount val="7"/>
                <c:pt idx="0">
                  <c:v>1</c:v>
                </c:pt>
                <c:pt idx="1">
                  <c:v>2</c:v>
                </c:pt>
                <c:pt idx="2">
                  <c:v>3</c:v>
                </c:pt>
                <c:pt idx="3">
                  <c:v>4</c:v>
                </c:pt>
                <c:pt idx="4">
                  <c:v>5</c:v>
                </c:pt>
                <c:pt idx="5">
                  <c:v>6</c:v>
                </c:pt>
                <c:pt idx="6">
                  <c:v>7</c:v>
                </c:pt>
              </c:numCache>
            </c:numRef>
          </c:cat>
          <c:val>
            <c:numRef>
              <c:f>Fans!$B$77:$B$85</c:f>
              <c:numCache>
                <c:formatCode>General</c:formatCode>
                <c:ptCount val="9"/>
                <c:pt idx="3">
                  <c:v>1800</c:v>
                </c:pt>
                <c:pt idx="4">
                  <c:v>1400</c:v>
                </c:pt>
                <c:pt idx="5">
                  <c:v>750</c:v>
                </c:pt>
                <c:pt idx="6">
                  <c:v>200</c:v>
                </c:pt>
              </c:numCache>
            </c:numRef>
          </c:val>
          <c:smooth val="0"/>
          <c:extLst>
            <c:ext xmlns:c16="http://schemas.microsoft.com/office/drawing/2014/chart" uri="{C3380CC4-5D6E-409C-BE32-E72D297353CC}">
              <c16:uniqueId val="{00000001-84B5-4F1B-9CFC-1BD944D58641}"/>
            </c:ext>
          </c:extLst>
        </c:ser>
        <c:ser>
          <c:idx val="2"/>
          <c:order val="2"/>
          <c:tx>
            <c:strRef>
              <c:f>Fans!$K$77</c:f>
              <c:strCache>
                <c:ptCount val="1"/>
                <c:pt idx="0">
                  <c:v>Resistance (pa)</c:v>
                </c:pt>
              </c:strCache>
            </c:strRef>
          </c:tx>
          <c:spPr>
            <a:ln w="12700">
              <a:solidFill>
                <a:srgbClr val="FF0000"/>
              </a:solidFill>
              <a:prstDash val="solid"/>
            </a:ln>
          </c:spPr>
          <c:marker>
            <c:symbol val="triangle"/>
            <c:size val="2"/>
            <c:spPr>
              <a:solidFill>
                <a:srgbClr val="FF0000"/>
              </a:solidFill>
              <a:ln>
                <a:solidFill>
                  <a:srgbClr val="FF0000"/>
                </a:solidFill>
                <a:prstDash val="solid"/>
              </a:ln>
            </c:spPr>
          </c:marker>
          <c:cat>
            <c:numRef>
              <c:f>Fans!$A$77:$A$83</c:f>
              <c:numCache>
                <c:formatCode>General</c:formatCode>
                <c:ptCount val="7"/>
                <c:pt idx="0">
                  <c:v>1</c:v>
                </c:pt>
                <c:pt idx="1">
                  <c:v>2</c:v>
                </c:pt>
                <c:pt idx="2">
                  <c:v>3</c:v>
                </c:pt>
                <c:pt idx="3">
                  <c:v>4</c:v>
                </c:pt>
                <c:pt idx="4">
                  <c:v>5</c:v>
                </c:pt>
                <c:pt idx="5">
                  <c:v>6</c:v>
                </c:pt>
                <c:pt idx="6">
                  <c:v>7</c:v>
                </c:pt>
              </c:numCache>
            </c:numRef>
          </c:cat>
          <c:val>
            <c:numRef>
              <c:f>Fans!$K$78:$K$84</c:f>
              <c:numCache>
                <c:formatCode>0.0</c:formatCode>
                <c:ptCount val="7"/>
                <c:pt idx="0">
                  <c:v>34</c:v>
                </c:pt>
                <c:pt idx="1">
                  <c:v>136</c:v>
                </c:pt>
                <c:pt idx="2">
                  <c:v>306</c:v>
                </c:pt>
                <c:pt idx="3">
                  <c:v>544</c:v>
                </c:pt>
                <c:pt idx="4">
                  <c:v>850</c:v>
                </c:pt>
                <c:pt idx="5">
                  <c:v>1224</c:v>
                </c:pt>
                <c:pt idx="6">
                  <c:v>1666</c:v>
                </c:pt>
              </c:numCache>
            </c:numRef>
          </c:val>
          <c:smooth val="0"/>
          <c:extLst>
            <c:ext xmlns:c16="http://schemas.microsoft.com/office/drawing/2014/chart" uri="{C3380CC4-5D6E-409C-BE32-E72D297353CC}">
              <c16:uniqueId val="{00000002-84B5-4F1B-9CFC-1BD944D58641}"/>
            </c:ext>
          </c:extLst>
        </c:ser>
        <c:dLbls>
          <c:showLegendKey val="0"/>
          <c:showVal val="0"/>
          <c:showCatName val="0"/>
          <c:showSerName val="0"/>
          <c:showPercent val="0"/>
          <c:showBubbleSize val="0"/>
        </c:dLbls>
        <c:smooth val="0"/>
        <c:axId val="109894656"/>
        <c:axId val="110269952"/>
      </c:lineChart>
      <c:catAx>
        <c:axId val="109894656"/>
        <c:scaling>
          <c:orientation val="minMax"/>
        </c:scaling>
        <c:delete val="0"/>
        <c:axPos val="b"/>
        <c:title>
          <c:tx>
            <c:rich>
              <a:bodyPr/>
              <a:lstStyle/>
              <a:p>
                <a:pPr>
                  <a:defRPr sz="450" b="1" i="0" u="none" strike="noStrike" baseline="0">
                    <a:solidFill>
                      <a:srgbClr val="000000"/>
                    </a:solidFill>
                    <a:latin typeface="Arial"/>
                    <a:ea typeface="Arial"/>
                    <a:cs typeface="Arial"/>
                  </a:defRPr>
                </a:pPr>
                <a:r>
                  <a:rPr lang="en-US"/>
                  <a:t>Quantity (m³/s)</a:t>
                </a:r>
              </a:p>
            </c:rich>
          </c:tx>
          <c:layout>
            <c:manualLayout>
              <c:xMode val="edge"/>
              <c:yMode val="edge"/>
              <c:x val="0.43897961178921407"/>
              <c:y val="0.8320178038581679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75" b="0" i="0" u="none" strike="noStrike" baseline="0">
                <a:solidFill>
                  <a:srgbClr val="000000"/>
                </a:solidFill>
                <a:latin typeface="Arial"/>
                <a:ea typeface="Arial"/>
                <a:cs typeface="Arial"/>
              </a:defRPr>
            </a:pPr>
            <a:endParaRPr lang="en-US"/>
          </a:p>
        </c:txPr>
        <c:crossAx val="110269952"/>
        <c:crosses val="autoZero"/>
        <c:auto val="1"/>
        <c:lblAlgn val="ctr"/>
        <c:lblOffset val="100"/>
        <c:tickLblSkip val="1"/>
        <c:tickMarkSkip val="1"/>
        <c:noMultiLvlLbl val="0"/>
      </c:catAx>
      <c:valAx>
        <c:axId val="110269952"/>
        <c:scaling>
          <c:orientation val="minMax"/>
        </c:scaling>
        <c:delete val="0"/>
        <c:axPos val="l"/>
        <c:majorGridlines>
          <c:spPr>
            <a:ln w="3175">
              <a:solidFill>
                <a:srgbClr val="000000"/>
              </a:solidFill>
              <a:prstDash val="solid"/>
            </a:ln>
          </c:spPr>
        </c:majorGridlines>
        <c:title>
          <c:tx>
            <c:rich>
              <a:bodyPr/>
              <a:lstStyle/>
              <a:p>
                <a:pPr>
                  <a:defRPr sz="450" b="1" i="0" u="none" strike="noStrike" baseline="0">
                    <a:solidFill>
                      <a:srgbClr val="000000"/>
                    </a:solidFill>
                    <a:latin typeface="Arial"/>
                    <a:ea typeface="Arial"/>
                    <a:cs typeface="Arial"/>
                  </a:defRPr>
                </a:pPr>
                <a:r>
                  <a:rPr lang="en-US"/>
                  <a:t>Pressure (Pa)</a:t>
                </a:r>
              </a:p>
            </c:rich>
          </c:tx>
          <c:layout>
            <c:manualLayout>
              <c:xMode val="edge"/>
              <c:yMode val="edge"/>
              <c:x val="1.6883634531356932E-2"/>
              <c:y val="0.3512960689799706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75" b="0" i="0" u="none" strike="noStrike" baseline="0">
                <a:solidFill>
                  <a:srgbClr val="000000"/>
                </a:solidFill>
                <a:latin typeface="Arial"/>
                <a:ea typeface="Arial"/>
                <a:cs typeface="Arial"/>
              </a:defRPr>
            </a:pPr>
            <a:endParaRPr lang="en-US"/>
          </a:p>
        </c:txPr>
        <c:crossAx val="109894656"/>
        <c:crosses val="autoZero"/>
        <c:crossBetween val="between"/>
      </c:valAx>
      <c:spPr>
        <a:solidFill>
          <a:srgbClr val="FFFFFF"/>
        </a:solidFill>
        <a:ln w="12700">
          <a:solidFill>
            <a:srgbClr val="808080"/>
          </a:solidFill>
          <a:prstDash val="solid"/>
        </a:ln>
      </c:spPr>
    </c:plotArea>
    <c:legend>
      <c:legendPos val="b"/>
      <c:layout>
        <c:manualLayout>
          <c:xMode val="edge"/>
          <c:yMode val="edge"/>
          <c:x val="0.2093594747647948"/>
          <c:y val="0.91706795205732361"/>
          <c:w val="0.69899029097007581"/>
          <c:h val="5.176970749378762E-2"/>
        </c:manualLayout>
      </c:layout>
      <c:overlay val="0"/>
      <c:spPr>
        <a:solidFill>
          <a:srgbClr val="FFFFFF"/>
        </a:solidFill>
        <a:ln w="3175">
          <a:solidFill>
            <a:srgbClr val="000000"/>
          </a:solidFill>
          <a:prstDash val="solid"/>
        </a:ln>
      </c:spPr>
      <c:txPr>
        <a:bodyPr/>
        <a:lstStyle/>
        <a:p>
          <a:pPr>
            <a:defRPr sz="3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1" i="0" u="none" strike="noStrike" baseline="0">
                <a:solidFill>
                  <a:srgbClr val="000000"/>
                </a:solidFill>
                <a:latin typeface="Arial"/>
                <a:ea typeface="Arial"/>
                <a:cs typeface="Arial"/>
              </a:defRPr>
            </a:pPr>
            <a:r>
              <a:rPr lang="en-US"/>
              <a:t>18kW Fan</a:t>
            </a:r>
          </a:p>
        </c:rich>
      </c:tx>
      <c:layout>
        <c:manualLayout>
          <c:xMode val="edge"/>
          <c:yMode val="edge"/>
          <c:x val="0.38320107796744385"/>
          <c:y val="3.4811504417803632E-2"/>
        </c:manualLayout>
      </c:layout>
      <c:overlay val="0"/>
      <c:spPr>
        <a:noFill/>
        <a:ln w="25400">
          <a:noFill/>
        </a:ln>
      </c:spPr>
    </c:title>
    <c:autoTitleDeleted val="0"/>
    <c:plotArea>
      <c:layout>
        <c:manualLayout>
          <c:layoutTarget val="inner"/>
          <c:xMode val="edge"/>
          <c:yMode val="edge"/>
          <c:x val="0.11408277042649276"/>
          <c:y val="0.12184031052168053"/>
          <c:w val="0.84538258085272844"/>
          <c:h val="0.67882458719222005"/>
        </c:manualLayout>
      </c:layout>
      <c:lineChart>
        <c:grouping val="standard"/>
        <c:varyColors val="0"/>
        <c:ser>
          <c:idx val="0"/>
          <c:order val="0"/>
          <c:tx>
            <c:strRef>
              <c:f>Fans!$A$92</c:f>
              <c:strCache>
                <c:ptCount val="1"/>
                <c:pt idx="0">
                  <c:v>Volume (m³/s)</c:v>
                </c:pt>
              </c:strCache>
            </c:strRef>
          </c:tx>
          <c:spPr>
            <a:ln w="3175">
              <a:solidFill>
                <a:srgbClr val="000000"/>
              </a:solidFill>
              <a:prstDash val="solid"/>
            </a:ln>
          </c:spPr>
          <c:marker>
            <c:symbol val="none"/>
          </c:marker>
          <c:cat>
            <c:numRef>
              <c:f>Fans!$A$93:$A$101</c:f>
              <c:numCache>
                <c:formatCode>General</c:formatCode>
                <c:ptCount val="9"/>
                <c:pt idx="0">
                  <c:v>1</c:v>
                </c:pt>
                <c:pt idx="1">
                  <c:v>2</c:v>
                </c:pt>
                <c:pt idx="2">
                  <c:v>3</c:v>
                </c:pt>
                <c:pt idx="3">
                  <c:v>4</c:v>
                </c:pt>
                <c:pt idx="4">
                  <c:v>5</c:v>
                </c:pt>
                <c:pt idx="5">
                  <c:v>6</c:v>
                </c:pt>
                <c:pt idx="6">
                  <c:v>7</c:v>
                </c:pt>
                <c:pt idx="7">
                  <c:v>8</c:v>
                </c:pt>
                <c:pt idx="8">
                  <c:v>8.5</c:v>
                </c:pt>
              </c:numCache>
            </c:numRef>
          </c:cat>
          <c:val>
            <c:numRef>
              <c:f>Fans!$A$93:$A$106</c:f>
              <c:numCache>
                <c:formatCode>General</c:formatCode>
                <c:ptCount val="14"/>
                <c:pt idx="0">
                  <c:v>1</c:v>
                </c:pt>
                <c:pt idx="1">
                  <c:v>2</c:v>
                </c:pt>
                <c:pt idx="2">
                  <c:v>3</c:v>
                </c:pt>
                <c:pt idx="3">
                  <c:v>4</c:v>
                </c:pt>
                <c:pt idx="4">
                  <c:v>5</c:v>
                </c:pt>
                <c:pt idx="5">
                  <c:v>6</c:v>
                </c:pt>
                <c:pt idx="6">
                  <c:v>7</c:v>
                </c:pt>
                <c:pt idx="7">
                  <c:v>8</c:v>
                </c:pt>
                <c:pt idx="8">
                  <c:v>8.5</c:v>
                </c:pt>
              </c:numCache>
            </c:numRef>
          </c:val>
          <c:smooth val="0"/>
          <c:extLst>
            <c:ext xmlns:c16="http://schemas.microsoft.com/office/drawing/2014/chart" uri="{C3380CC4-5D6E-409C-BE32-E72D297353CC}">
              <c16:uniqueId val="{00000000-31BB-4764-A4B0-5A946DF6C918}"/>
            </c:ext>
          </c:extLst>
        </c:ser>
        <c:ser>
          <c:idx val="1"/>
          <c:order val="1"/>
          <c:tx>
            <c:strRef>
              <c:f>Fans!$B$92</c:f>
              <c:strCache>
                <c:ptCount val="1"/>
                <c:pt idx="0">
                  <c:v>Pressure (pa)</c:v>
                </c:pt>
              </c:strCache>
            </c:strRef>
          </c:tx>
          <c:spPr>
            <a:ln w="12700">
              <a:solidFill>
                <a:srgbClr val="000080"/>
              </a:solidFill>
              <a:prstDash val="solid"/>
            </a:ln>
          </c:spPr>
          <c:marker>
            <c:symbol val="diamond"/>
            <c:size val="4"/>
            <c:spPr>
              <a:solidFill>
                <a:srgbClr val="000080"/>
              </a:solidFill>
              <a:ln>
                <a:solidFill>
                  <a:srgbClr val="000080"/>
                </a:solidFill>
                <a:prstDash val="solid"/>
              </a:ln>
            </c:spPr>
          </c:marker>
          <c:cat>
            <c:numRef>
              <c:f>Fans!$A$93:$A$101</c:f>
              <c:numCache>
                <c:formatCode>General</c:formatCode>
                <c:ptCount val="9"/>
                <c:pt idx="0">
                  <c:v>1</c:v>
                </c:pt>
                <c:pt idx="1">
                  <c:v>2</c:v>
                </c:pt>
                <c:pt idx="2">
                  <c:v>3</c:v>
                </c:pt>
                <c:pt idx="3">
                  <c:v>4</c:v>
                </c:pt>
                <c:pt idx="4">
                  <c:v>5</c:v>
                </c:pt>
                <c:pt idx="5">
                  <c:v>6</c:v>
                </c:pt>
                <c:pt idx="6">
                  <c:v>7</c:v>
                </c:pt>
                <c:pt idx="7">
                  <c:v>8</c:v>
                </c:pt>
                <c:pt idx="8">
                  <c:v>8.5</c:v>
                </c:pt>
              </c:numCache>
            </c:numRef>
          </c:cat>
          <c:val>
            <c:numRef>
              <c:f>Fans!$B$93:$B$106</c:f>
              <c:numCache>
                <c:formatCode>General</c:formatCode>
                <c:ptCount val="14"/>
                <c:pt idx="3">
                  <c:v>2000</c:v>
                </c:pt>
                <c:pt idx="4">
                  <c:v>1950</c:v>
                </c:pt>
                <c:pt idx="5">
                  <c:v>1750</c:v>
                </c:pt>
                <c:pt idx="6">
                  <c:v>1350</c:v>
                </c:pt>
                <c:pt idx="7">
                  <c:v>650</c:v>
                </c:pt>
                <c:pt idx="8">
                  <c:v>0</c:v>
                </c:pt>
              </c:numCache>
            </c:numRef>
          </c:val>
          <c:smooth val="0"/>
          <c:extLst>
            <c:ext xmlns:c16="http://schemas.microsoft.com/office/drawing/2014/chart" uri="{C3380CC4-5D6E-409C-BE32-E72D297353CC}">
              <c16:uniqueId val="{00000001-31BB-4764-A4B0-5A946DF6C918}"/>
            </c:ext>
          </c:extLst>
        </c:ser>
        <c:ser>
          <c:idx val="2"/>
          <c:order val="2"/>
          <c:tx>
            <c:strRef>
              <c:f>Fans!$K$91</c:f>
              <c:strCache>
                <c:ptCount val="1"/>
                <c:pt idx="0">
                  <c:v>Resistance (pa)</c:v>
                </c:pt>
              </c:strCache>
            </c:strRef>
          </c:tx>
          <c:spPr>
            <a:ln w="12700">
              <a:solidFill>
                <a:srgbClr val="FF0000"/>
              </a:solidFill>
              <a:prstDash val="solid"/>
            </a:ln>
          </c:spPr>
          <c:marker>
            <c:symbol val="triangle"/>
            <c:size val="3"/>
            <c:spPr>
              <a:solidFill>
                <a:srgbClr val="FF0000"/>
              </a:solidFill>
              <a:ln>
                <a:solidFill>
                  <a:srgbClr val="FF0000"/>
                </a:solidFill>
                <a:prstDash val="solid"/>
              </a:ln>
            </c:spPr>
          </c:marker>
          <c:cat>
            <c:numRef>
              <c:f>Fans!$A$93:$A$101</c:f>
              <c:numCache>
                <c:formatCode>General</c:formatCode>
                <c:ptCount val="9"/>
                <c:pt idx="0">
                  <c:v>1</c:v>
                </c:pt>
                <c:pt idx="1">
                  <c:v>2</c:v>
                </c:pt>
                <c:pt idx="2">
                  <c:v>3</c:v>
                </c:pt>
                <c:pt idx="3">
                  <c:v>4</c:v>
                </c:pt>
                <c:pt idx="4">
                  <c:v>5</c:v>
                </c:pt>
                <c:pt idx="5">
                  <c:v>6</c:v>
                </c:pt>
                <c:pt idx="6">
                  <c:v>7</c:v>
                </c:pt>
                <c:pt idx="7">
                  <c:v>8</c:v>
                </c:pt>
                <c:pt idx="8">
                  <c:v>8.5</c:v>
                </c:pt>
              </c:numCache>
            </c:numRef>
          </c:cat>
          <c:val>
            <c:numRef>
              <c:f>Fans!$K$92:$K$99</c:f>
              <c:numCache>
                <c:formatCode>0.0</c:formatCode>
                <c:ptCount val="8"/>
                <c:pt idx="0">
                  <c:v>34</c:v>
                </c:pt>
                <c:pt idx="1">
                  <c:v>136</c:v>
                </c:pt>
                <c:pt idx="2">
                  <c:v>306</c:v>
                </c:pt>
                <c:pt idx="3">
                  <c:v>544</c:v>
                </c:pt>
                <c:pt idx="4">
                  <c:v>850</c:v>
                </c:pt>
                <c:pt idx="5">
                  <c:v>1224</c:v>
                </c:pt>
                <c:pt idx="6">
                  <c:v>1666</c:v>
                </c:pt>
                <c:pt idx="7">
                  <c:v>2176</c:v>
                </c:pt>
              </c:numCache>
            </c:numRef>
          </c:val>
          <c:smooth val="0"/>
          <c:extLst>
            <c:ext xmlns:c16="http://schemas.microsoft.com/office/drawing/2014/chart" uri="{C3380CC4-5D6E-409C-BE32-E72D297353CC}">
              <c16:uniqueId val="{00000002-31BB-4764-A4B0-5A946DF6C918}"/>
            </c:ext>
          </c:extLst>
        </c:ser>
        <c:dLbls>
          <c:showLegendKey val="0"/>
          <c:showVal val="0"/>
          <c:showCatName val="0"/>
          <c:showSerName val="0"/>
          <c:showPercent val="0"/>
          <c:showBubbleSize val="0"/>
        </c:dLbls>
        <c:smooth val="0"/>
        <c:axId val="124230656"/>
        <c:axId val="124233216"/>
      </c:lineChart>
      <c:catAx>
        <c:axId val="124230656"/>
        <c:scaling>
          <c:orientation val="minMax"/>
        </c:scaling>
        <c:delete val="0"/>
        <c:axPos val="b"/>
        <c:title>
          <c:tx>
            <c:rich>
              <a:bodyPr/>
              <a:lstStyle/>
              <a:p>
                <a:pPr>
                  <a:defRPr sz="550" b="1" i="0" u="none" strike="noStrike" baseline="0">
                    <a:solidFill>
                      <a:srgbClr val="000000"/>
                    </a:solidFill>
                    <a:latin typeface="Arial"/>
                    <a:ea typeface="Arial"/>
                    <a:cs typeface="Arial"/>
                  </a:defRPr>
                </a:pPr>
                <a:r>
                  <a:rPr lang="en-US"/>
                  <a:t>Quantity (m³/s)</a:t>
                </a:r>
              </a:p>
            </c:rich>
          </c:tx>
          <c:layout>
            <c:manualLayout>
              <c:xMode val="edge"/>
              <c:yMode val="edge"/>
              <c:x val="0.4329293509844116"/>
              <c:y val="0.8557830271216098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550" b="0" i="0" u="none" strike="noStrike" baseline="0">
                <a:solidFill>
                  <a:srgbClr val="000000"/>
                </a:solidFill>
                <a:latin typeface="Arial"/>
                <a:ea typeface="Arial"/>
                <a:cs typeface="Arial"/>
              </a:defRPr>
            </a:pPr>
            <a:endParaRPr lang="en-US"/>
          </a:p>
        </c:txPr>
        <c:crossAx val="124233216"/>
        <c:crosses val="autoZero"/>
        <c:auto val="1"/>
        <c:lblAlgn val="ctr"/>
        <c:lblOffset val="100"/>
        <c:tickLblSkip val="1"/>
        <c:tickMarkSkip val="1"/>
        <c:noMultiLvlLbl val="0"/>
      </c:catAx>
      <c:valAx>
        <c:axId val="124233216"/>
        <c:scaling>
          <c:orientation val="minMax"/>
        </c:scaling>
        <c:delete val="0"/>
        <c:axPos val="l"/>
        <c:majorGridlines>
          <c:spPr>
            <a:ln w="3175">
              <a:solidFill>
                <a:srgbClr val="000000"/>
              </a:solidFill>
              <a:prstDash val="solid"/>
            </a:ln>
          </c:spPr>
        </c:majorGridlines>
        <c:title>
          <c:tx>
            <c:rich>
              <a:bodyPr/>
              <a:lstStyle/>
              <a:p>
                <a:pPr>
                  <a:defRPr sz="550" b="1" i="0" u="none" strike="noStrike" baseline="0">
                    <a:solidFill>
                      <a:srgbClr val="000000"/>
                    </a:solidFill>
                    <a:latin typeface="Arial"/>
                    <a:ea typeface="Arial"/>
                    <a:cs typeface="Arial"/>
                  </a:defRPr>
                </a:pPr>
                <a:r>
                  <a:rPr lang="en-US"/>
                  <a:t>Pressure (Pa)</a:t>
                </a:r>
              </a:p>
            </c:rich>
          </c:tx>
          <c:layout>
            <c:manualLayout>
              <c:xMode val="edge"/>
              <c:yMode val="edge"/>
              <c:x val="1.4625872495865024E-2"/>
              <c:y val="0.3713228188818740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550" b="0" i="0" u="none" strike="noStrike" baseline="0">
                <a:solidFill>
                  <a:srgbClr val="000000"/>
                </a:solidFill>
                <a:latin typeface="Arial"/>
                <a:ea typeface="Arial"/>
                <a:cs typeface="Arial"/>
              </a:defRPr>
            </a:pPr>
            <a:endParaRPr lang="en-US"/>
          </a:p>
        </c:txPr>
        <c:crossAx val="124230656"/>
        <c:crosses val="autoZero"/>
        <c:crossBetween val="between"/>
      </c:valAx>
      <c:spPr>
        <a:solidFill>
          <a:srgbClr val="FFFFFF"/>
        </a:solidFill>
        <a:ln w="12700">
          <a:solidFill>
            <a:srgbClr val="808080"/>
          </a:solidFill>
          <a:prstDash val="solid"/>
        </a:ln>
      </c:spPr>
    </c:plotArea>
    <c:legend>
      <c:legendPos val="b"/>
      <c:layout>
        <c:manualLayout>
          <c:xMode val="edge"/>
          <c:yMode val="edge"/>
          <c:x val="0.19891360295291555"/>
          <c:y val="0.93120805845215293"/>
          <c:w val="0.7049730827442191"/>
          <c:h val="4.6415549407675338E-2"/>
        </c:manualLayout>
      </c:layout>
      <c:overlay val="0"/>
      <c:spPr>
        <a:solidFill>
          <a:srgbClr val="FFFFFF"/>
        </a:solidFill>
        <a:ln w="3175">
          <a:solidFill>
            <a:srgbClr val="000000"/>
          </a:solidFill>
          <a:prstDash val="solid"/>
        </a:ln>
      </c:spPr>
      <c:txPr>
        <a:bodyPr/>
        <a:lstStyle/>
        <a:p>
          <a:pPr>
            <a:defRPr sz="3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5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22kW Fan</a:t>
            </a:r>
          </a:p>
        </c:rich>
      </c:tx>
      <c:layout>
        <c:manualLayout>
          <c:xMode val="edge"/>
          <c:yMode val="edge"/>
          <c:x val="0.39055871379306284"/>
          <c:y val="3.3666599367386765E-2"/>
        </c:manualLayout>
      </c:layout>
      <c:overlay val="0"/>
      <c:spPr>
        <a:noFill/>
        <a:ln w="25400">
          <a:noFill/>
        </a:ln>
      </c:spPr>
    </c:title>
    <c:autoTitleDeleted val="0"/>
    <c:plotArea>
      <c:layout>
        <c:manualLayout>
          <c:layoutTarget val="inner"/>
          <c:xMode val="edge"/>
          <c:yMode val="edge"/>
          <c:x val="0.13655899125046717"/>
          <c:y val="0.11912737126743014"/>
          <c:w val="0.82481630715282173"/>
          <c:h val="0.70440532575523918"/>
        </c:manualLayout>
      </c:layout>
      <c:lineChart>
        <c:grouping val="standard"/>
        <c:varyColors val="0"/>
        <c:ser>
          <c:idx val="0"/>
          <c:order val="0"/>
          <c:tx>
            <c:strRef>
              <c:f>Fans!$A$112</c:f>
              <c:strCache>
                <c:ptCount val="1"/>
                <c:pt idx="0">
                  <c:v>Volume (m³/s)</c:v>
                </c:pt>
              </c:strCache>
            </c:strRef>
          </c:tx>
          <c:spPr>
            <a:ln w="3175">
              <a:solidFill>
                <a:srgbClr val="000000"/>
              </a:solidFill>
              <a:prstDash val="solid"/>
            </a:ln>
          </c:spPr>
          <c:marker>
            <c:symbol val="none"/>
          </c:marker>
          <c:cat>
            <c:numRef>
              <c:f>Fans!$A$113:$A$123</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f>Fans!$A$113:$A$123</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val>
          <c:smooth val="0"/>
          <c:extLst>
            <c:ext xmlns:c16="http://schemas.microsoft.com/office/drawing/2014/chart" uri="{C3380CC4-5D6E-409C-BE32-E72D297353CC}">
              <c16:uniqueId val="{00000000-559B-4C7B-8394-51F8E3685F67}"/>
            </c:ext>
          </c:extLst>
        </c:ser>
        <c:ser>
          <c:idx val="1"/>
          <c:order val="1"/>
          <c:tx>
            <c:strRef>
              <c:f>Fans!$B$112</c:f>
              <c:strCache>
                <c:ptCount val="1"/>
                <c:pt idx="0">
                  <c:v>Pressure (pa)</c:v>
                </c:pt>
              </c:strCache>
            </c:strRef>
          </c:tx>
          <c:spPr>
            <a:ln w="12700">
              <a:solidFill>
                <a:srgbClr val="000080"/>
              </a:solidFill>
              <a:prstDash val="solid"/>
            </a:ln>
          </c:spPr>
          <c:marker>
            <c:symbol val="diamond"/>
            <c:size val="4"/>
            <c:spPr>
              <a:solidFill>
                <a:srgbClr val="000080"/>
              </a:solidFill>
              <a:ln>
                <a:solidFill>
                  <a:srgbClr val="000080"/>
                </a:solidFill>
                <a:prstDash val="solid"/>
              </a:ln>
            </c:spPr>
          </c:marker>
          <c:cat>
            <c:numRef>
              <c:f>Fans!$A$113:$A$123</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f>Fans!$B$113:$B$123</c:f>
              <c:numCache>
                <c:formatCode>General</c:formatCode>
                <c:ptCount val="11"/>
                <c:pt idx="0">
                  <c:v>2400</c:v>
                </c:pt>
                <c:pt idx="1">
                  <c:v>2200</c:v>
                </c:pt>
                <c:pt idx="2">
                  <c:v>2050</c:v>
                </c:pt>
                <c:pt idx="3">
                  <c:v>1800</c:v>
                </c:pt>
                <c:pt idx="4">
                  <c:v>1650</c:v>
                </c:pt>
                <c:pt idx="5">
                  <c:v>1700</c:v>
                </c:pt>
                <c:pt idx="6">
                  <c:v>1800</c:v>
                </c:pt>
                <c:pt idx="7">
                  <c:v>1700</c:v>
                </c:pt>
                <c:pt idx="8">
                  <c:v>1300</c:v>
                </c:pt>
                <c:pt idx="9">
                  <c:v>800</c:v>
                </c:pt>
                <c:pt idx="10">
                  <c:v>0</c:v>
                </c:pt>
              </c:numCache>
            </c:numRef>
          </c:val>
          <c:smooth val="0"/>
          <c:extLst>
            <c:ext xmlns:c16="http://schemas.microsoft.com/office/drawing/2014/chart" uri="{C3380CC4-5D6E-409C-BE32-E72D297353CC}">
              <c16:uniqueId val="{00000001-559B-4C7B-8394-51F8E3685F67}"/>
            </c:ext>
          </c:extLst>
        </c:ser>
        <c:ser>
          <c:idx val="2"/>
          <c:order val="2"/>
          <c:tx>
            <c:strRef>
              <c:f>Fans!$K$111</c:f>
              <c:strCache>
                <c:ptCount val="1"/>
                <c:pt idx="0">
                  <c:v>Resistance (pa)</c:v>
                </c:pt>
              </c:strCache>
            </c:strRef>
          </c:tx>
          <c:spPr>
            <a:ln w="12700">
              <a:solidFill>
                <a:srgbClr val="FF0000"/>
              </a:solidFill>
              <a:prstDash val="solid"/>
            </a:ln>
          </c:spPr>
          <c:marker>
            <c:symbol val="triangle"/>
            <c:size val="3"/>
            <c:spPr>
              <a:solidFill>
                <a:srgbClr val="FF0000"/>
              </a:solidFill>
              <a:ln>
                <a:solidFill>
                  <a:srgbClr val="FF0000"/>
                </a:solidFill>
                <a:prstDash val="solid"/>
              </a:ln>
            </c:spPr>
          </c:marker>
          <c:cat>
            <c:numRef>
              <c:f>Fans!$A$113:$A$123</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f>Fans!$K$112:$K$126</c:f>
              <c:numCache>
                <c:formatCode>0.0</c:formatCode>
                <c:ptCount val="15"/>
                <c:pt idx="0">
                  <c:v>34</c:v>
                </c:pt>
                <c:pt idx="1">
                  <c:v>136</c:v>
                </c:pt>
                <c:pt idx="2">
                  <c:v>306</c:v>
                </c:pt>
                <c:pt idx="3">
                  <c:v>544</c:v>
                </c:pt>
                <c:pt idx="4">
                  <c:v>850</c:v>
                </c:pt>
                <c:pt idx="5">
                  <c:v>1224</c:v>
                </c:pt>
                <c:pt idx="6">
                  <c:v>1666</c:v>
                </c:pt>
                <c:pt idx="7">
                  <c:v>2176</c:v>
                </c:pt>
                <c:pt idx="8">
                  <c:v>2754</c:v>
                </c:pt>
              </c:numCache>
            </c:numRef>
          </c:val>
          <c:smooth val="0"/>
          <c:extLst>
            <c:ext xmlns:c16="http://schemas.microsoft.com/office/drawing/2014/chart" uri="{C3380CC4-5D6E-409C-BE32-E72D297353CC}">
              <c16:uniqueId val="{00000002-559B-4C7B-8394-51F8E3685F67}"/>
            </c:ext>
          </c:extLst>
        </c:ser>
        <c:dLbls>
          <c:showLegendKey val="0"/>
          <c:showVal val="0"/>
          <c:showCatName val="0"/>
          <c:showSerName val="0"/>
          <c:showPercent val="0"/>
          <c:showBubbleSize val="0"/>
        </c:dLbls>
        <c:smooth val="0"/>
        <c:axId val="125045376"/>
        <c:axId val="125084800"/>
      </c:lineChart>
      <c:catAx>
        <c:axId val="125045376"/>
        <c:scaling>
          <c:orientation val="minMax"/>
        </c:scaling>
        <c:delete val="0"/>
        <c:axPos val="b"/>
        <c:title>
          <c:tx>
            <c:rich>
              <a:bodyPr/>
              <a:lstStyle/>
              <a:p>
                <a:pPr>
                  <a:defRPr sz="600" b="1" i="0" u="none" strike="noStrike" baseline="0">
                    <a:solidFill>
                      <a:srgbClr val="000000"/>
                    </a:solidFill>
                    <a:latin typeface="Arial"/>
                    <a:ea typeface="Arial"/>
                    <a:cs typeface="Arial"/>
                  </a:defRPr>
                </a:pPr>
                <a:r>
                  <a:rPr lang="en-US"/>
                  <a:t>Quantity (m³/s)</a:t>
                </a:r>
              </a:p>
            </c:rich>
          </c:tx>
          <c:layout>
            <c:manualLayout>
              <c:xMode val="edge"/>
              <c:yMode val="edge"/>
              <c:x val="0.45064486894295164"/>
              <c:y val="0.8934552796285080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25084800"/>
        <c:crosses val="autoZero"/>
        <c:auto val="1"/>
        <c:lblAlgn val="ctr"/>
        <c:lblOffset val="100"/>
        <c:tickLblSkip val="1"/>
        <c:tickMarkSkip val="1"/>
        <c:noMultiLvlLbl val="0"/>
      </c:catAx>
      <c:valAx>
        <c:axId val="125084800"/>
        <c:scaling>
          <c:orientation val="minMax"/>
        </c:scaling>
        <c:delete val="0"/>
        <c:axPos val="l"/>
        <c:majorGridlines>
          <c:spPr>
            <a:ln w="3175">
              <a:solidFill>
                <a:srgbClr val="000000"/>
              </a:solidFill>
              <a:prstDash val="solid"/>
            </a:ln>
          </c:spPr>
        </c:majorGridlines>
        <c:title>
          <c:tx>
            <c:rich>
              <a:bodyPr/>
              <a:lstStyle/>
              <a:p>
                <a:pPr>
                  <a:defRPr sz="600" b="1" i="0" u="none" strike="noStrike" baseline="0">
                    <a:solidFill>
                      <a:srgbClr val="000000"/>
                    </a:solidFill>
                    <a:latin typeface="Arial"/>
                    <a:ea typeface="Arial"/>
                    <a:cs typeface="Arial"/>
                  </a:defRPr>
                </a:pPr>
                <a:r>
                  <a:rPr lang="en-US"/>
                  <a:t>Pressure (Pa)</a:t>
                </a:r>
              </a:p>
            </c:rich>
          </c:tx>
          <c:layout>
            <c:manualLayout>
              <c:xMode val="edge"/>
              <c:yMode val="edge"/>
              <c:x val="1.365582665395525E-2"/>
              <c:y val="0.3858687664041994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25045376"/>
        <c:crosses val="autoZero"/>
        <c:crossBetween val="between"/>
      </c:valAx>
      <c:spPr>
        <a:solidFill>
          <a:srgbClr val="FFFFFF"/>
        </a:solidFill>
        <a:ln w="12700">
          <a:solidFill>
            <a:srgbClr val="808080"/>
          </a:solidFill>
          <a:prstDash val="solid"/>
        </a:ln>
      </c:spPr>
    </c:plotArea>
    <c:legend>
      <c:legendPos val="b"/>
      <c:layout>
        <c:manualLayout>
          <c:xMode val="edge"/>
          <c:yMode val="edge"/>
          <c:x val="0.12563421724750773"/>
          <c:y val="0.92194252641496743"/>
          <c:w val="0.86305262290644169"/>
          <c:h val="5.6973955178679536E-2"/>
        </c:manualLayout>
      </c:layout>
      <c:overlay val="0"/>
      <c:spPr>
        <a:solidFill>
          <a:srgbClr val="FFFFFF"/>
        </a:solidFill>
        <a:ln w="3175">
          <a:solidFill>
            <a:srgbClr val="000000"/>
          </a:solidFill>
          <a:prstDash val="solid"/>
        </a:ln>
      </c:spPr>
      <c:txPr>
        <a:bodyPr/>
        <a:lstStyle/>
        <a:p>
          <a:pPr>
            <a:defRPr sz="5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n-US"/>
              <a:t>11kW Fan</a:t>
            </a:r>
          </a:p>
        </c:rich>
      </c:tx>
      <c:layout>
        <c:manualLayout>
          <c:xMode val="edge"/>
          <c:yMode val="edge"/>
          <c:x val="0.38717758516961198"/>
          <c:y val="3.7875140607424071E-2"/>
        </c:manualLayout>
      </c:layout>
      <c:overlay val="0"/>
      <c:spPr>
        <a:noFill/>
        <a:ln w="25400">
          <a:noFill/>
        </a:ln>
      </c:spPr>
    </c:title>
    <c:autoTitleDeleted val="0"/>
    <c:plotArea>
      <c:layout>
        <c:manualLayout>
          <c:layoutTarget val="inner"/>
          <c:xMode val="edge"/>
          <c:yMode val="edge"/>
          <c:x val="8.2232437578109274E-2"/>
          <c:y val="0.15150032174820308"/>
          <c:w val="0.83945613360986548"/>
          <c:h val="0.66797869134434984"/>
        </c:manualLayout>
      </c:layout>
      <c:lineChart>
        <c:grouping val="standard"/>
        <c:varyColors val="0"/>
        <c:ser>
          <c:idx val="0"/>
          <c:order val="0"/>
          <c:tx>
            <c:strRef>
              <c:f>Fans!$A$60</c:f>
              <c:strCache>
                <c:ptCount val="1"/>
                <c:pt idx="0">
                  <c:v>Volume (m³/s)</c:v>
                </c:pt>
              </c:strCache>
            </c:strRef>
          </c:tx>
          <c:spPr>
            <a:ln w="3175">
              <a:solidFill>
                <a:srgbClr val="000000"/>
              </a:solidFill>
              <a:prstDash val="solid"/>
            </a:ln>
          </c:spPr>
          <c:marker>
            <c:symbol val="none"/>
          </c:marker>
          <c:cat>
            <c:numRef>
              <c:f>Fans!$A$61:$A$66</c:f>
              <c:numCache>
                <c:formatCode>General</c:formatCode>
                <c:ptCount val="6"/>
                <c:pt idx="0">
                  <c:v>1</c:v>
                </c:pt>
                <c:pt idx="1">
                  <c:v>2</c:v>
                </c:pt>
                <c:pt idx="2">
                  <c:v>3</c:v>
                </c:pt>
                <c:pt idx="3">
                  <c:v>4</c:v>
                </c:pt>
                <c:pt idx="4">
                  <c:v>5</c:v>
                </c:pt>
                <c:pt idx="5">
                  <c:v>6</c:v>
                </c:pt>
              </c:numCache>
            </c:numRef>
          </c:cat>
          <c:val>
            <c:numRef>
              <c:f>Fans!$A$61:$A$66</c:f>
              <c:numCache>
                <c:formatCode>General</c:formatCode>
                <c:ptCount val="6"/>
                <c:pt idx="0">
                  <c:v>1</c:v>
                </c:pt>
                <c:pt idx="1">
                  <c:v>2</c:v>
                </c:pt>
                <c:pt idx="2">
                  <c:v>3</c:v>
                </c:pt>
                <c:pt idx="3">
                  <c:v>4</c:v>
                </c:pt>
                <c:pt idx="4">
                  <c:v>5</c:v>
                </c:pt>
                <c:pt idx="5">
                  <c:v>6</c:v>
                </c:pt>
              </c:numCache>
            </c:numRef>
          </c:val>
          <c:smooth val="0"/>
          <c:extLst>
            <c:ext xmlns:c16="http://schemas.microsoft.com/office/drawing/2014/chart" uri="{C3380CC4-5D6E-409C-BE32-E72D297353CC}">
              <c16:uniqueId val="{00000000-985F-456C-9024-ED4AF8D1BE54}"/>
            </c:ext>
          </c:extLst>
        </c:ser>
        <c:ser>
          <c:idx val="1"/>
          <c:order val="1"/>
          <c:tx>
            <c:strRef>
              <c:f>Fans!$B$60</c:f>
              <c:strCache>
                <c:ptCount val="1"/>
                <c:pt idx="0">
                  <c:v>Pressure (pa)</c:v>
                </c:pt>
              </c:strCache>
            </c:strRef>
          </c:tx>
          <c:spPr>
            <a:ln w="12700">
              <a:solidFill>
                <a:srgbClr val="000080"/>
              </a:solidFill>
              <a:prstDash val="solid"/>
            </a:ln>
          </c:spPr>
          <c:marker>
            <c:symbol val="diamond"/>
            <c:size val="4"/>
            <c:spPr>
              <a:solidFill>
                <a:srgbClr val="000080"/>
              </a:solidFill>
              <a:ln>
                <a:solidFill>
                  <a:srgbClr val="000080"/>
                </a:solidFill>
                <a:prstDash val="solid"/>
              </a:ln>
            </c:spPr>
          </c:marker>
          <c:cat>
            <c:numRef>
              <c:f>Fans!$A$61:$A$66</c:f>
              <c:numCache>
                <c:formatCode>General</c:formatCode>
                <c:ptCount val="6"/>
                <c:pt idx="0">
                  <c:v>1</c:v>
                </c:pt>
                <c:pt idx="1">
                  <c:v>2</c:v>
                </c:pt>
                <c:pt idx="2">
                  <c:v>3</c:v>
                </c:pt>
                <c:pt idx="3">
                  <c:v>4</c:v>
                </c:pt>
                <c:pt idx="4">
                  <c:v>5</c:v>
                </c:pt>
                <c:pt idx="5">
                  <c:v>6</c:v>
                </c:pt>
              </c:numCache>
            </c:numRef>
          </c:cat>
          <c:val>
            <c:numRef>
              <c:f>Fans!$B$61:$B$66</c:f>
              <c:numCache>
                <c:formatCode>General</c:formatCode>
                <c:ptCount val="6"/>
                <c:pt idx="3">
                  <c:v>1500</c:v>
                </c:pt>
                <c:pt idx="4">
                  <c:v>1150</c:v>
                </c:pt>
                <c:pt idx="5">
                  <c:v>400</c:v>
                </c:pt>
              </c:numCache>
            </c:numRef>
          </c:val>
          <c:smooth val="0"/>
          <c:extLst>
            <c:ext xmlns:c16="http://schemas.microsoft.com/office/drawing/2014/chart" uri="{C3380CC4-5D6E-409C-BE32-E72D297353CC}">
              <c16:uniqueId val="{00000001-985F-456C-9024-ED4AF8D1BE54}"/>
            </c:ext>
          </c:extLst>
        </c:ser>
        <c:ser>
          <c:idx val="2"/>
          <c:order val="2"/>
          <c:tx>
            <c:strRef>
              <c:f>Fans!$K$61</c:f>
              <c:strCache>
                <c:ptCount val="1"/>
                <c:pt idx="0">
                  <c:v>Resistance (pa)</c:v>
                </c:pt>
              </c:strCache>
            </c:strRef>
          </c:tx>
          <c:spPr>
            <a:ln w="12700">
              <a:solidFill>
                <a:srgbClr val="FF0000"/>
              </a:solidFill>
              <a:prstDash val="solid"/>
            </a:ln>
          </c:spPr>
          <c:marker>
            <c:symbol val="triangle"/>
            <c:size val="2"/>
            <c:spPr>
              <a:solidFill>
                <a:srgbClr val="FF0000"/>
              </a:solidFill>
              <a:ln>
                <a:solidFill>
                  <a:srgbClr val="FF0000"/>
                </a:solidFill>
                <a:prstDash val="solid"/>
              </a:ln>
            </c:spPr>
          </c:marker>
          <c:cat>
            <c:numRef>
              <c:f>Fans!$A$61:$A$66</c:f>
              <c:numCache>
                <c:formatCode>General</c:formatCode>
                <c:ptCount val="6"/>
                <c:pt idx="0">
                  <c:v>1</c:v>
                </c:pt>
                <c:pt idx="1">
                  <c:v>2</c:v>
                </c:pt>
                <c:pt idx="2">
                  <c:v>3</c:v>
                </c:pt>
                <c:pt idx="3">
                  <c:v>4</c:v>
                </c:pt>
                <c:pt idx="4">
                  <c:v>5</c:v>
                </c:pt>
                <c:pt idx="5">
                  <c:v>6</c:v>
                </c:pt>
              </c:numCache>
            </c:numRef>
          </c:cat>
          <c:val>
            <c:numRef>
              <c:f>Fans!$K$62:$K$67</c:f>
              <c:numCache>
                <c:formatCode>0.0</c:formatCode>
                <c:ptCount val="6"/>
                <c:pt idx="0">
                  <c:v>34</c:v>
                </c:pt>
                <c:pt idx="1">
                  <c:v>136</c:v>
                </c:pt>
                <c:pt idx="2">
                  <c:v>306</c:v>
                </c:pt>
                <c:pt idx="3">
                  <c:v>544</c:v>
                </c:pt>
                <c:pt idx="4">
                  <c:v>850</c:v>
                </c:pt>
                <c:pt idx="5">
                  <c:v>1224</c:v>
                </c:pt>
              </c:numCache>
            </c:numRef>
          </c:val>
          <c:smooth val="0"/>
          <c:extLst>
            <c:ext xmlns:c16="http://schemas.microsoft.com/office/drawing/2014/chart" uri="{C3380CC4-5D6E-409C-BE32-E72D297353CC}">
              <c16:uniqueId val="{00000002-985F-456C-9024-ED4AF8D1BE54}"/>
            </c:ext>
          </c:extLst>
        </c:ser>
        <c:dLbls>
          <c:showLegendKey val="0"/>
          <c:showVal val="0"/>
          <c:showCatName val="0"/>
          <c:showSerName val="0"/>
          <c:showPercent val="0"/>
          <c:showBubbleSize val="0"/>
        </c:dLbls>
        <c:smooth val="0"/>
        <c:axId val="125115008"/>
        <c:axId val="125121664"/>
      </c:lineChart>
      <c:catAx>
        <c:axId val="125115008"/>
        <c:scaling>
          <c:orientation val="minMax"/>
        </c:scaling>
        <c:delete val="0"/>
        <c:axPos val="b"/>
        <c:title>
          <c:tx>
            <c:rich>
              <a:bodyPr/>
              <a:lstStyle/>
              <a:p>
                <a:pPr>
                  <a:defRPr sz="475" b="1" i="0" u="none" strike="noStrike" baseline="0">
                    <a:solidFill>
                      <a:srgbClr val="000000"/>
                    </a:solidFill>
                    <a:latin typeface="Arial"/>
                    <a:ea typeface="Arial"/>
                    <a:cs typeface="Arial"/>
                  </a:defRPr>
                </a:pPr>
                <a:r>
                  <a:rPr lang="en-US"/>
                  <a:t>Quantity (m³/s)</a:t>
                </a:r>
              </a:p>
            </c:rich>
          </c:tx>
          <c:layout>
            <c:manualLayout>
              <c:xMode val="edge"/>
              <c:yMode val="edge"/>
              <c:x val="0.404309486503104"/>
              <c:y val="0.8780131233595800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75" b="0" i="0" u="none" strike="noStrike" baseline="0">
                <a:solidFill>
                  <a:srgbClr val="000000"/>
                </a:solidFill>
                <a:latin typeface="Arial"/>
                <a:ea typeface="Arial"/>
                <a:cs typeface="Arial"/>
              </a:defRPr>
            </a:pPr>
            <a:endParaRPr lang="en-US"/>
          </a:p>
        </c:txPr>
        <c:crossAx val="125121664"/>
        <c:crosses val="autoZero"/>
        <c:auto val="1"/>
        <c:lblAlgn val="ctr"/>
        <c:lblOffset val="100"/>
        <c:tickLblSkip val="1"/>
        <c:tickMarkSkip val="1"/>
        <c:noMultiLvlLbl val="0"/>
      </c:catAx>
      <c:valAx>
        <c:axId val="125121664"/>
        <c:scaling>
          <c:orientation val="minMax"/>
        </c:scaling>
        <c:delete val="0"/>
        <c:axPos val="l"/>
        <c:majorGridlines>
          <c:spPr>
            <a:ln w="3175">
              <a:solidFill>
                <a:srgbClr val="000000"/>
              </a:solidFill>
              <a:prstDash val="solid"/>
            </a:ln>
          </c:spPr>
        </c:majorGridlines>
        <c:title>
          <c:tx>
            <c:rich>
              <a:bodyPr/>
              <a:lstStyle/>
              <a:p>
                <a:pPr>
                  <a:defRPr sz="475" b="1" i="0" u="none" strike="noStrike" baseline="0">
                    <a:solidFill>
                      <a:srgbClr val="000000"/>
                    </a:solidFill>
                    <a:latin typeface="Arial"/>
                    <a:ea typeface="Arial"/>
                    <a:cs typeface="Arial"/>
                  </a:defRPr>
                </a:pPr>
                <a:r>
                  <a:rPr lang="en-US"/>
                  <a:t>Pressure (Pa)</a:t>
                </a:r>
              </a:p>
            </c:rich>
          </c:tx>
          <c:layout>
            <c:manualLayout>
              <c:xMode val="edge"/>
              <c:yMode val="edge"/>
              <c:x val="1.7131901333492006E-2"/>
              <c:y val="0.3959666291713536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75" b="0" i="0" u="none" strike="noStrike" baseline="0">
                <a:solidFill>
                  <a:srgbClr val="000000"/>
                </a:solidFill>
                <a:latin typeface="Arial"/>
                <a:ea typeface="Arial"/>
                <a:cs typeface="Arial"/>
              </a:defRPr>
            </a:pPr>
            <a:endParaRPr lang="en-US"/>
          </a:p>
        </c:txPr>
        <c:crossAx val="125115008"/>
        <c:crosses val="autoZero"/>
        <c:crossBetween val="between"/>
      </c:valAx>
      <c:spPr>
        <a:solidFill>
          <a:srgbClr val="FFFFFF"/>
        </a:solidFill>
        <a:ln w="12700">
          <a:solidFill>
            <a:srgbClr val="808080"/>
          </a:solidFill>
          <a:prstDash val="solid"/>
        </a:ln>
      </c:spPr>
    </c:plotArea>
    <c:legend>
      <c:legendPos val="b"/>
      <c:layout>
        <c:manualLayout>
          <c:xMode val="edge"/>
          <c:yMode val="edge"/>
          <c:x val="0.19530230005884025"/>
          <c:y val="0.92277465316835394"/>
          <c:w val="0.7092548444038953"/>
          <c:h val="4.8204349456317908E-2"/>
        </c:manualLayout>
      </c:layout>
      <c:overlay val="0"/>
      <c:spPr>
        <a:solidFill>
          <a:srgbClr val="FFFFFF"/>
        </a:solidFill>
        <a:ln w="3175">
          <a:solidFill>
            <a:srgbClr val="000000"/>
          </a:solidFill>
          <a:prstDash val="solid"/>
        </a:ln>
      </c:spPr>
      <c:txPr>
        <a:bodyPr/>
        <a:lstStyle/>
        <a:p>
          <a:pPr>
            <a:defRPr sz="3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75" b="1" i="0" u="none" strike="noStrike" baseline="0">
                <a:solidFill>
                  <a:srgbClr val="000000"/>
                </a:solidFill>
                <a:latin typeface="Arial"/>
                <a:ea typeface="Arial"/>
                <a:cs typeface="Arial"/>
              </a:defRPr>
            </a:pPr>
            <a:r>
              <a:rPr lang="en-US"/>
              <a:t>8kW Fan</a:t>
            </a:r>
          </a:p>
        </c:rich>
      </c:tx>
      <c:layout>
        <c:manualLayout>
          <c:xMode val="edge"/>
          <c:yMode val="edge"/>
          <c:x val="0.39940985794041933"/>
          <c:y val="3.3434358441043928E-2"/>
        </c:manualLayout>
      </c:layout>
      <c:overlay val="0"/>
      <c:spPr>
        <a:noFill/>
        <a:ln w="25400">
          <a:noFill/>
        </a:ln>
      </c:spPr>
    </c:title>
    <c:autoTitleDeleted val="0"/>
    <c:plotArea>
      <c:layout>
        <c:manualLayout>
          <c:layoutTarget val="inner"/>
          <c:xMode val="edge"/>
          <c:yMode val="edge"/>
          <c:x val="7.9193350004742508E-2"/>
          <c:y val="0.13069908814589665"/>
          <c:w val="0.84013814787639884"/>
          <c:h val="0.73556231003039518"/>
        </c:manualLayout>
      </c:layout>
      <c:lineChart>
        <c:grouping val="standard"/>
        <c:varyColors val="0"/>
        <c:ser>
          <c:idx val="0"/>
          <c:order val="0"/>
          <c:tx>
            <c:strRef>
              <c:f>Fans!$A$41</c:f>
              <c:strCache>
                <c:ptCount val="1"/>
                <c:pt idx="0">
                  <c:v>Volume (m³/s)</c:v>
                </c:pt>
              </c:strCache>
            </c:strRef>
          </c:tx>
          <c:spPr>
            <a:ln w="3175">
              <a:solidFill>
                <a:srgbClr val="000000"/>
              </a:solidFill>
              <a:prstDash val="solid"/>
            </a:ln>
          </c:spPr>
          <c:marker>
            <c:symbol val="none"/>
          </c:marker>
          <c:cat>
            <c:numRef>
              <c:f>Fans!$A$42:$A$46</c:f>
              <c:numCache>
                <c:formatCode>General</c:formatCode>
                <c:ptCount val="5"/>
                <c:pt idx="0">
                  <c:v>1</c:v>
                </c:pt>
                <c:pt idx="1">
                  <c:v>2</c:v>
                </c:pt>
                <c:pt idx="2">
                  <c:v>3</c:v>
                </c:pt>
                <c:pt idx="3">
                  <c:v>4</c:v>
                </c:pt>
                <c:pt idx="4">
                  <c:v>5</c:v>
                </c:pt>
              </c:numCache>
            </c:numRef>
          </c:cat>
          <c:val>
            <c:numRef>
              <c:f>Fans!$A$42:$A$47</c:f>
              <c:numCache>
                <c:formatCode>General</c:formatCode>
                <c:ptCount val="6"/>
                <c:pt idx="0">
                  <c:v>1</c:v>
                </c:pt>
                <c:pt idx="1">
                  <c:v>2</c:v>
                </c:pt>
                <c:pt idx="2">
                  <c:v>3</c:v>
                </c:pt>
                <c:pt idx="3">
                  <c:v>4</c:v>
                </c:pt>
                <c:pt idx="4">
                  <c:v>5</c:v>
                </c:pt>
              </c:numCache>
            </c:numRef>
          </c:val>
          <c:smooth val="0"/>
          <c:extLst>
            <c:ext xmlns:c16="http://schemas.microsoft.com/office/drawing/2014/chart" uri="{C3380CC4-5D6E-409C-BE32-E72D297353CC}">
              <c16:uniqueId val="{00000000-1AB8-41D6-BE17-F6914A568193}"/>
            </c:ext>
          </c:extLst>
        </c:ser>
        <c:ser>
          <c:idx val="1"/>
          <c:order val="1"/>
          <c:tx>
            <c:strRef>
              <c:f>Fans!$B$41</c:f>
              <c:strCache>
                <c:ptCount val="1"/>
                <c:pt idx="0">
                  <c:v>Pressure (pa)</c:v>
                </c:pt>
              </c:strCache>
            </c:strRef>
          </c:tx>
          <c:spPr>
            <a:ln w="12700">
              <a:solidFill>
                <a:srgbClr val="000080"/>
              </a:solidFill>
              <a:prstDash val="solid"/>
            </a:ln>
          </c:spPr>
          <c:marker>
            <c:symbol val="diamond"/>
            <c:size val="4"/>
            <c:spPr>
              <a:solidFill>
                <a:srgbClr val="000080"/>
              </a:solidFill>
              <a:ln>
                <a:solidFill>
                  <a:srgbClr val="000080"/>
                </a:solidFill>
                <a:prstDash val="solid"/>
              </a:ln>
            </c:spPr>
          </c:marker>
          <c:cat>
            <c:numRef>
              <c:f>Fans!$A$42:$A$46</c:f>
              <c:numCache>
                <c:formatCode>General</c:formatCode>
                <c:ptCount val="5"/>
                <c:pt idx="0">
                  <c:v>1</c:v>
                </c:pt>
                <c:pt idx="1">
                  <c:v>2</c:v>
                </c:pt>
                <c:pt idx="2">
                  <c:v>3</c:v>
                </c:pt>
                <c:pt idx="3">
                  <c:v>4</c:v>
                </c:pt>
                <c:pt idx="4">
                  <c:v>5</c:v>
                </c:pt>
              </c:numCache>
            </c:numRef>
          </c:cat>
          <c:val>
            <c:numRef>
              <c:f>Fans!$B$42:$B$47</c:f>
              <c:numCache>
                <c:formatCode>General</c:formatCode>
                <c:ptCount val="6"/>
                <c:pt idx="2">
                  <c:v>1200</c:v>
                </c:pt>
                <c:pt idx="3">
                  <c:v>900</c:v>
                </c:pt>
                <c:pt idx="4">
                  <c:v>0</c:v>
                </c:pt>
              </c:numCache>
            </c:numRef>
          </c:val>
          <c:smooth val="0"/>
          <c:extLst>
            <c:ext xmlns:c16="http://schemas.microsoft.com/office/drawing/2014/chart" uri="{C3380CC4-5D6E-409C-BE32-E72D297353CC}">
              <c16:uniqueId val="{00000001-1AB8-41D6-BE17-F6914A568193}"/>
            </c:ext>
          </c:extLst>
        </c:ser>
        <c:ser>
          <c:idx val="2"/>
          <c:order val="2"/>
          <c:tx>
            <c:strRef>
              <c:f>Fans!$K$42</c:f>
              <c:strCache>
                <c:ptCount val="1"/>
                <c:pt idx="0">
                  <c:v>Resistance (pa)</c:v>
                </c:pt>
              </c:strCache>
            </c:strRef>
          </c:tx>
          <c:spPr>
            <a:ln w="12700">
              <a:solidFill>
                <a:srgbClr val="FF0000"/>
              </a:solidFill>
              <a:prstDash val="solid"/>
            </a:ln>
          </c:spPr>
          <c:marker>
            <c:symbol val="triangle"/>
            <c:size val="2"/>
            <c:spPr>
              <a:solidFill>
                <a:srgbClr val="FF0000"/>
              </a:solidFill>
              <a:ln>
                <a:solidFill>
                  <a:srgbClr val="FF0000"/>
                </a:solidFill>
                <a:prstDash val="solid"/>
              </a:ln>
            </c:spPr>
          </c:marker>
          <c:cat>
            <c:numRef>
              <c:f>Fans!$A$42:$A$46</c:f>
              <c:numCache>
                <c:formatCode>General</c:formatCode>
                <c:ptCount val="5"/>
                <c:pt idx="0">
                  <c:v>1</c:v>
                </c:pt>
                <c:pt idx="1">
                  <c:v>2</c:v>
                </c:pt>
                <c:pt idx="2">
                  <c:v>3</c:v>
                </c:pt>
                <c:pt idx="3">
                  <c:v>4</c:v>
                </c:pt>
                <c:pt idx="4">
                  <c:v>5</c:v>
                </c:pt>
              </c:numCache>
            </c:numRef>
          </c:cat>
          <c:val>
            <c:numRef>
              <c:f>Fans!$K$43:$K$47</c:f>
              <c:numCache>
                <c:formatCode>0.0</c:formatCode>
                <c:ptCount val="5"/>
                <c:pt idx="0">
                  <c:v>34</c:v>
                </c:pt>
                <c:pt idx="1">
                  <c:v>136</c:v>
                </c:pt>
                <c:pt idx="2">
                  <c:v>306</c:v>
                </c:pt>
                <c:pt idx="3">
                  <c:v>544</c:v>
                </c:pt>
                <c:pt idx="4">
                  <c:v>850</c:v>
                </c:pt>
              </c:numCache>
            </c:numRef>
          </c:val>
          <c:smooth val="0"/>
          <c:extLst>
            <c:ext xmlns:c16="http://schemas.microsoft.com/office/drawing/2014/chart" uri="{C3380CC4-5D6E-409C-BE32-E72D297353CC}">
              <c16:uniqueId val="{00000002-1AB8-41D6-BE17-F6914A568193}"/>
            </c:ext>
          </c:extLst>
        </c:ser>
        <c:dLbls>
          <c:showLegendKey val="0"/>
          <c:showVal val="0"/>
          <c:showCatName val="0"/>
          <c:showSerName val="0"/>
          <c:showPercent val="0"/>
          <c:showBubbleSize val="0"/>
        </c:dLbls>
        <c:smooth val="0"/>
        <c:axId val="125164160"/>
        <c:axId val="125166720"/>
      </c:lineChart>
      <c:catAx>
        <c:axId val="125164160"/>
        <c:scaling>
          <c:orientation val="minMax"/>
        </c:scaling>
        <c:delete val="0"/>
        <c:axPos val="b"/>
        <c:title>
          <c:tx>
            <c:rich>
              <a:bodyPr/>
              <a:lstStyle/>
              <a:p>
                <a:pPr>
                  <a:defRPr sz="475" b="1" i="0" u="none" strike="noStrike" baseline="0">
                    <a:solidFill>
                      <a:srgbClr val="000000"/>
                    </a:solidFill>
                    <a:latin typeface="Arial"/>
                    <a:ea typeface="Arial"/>
                    <a:cs typeface="Arial"/>
                  </a:defRPr>
                </a:pPr>
                <a:r>
                  <a:rPr lang="en-US"/>
                  <a:t>Quantity (m³/s)</a:t>
                </a:r>
              </a:p>
            </c:rich>
          </c:tx>
          <c:layout>
            <c:manualLayout>
              <c:xMode val="edge"/>
              <c:yMode val="edge"/>
              <c:x val="0.40285302466688067"/>
              <c:y val="0.917932947060862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75" b="0" i="0" u="none" strike="noStrike" baseline="0">
                <a:solidFill>
                  <a:srgbClr val="000000"/>
                </a:solidFill>
                <a:latin typeface="Arial"/>
                <a:ea typeface="Arial"/>
                <a:cs typeface="Arial"/>
              </a:defRPr>
            </a:pPr>
            <a:endParaRPr lang="en-US"/>
          </a:p>
        </c:txPr>
        <c:crossAx val="125166720"/>
        <c:crosses val="autoZero"/>
        <c:auto val="1"/>
        <c:lblAlgn val="ctr"/>
        <c:lblOffset val="100"/>
        <c:tickLblSkip val="1"/>
        <c:tickMarkSkip val="1"/>
        <c:noMultiLvlLbl val="0"/>
      </c:catAx>
      <c:valAx>
        <c:axId val="125166720"/>
        <c:scaling>
          <c:orientation val="minMax"/>
        </c:scaling>
        <c:delete val="0"/>
        <c:axPos val="l"/>
        <c:majorGridlines>
          <c:spPr>
            <a:ln w="3175">
              <a:solidFill>
                <a:srgbClr val="000000"/>
              </a:solidFill>
              <a:prstDash val="solid"/>
            </a:ln>
          </c:spPr>
        </c:majorGridlines>
        <c:title>
          <c:tx>
            <c:rich>
              <a:bodyPr/>
              <a:lstStyle/>
              <a:p>
                <a:pPr>
                  <a:defRPr sz="475" b="1" i="0" u="none" strike="noStrike" baseline="0">
                    <a:solidFill>
                      <a:srgbClr val="000000"/>
                    </a:solidFill>
                    <a:latin typeface="Arial"/>
                    <a:ea typeface="Arial"/>
                    <a:cs typeface="Arial"/>
                  </a:defRPr>
                </a:pPr>
                <a:r>
                  <a:rPr lang="en-US"/>
                  <a:t>Pressure (Pa)</a:t>
                </a:r>
              </a:p>
            </c:rich>
          </c:tx>
          <c:layout>
            <c:manualLayout>
              <c:xMode val="edge"/>
              <c:yMode val="edge"/>
              <c:x val="1.7216085399397018E-2"/>
              <c:y val="0.4194526155928622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75" b="0" i="0" u="none" strike="noStrike" baseline="0">
                <a:solidFill>
                  <a:srgbClr val="000000"/>
                </a:solidFill>
                <a:latin typeface="Arial"/>
                <a:ea typeface="Arial"/>
                <a:cs typeface="Arial"/>
              </a:defRPr>
            </a:pPr>
            <a:endParaRPr lang="en-US"/>
          </a:p>
        </c:txPr>
        <c:crossAx val="125164160"/>
        <c:crosses val="autoZero"/>
        <c:crossBetween val="between"/>
      </c:valAx>
      <c:spPr>
        <a:solidFill>
          <a:srgbClr val="FFFFFF"/>
        </a:solidFill>
        <a:ln w="12700">
          <a:solidFill>
            <a:srgbClr val="808080"/>
          </a:solidFill>
          <a:prstDash val="solid"/>
        </a:ln>
      </c:spPr>
    </c:plotArea>
    <c:legend>
      <c:legendPos val="b"/>
      <c:layout>
        <c:manualLayout>
          <c:xMode val="edge"/>
          <c:yMode val="edge"/>
          <c:x val="0.20314809569667103"/>
          <c:y val="0.93313062282309045"/>
          <c:w val="0.71274004418512427"/>
          <c:h val="4.2552699780451952E-2"/>
        </c:manualLayout>
      </c:layout>
      <c:overlay val="0"/>
      <c:spPr>
        <a:solidFill>
          <a:srgbClr val="FFFFFF"/>
        </a:solidFill>
        <a:ln w="3175">
          <a:solidFill>
            <a:srgbClr val="000000"/>
          </a:solidFill>
          <a:prstDash val="solid"/>
        </a:ln>
      </c:spPr>
      <c:txPr>
        <a:bodyPr/>
        <a:lstStyle/>
        <a:p>
          <a:pPr>
            <a:defRPr sz="3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1" i="0" u="none" strike="noStrike" baseline="0">
                <a:solidFill>
                  <a:srgbClr val="000000"/>
                </a:solidFill>
                <a:latin typeface="Arial"/>
                <a:ea typeface="Arial"/>
                <a:cs typeface="Arial"/>
              </a:defRPr>
            </a:pPr>
            <a:r>
              <a:rPr lang="en-US"/>
              <a:t>45kW Fan</a:t>
            </a:r>
          </a:p>
        </c:rich>
      </c:tx>
      <c:layout>
        <c:manualLayout>
          <c:xMode val="edge"/>
          <c:yMode val="edge"/>
          <c:x val="0.39536257967754029"/>
          <c:y val="3.1239619637709222E-2"/>
        </c:manualLayout>
      </c:layout>
      <c:overlay val="0"/>
      <c:spPr>
        <a:noFill/>
        <a:ln w="25400">
          <a:noFill/>
        </a:ln>
      </c:spPr>
    </c:title>
    <c:autoTitleDeleted val="0"/>
    <c:plotArea>
      <c:layout>
        <c:manualLayout>
          <c:layoutTarget val="inner"/>
          <c:xMode val="edge"/>
          <c:yMode val="edge"/>
          <c:x val="0.11649076399663659"/>
          <c:y val="9.1315133758980677E-2"/>
          <c:w val="0.83308546373352232"/>
          <c:h val="0.78579075629438644"/>
        </c:manualLayout>
      </c:layout>
      <c:lineChart>
        <c:grouping val="standard"/>
        <c:varyColors val="0"/>
        <c:ser>
          <c:idx val="0"/>
          <c:order val="0"/>
          <c:tx>
            <c:strRef>
              <c:f>Fans!$I$137</c:f>
              <c:strCache>
                <c:ptCount val="1"/>
                <c:pt idx="0">
                  <c:v>Volume (m³/s)</c:v>
                </c:pt>
              </c:strCache>
            </c:strRef>
          </c:tx>
          <c:spPr>
            <a:ln w="3175">
              <a:solidFill>
                <a:srgbClr val="808080"/>
              </a:solidFill>
              <a:prstDash val="sysDash"/>
            </a:ln>
          </c:spPr>
          <c:marker>
            <c:symbol val="none"/>
          </c:marker>
          <c:cat>
            <c:numRef>
              <c:f>Fans!$I$138:$I$153</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Fans!$I$138:$I$153</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val>
          <c:smooth val="0"/>
          <c:extLst>
            <c:ext xmlns:c16="http://schemas.microsoft.com/office/drawing/2014/chart" uri="{C3380CC4-5D6E-409C-BE32-E72D297353CC}">
              <c16:uniqueId val="{00000000-DD7F-4D5F-B6E3-40383DDD1D6D}"/>
            </c:ext>
          </c:extLst>
        </c:ser>
        <c:ser>
          <c:idx val="1"/>
          <c:order val="1"/>
          <c:tx>
            <c:strRef>
              <c:f>Fans!$J$137</c:f>
              <c:strCache>
                <c:ptCount val="1"/>
                <c:pt idx="0">
                  <c:v>Pressure (pa)</c:v>
                </c:pt>
              </c:strCache>
            </c:strRef>
          </c:tx>
          <c:spPr>
            <a:ln w="12700">
              <a:solidFill>
                <a:srgbClr val="000080"/>
              </a:solidFill>
              <a:prstDash val="solid"/>
            </a:ln>
          </c:spPr>
          <c:marker>
            <c:symbol val="diamond"/>
            <c:size val="4"/>
            <c:spPr>
              <a:solidFill>
                <a:srgbClr val="000080"/>
              </a:solidFill>
              <a:ln>
                <a:solidFill>
                  <a:srgbClr val="000080"/>
                </a:solidFill>
                <a:prstDash val="solid"/>
              </a:ln>
            </c:spPr>
          </c:marker>
          <c:cat>
            <c:numRef>
              <c:f>Fans!$I$138:$I$153</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Fans!$J$138:$J$153</c:f>
              <c:numCache>
                <c:formatCode>General</c:formatCode>
                <c:ptCount val="16"/>
                <c:pt idx="9">
                  <c:v>7200</c:v>
                </c:pt>
                <c:pt idx="10">
                  <c:v>7050</c:v>
                </c:pt>
                <c:pt idx="11">
                  <c:v>6000</c:v>
                </c:pt>
                <c:pt idx="12">
                  <c:v>4200</c:v>
                </c:pt>
                <c:pt idx="13">
                  <c:v>2550</c:v>
                </c:pt>
                <c:pt idx="14">
                  <c:v>900</c:v>
                </c:pt>
                <c:pt idx="15">
                  <c:v>0</c:v>
                </c:pt>
              </c:numCache>
            </c:numRef>
          </c:val>
          <c:smooth val="0"/>
          <c:extLst>
            <c:ext xmlns:c16="http://schemas.microsoft.com/office/drawing/2014/chart" uri="{C3380CC4-5D6E-409C-BE32-E72D297353CC}">
              <c16:uniqueId val="{00000001-DD7F-4D5F-B6E3-40383DDD1D6D}"/>
            </c:ext>
          </c:extLst>
        </c:ser>
        <c:ser>
          <c:idx val="2"/>
          <c:order val="2"/>
          <c:tx>
            <c:strRef>
              <c:f>Fans!$K$137</c:f>
              <c:strCache>
                <c:ptCount val="1"/>
                <c:pt idx="0">
                  <c:v>Resistance (pa)</c:v>
                </c:pt>
              </c:strCache>
            </c:strRef>
          </c:tx>
          <c:spPr>
            <a:ln w="12700">
              <a:solidFill>
                <a:srgbClr val="FF0000"/>
              </a:solidFill>
              <a:prstDash val="solid"/>
            </a:ln>
          </c:spPr>
          <c:marker>
            <c:symbol val="triangle"/>
            <c:size val="3"/>
            <c:spPr>
              <a:solidFill>
                <a:srgbClr val="FF0000"/>
              </a:solidFill>
              <a:ln>
                <a:solidFill>
                  <a:srgbClr val="FF0000"/>
                </a:solidFill>
                <a:prstDash val="solid"/>
              </a:ln>
            </c:spPr>
          </c:marker>
          <c:cat>
            <c:numRef>
              <c:f>Fans!$I$138:$I$153</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Fans!$K$138:$K$152</c:f>
              <c:numCache>
                <c:formatCode>0.0</c:formatCode>
                <c:ptCount val="15"/>
                <c:pt idx="0">
                  <c:v>239</c:v>
                </c:pt>
                <c:pt idx="1">
                  <c:v>956</c:v>
                </c:pt>
                <c:pt idx="2">
                  <c:v>2151</c:v>
                </c:pt>
                <c:pt idx="3">
                  <c:v>3824</c:v>
                </c:pt>
                <c:pt idx="4">
                  <c:v>5975</c:v>
                </c:pt>
                <c:pt idx="5">
                  <c:v>8604</c:v>
                </c:pt>
                <c:pt idx="6">
                  <c:v>11711</c:v>
                </c:pt>
                <c:pt idx="7">
                  <c:v>15296</c:v>
                </c:pt>
                <c:pt idx="8">
                  <c:v>19359</c:v>
                </c:pt>
                <c:pt idx="9">
                  <c:v>23900</c:v>
                </c:pt>
                <c:pt idx="10">
                  <c:v>28919</c:v>
                </c:pt>
                <c:pt idx="11">
                  <c:v>34416</c:v>
                </c:pt>
                <c:pt idx="12">
                  <c:v>40391</c:v>
                </c:pt>
                <c:pt idx="13">
                  <c:v>46844</c:v>
                </c:pt>
                <c:pt idx="14">
                  <c:v>53775</c:v>
                </c:pt>
              </c:numCache>
            </c:numRef>
          </c:val>
          <c:smooth val="0"/>
          <c:extLst>
            <c:ext xmlns:c16="http://schemas.microsoft.com/office/drawing/2014/chart" uri="{C3380CC4-5D6E-409C-BE32-E72D297353CC}">
              <c16:uniqueId val="{00000002-DD7F-4D5F-B6E3-40383DDD1D6D}"/>
            </c:ext>
          </c:extLst>
        </c:ser>
        <c:dLbls>
          <c:showLegendKey val="0"/>
          <c:showVal val="0"/>
          <c:showCatName val="0"/>
          <c:showSerName val="0"/>
          <c:showPercent val="0"/>
          <c:showBubbleSize val="0"/>
        </c:dLbls>
        <c:smooth val="0"/>
        <c:axId val="126130816"/>
        <c:axId val="126141568"/>
      </c:lineChart>
      <c:catAx>
        <c:axId val="126130816"/>
        <c:scaling>
          <c:orientation val="minMax"/>
        </c:scaling>
        <c:delete val="0"/>
        <c:axPos val="b"/>
        <c:title>
          <c:tx>
            <c:rich>
              <a:bodyPr/>
              <a:lstStyle/>
              <a:p>
                <a:pPr>
                  <a:defRPr sz="425" b="1" i="0" u="none" strike="noStrike" baseline="0">
                    <a:solidFill>
                      <a:srgbClr val="000000"/>
                    </a:solidFill>
                    <a:latin typeface="Arial"/>
                    <a:ea typeface="Arial"/>
                    <a:cs typeface="Arial"/>
                  </a:defRPr>
                </a:pPr>
                <a:r>
                  <a:rPr lang="en-US"/>
                  <a:t>Quantity (m³/s)</a:t>
                </a:r>
              </a:p>
            </c:rich>
          </c:tx>
          <c:layout>
            <c:manualLayout>
              <c:xMode val="edge"/>
              <c:yMode val="edge"/>
              <c:x val="0.43419272590926133"/>
              <c:y val="0.9179573045172632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Arial"/>
                <a:ea typeface="Arial"/>
                <a:cs typeface="Arial"/>
              </a:defRPr>
            </a:pPr>
            <a:endParaRPr lang="en-US"/>
          </a:p>
        </c:txPr>
        <c:crossAx val="126141568"/>
        <c:crosses val="autoZero"/>
        <c:auto val="1"/>
        <c:lblAlgn val="ctr"/>
        <c:lblOffset val="100"/>
        <c:tickLblSkip val="1"/>
        <c:tickMarkSkip val="1"/>
        <c:noMultiLvlLbl val="0"/>
      </c:catAx>
      <c:valAx>
        <c:axId val="126141568"/>
        <c:scaling>
          <c:orientation val="minMax"/>
        </c:scaling>
        <c:delete val="0"/>
        <c:axPos val="l"/>
        <c:majorGridlines>
          <c:spPr>
            <a:ln w="3175">
              <a:solidFill>
                <a:srgbClr val="000000"/>
              </a:solidFill>
              <a:prstDash val="solid"/>
            </a:ln>
          </c:spPr>
        </c:majorGridlines>
        <c:title>
          <c:tx>
            <c:rich>
              <a:bodyPr/>
              <a:lstStyle/>
              <a:p>
                <a:pPr>
                  <a:defRPr sz="425" b="1" i="0" u="none" strike="noStrike" baseline="0">
                    <a:solidFill>
                      <a:srgbClr val="000000"/>
                    </a:solidFill>
                    <a:latin typeface="Arial"/>
                    <a:ea typeface="Arial"/>
                    <a:cs typeface="Arial"/>
                  </a:defRPr>
                </a:pPr>
                <a:r>
                  <a:rPr lang="en-US"/>
                  <a:t>Pressure (Pa)</a:t>
                </a:r>
              </a:p>
            </c:rich>
          </c:tx>
          <c:layout>
            <c:manualLayout>
              <c:xMode val="edge"/>
              <c:yMode val="edge"/>
              <c:x val="2.1180079762756928E-2"/>
              <c:y val="0.4133210397880592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Arial"/>
                <a:ea typeface="Arial"/>
                <a:cs typeface="Arial"/>
              </a:defRPr>
            </a:pPr>
            <a:endParaRPr lang="en-US"/>
          </a:p>
        </c:txPr>
        <c:crossAx val="126130816"/>
        <c:crosses val="autoZero"/>
        <c:crossBetween val="between"/>
      </c:valAx>
      <c:spPr>
        <a:solidFill>
          <a:srgbClr val="FFFFFF"/>
        </a:solidFill>
        <a:ln w="25400">
          <a:noFill/>
        </a:ln>
      </c:spPr>
    </c:plotArea>
    <c:legend>
      <c:legendPos val="b"/>
      <c:layout>
        <c:manualLayout>
          <c:xMode val="edge"/>
          <c:yMode val="edge"/>
          <c:x val="0.1164907113883492"/>
          <c:y val="0.94679378192480035"/>
          <c:w val="0.8683857245117087"/>
          <c:h val="3.364227012607035E-2"/>
        </c:manualLayout>
      </c:layout>
      <c:overlay val="0"/>
      <c:spPr>
        <a:solidFill>
          <a:srgbClr val="FFFFFF"/>
        </a:solidFill>
        <a:ln w="3175">
          <a:solidFill>
            <a:srgbClr val="000000"/>
          </a:solidFill>
          <a:prstDash val="solid"/>
        </a:ln>
      </c:spPr>
      <c:txPr>
        <a:bodyPr/>
        <a:lstStyle/>
        <a:p>
          <a:pPr>
            <a:defRPr sz="27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550" b="1" i="0" u="none" strike="noStrike" baseline="0">
                <a:solidFill>
                  <a:srgbClr val="000000"/>
                </a:solidFill>
                <a:latin typeface="Arial"/>
                <a:ea typeface="Arial"/>
                <a:cs typeface="Arial"/>
              </a:defRPr>
            </a:pPr>
            <a:r>
              <a:rPr lang="en-US"/>
              <a:t>ANY Fan</a:t>
            </a:r>
          </a:p>
        </c:rich>
      </c:tx>
      <c:layout>
        <c:manualLayout>
          <c:xMode val="edge"/>
          <c:yMode val="edge"/>
          <c:x val="0.4351015295501855"/>
          <c:y val="2.7519129451884207E-2"/>
        </c:manualLayout>
      </c:layout>
      <c:overlay val="0"/>
      <c:spPr>
        <a:noFill/>
        <a:ln w="25400">
          <a:noFill/>
        </a:ln>
      </c:spPr>
    </c:title>
    <c:autoTitleDeleted val="0"/>
    <c:plotArea>
      <c:layout>
        <c:manualLayout>
          <c:layoutTarget val="inner"/>
          <c:xMode val="edge"/>
          <c:yMode val="edge"/>
          <c:x val="6.6829307296946749E-2"/>
          <c:y val="7.6764089252115197E-2"/>
          <c:w val="0.91285989967318748"/>
          <c:h val="0.83426632847581794"/>
        </c:manualLayout>
      </c:layout>
      <c:lineChart>
        <c:grouping val="standard"/>
        <c:varyColors val="0"/>
        <c:ser>
          <c:idx val="0"/>
          <c:order val="0"/>
          <c:tx>
            <c:strRef>
              <c:f>Fans!$A$238</c:f>
              <c:strCache>
                <c:ptCount val="1"/>
                <c:pt idx="0">
                  <c:v>Volume (m³/s)</c:v>
                </c:pt>
              </c:strCache>
            </c:strRef>
          </c:tx>
          <c:spPr>
            <a:ln w="3175">
              <a:solidFill>
                <a:srgbClr val="FFFFFF"/>
              </a:solidFill>
              <a:prstDash val="sysDash"/>
            </a:ln>
          </c:spPr>
          <c:marker>
            <c:symbol val="none"/>
          </c:marker>
          <c:cat>
            <c:numRef>
              <c:f>Fans!$A$239:$A$255</c:f>
              <c:numCache>
                <c:formatCode>General</c:formatCode>
                <c:ptCount val="17"/>
                <c:pt idx="7">
                  <c:v>145</c:v>
                </c:pt>
                <c:pt idx="8">
                  <c:v>140</c:v>
                </c:pt>
                <c:pt idx="9">
                  <c:v>130</c:v>
                </c:pt>
                <c:pt idx="10">
                  <c:v>120</c:v>
                </c:pt>
                <c:pt idx="11">
                  <c:v>110</c:v>
                </c:pt>
                <c:pt idx="12">
                  <c:v>100</c:v>
                </c:pt>
                <c:pt idx="13">
                  <c:v>90</c:v>
                </c:pt>
                <c:pt idx="14">
                  <c:v>80</c:v>
                </c:pt>
                <c:pt idx="15">
                  <c:v>70</c:v>
                </c:pt>
                <c:pt idx="16">
                  <c:v>60</c:v>
                </c:pt>
              </c:numCache>
            </c:numRef>
          </c:cat>
          <c:val>
            <c:numRef>
              <c:f>Fans!$A$239:$A$255</c:f>
              <c:numCache>
                <c:formatCode>General</c:formatCode>
                <c:ptCount val="17"/>
                <c:pt idx="7">
                  <c:v>145</c:v>
                </c:pt>
                <c:pt idx="8">
                  <c:v>140</c:v>
                </c:pt>
                <c:pt idx="9">
                  <c:v>130</c:v>
                </c:pt>
                <c:pt idx="10">
                  <c:v>120</c:v>
                </c:pt>
                <c:pt idx="11">
                  <c:v>110</c:v>
                </c:pt>
                <c:pt idx="12">
                  <c:v>100</c:v>
                </c:pt>
                <c:pt idx="13">
                  <c:v>90</c:v>
                </c:pt>
                <c:pt idx="14">
                  <c:v>80</c:v>
                </c:pt>
                <c:pt idx="15">
                  <c:v>70</c:v>
                </c:pt>
                <c:pt idx="16">
                  <c:v>60</c:v>
                </c:pt>
              </c:numCache>
            </c:numRef>
          </c:val>
          <c:smooth val="0"/>
          <c:extLst>
            <c:ext xmlns:c16="http://schemas.microsoft.com/office/drawing/2014/chart" uri="{C3380CC4-5D6E-409C-BE32-E72D297353CC}">
              <c16:uniqueId val="{00000000-AB97-4FA4-A808-AAC9D74554E6}"/>
            </c:ext>
          </c:extLst>
        </c:ser>
        <c:ser>
          <c:idx val="1"/>
          <c:order val="1"/>
          <c:tx>
            <c:strRef>
              <c:f>Fans!$B$238</c:f>
              <c:strCache>
                <c:ptCount val="1"/>
                <c:pt idx="0">
                  <c:v>Pressure (pa)</c:v>
                </c:pt>
              </c:strCache>
            </c:strRef>
          </c:tx>
          <c:spPr>
            <a:ln w="12700">
              <a:solidFill>
                <a:srgbClr val="000080"/>
              </a:solidFill>
              <a:prstDash val="solid"/>
            </a:ln>
          </c:spPr>
          <c:marker>
            <c:symbol val="diamond"/>
            <c:size val="4"/>
            <c:spPr>
              <a:solidFill>
                <a:srgbClr val="000080"/>
              </a:solidFill>
              <a:ln>
                <a:solidFill>
                  <a:srgbClr val="000080"/>
                </a:solidFill>
                <a:prstDash val="solid"/>
              </a:ln>
            </c:spPr>
          </c:marker>
          <c:cat>
            <c:numRef>
              <c:f>Fans!$A$239:$A$255</c:f>
              <c:numCache>
                <c:formatCode>General</c:formatCode>
                <c:ptCount val="17"/>
                <c:pt idx="7">
                  <c:v>145</c:v>
                </c:pt>
                <c:pt idx="8">
                  <c:v>140</c:v>
                </c:pt>
                <c:pt idx="9">
                  <c:v>130</c:v>
                </c:pt>
                <c:pt idx="10">
                  <c:v>120</c:v>
                </c:pt>
                <c:pt idx="11">
                  <c:v>110</c:v>
                </c:pt>
                <c:pt idx="12">
                  <c:v>100</c:v>
                </c:pt>
                <c:pt idx="13">
                  <c:v>90</c:v>
                </c:pt>
                <c:pt idx="14">
                  <c:v>80</c:v>
                </c:pt>
                <c:pt idx="15">
                  <c:v>70</c:v>
                </c:pt>
                <c:pt idx="16">
                  <c:v>60</c:v>
                </c:pt>
              </c:numCache>
            </c:numRef>
          </c:cat>
          <c:val>
            <c:numRef>
              <c:f>Fans!$B$239:$B$255</c:f>
              <c:numCache>
                <c:formatCode>General</c:formatCode>
                <c:ptCount val="17"/>
                <c:pt idx="7">
                  <c:v>4900</c:v>
                </c:pt>
                <c:pt idx="8">
                  <c:v>5000</c:v>
                </c:pt>
                <c:pt idx="9">
                  <c:v>4930</c:v>
                </c:pt>
                <c:pt idx="10">
                  <c:v>4500</c:v>
                </c:pt>
                <c:pt idx="11">
                  <c:v>3890</c:v>
                </c:pt>
                <c:pt idx="12">
                  <c:v>3180</c:v>
                </c:pt>
                <c:pt idx="13">
                  <c:v>2400</c:v>
                </c:pt>
                <c:pt idx="14">
                  <c:v>1630</c:v>
                </c:pt>
                <c:pt idx="15">
                  <c:v>810</c:v>
                </c:pt>
                <c:pt idx="16">
                  <c:v>0</c:v>
                </c:pt>
              </c:numCache>
            </c:numRef>
          </c:val>
          <c:smooth val="0"/>
          <c:extLst>
            <c:ext xmlns:c16="http://schemas.microsoft.com/office/drawing/2014/chart" uri="{C3380CC4-5D6E-409C-BE32-E72D297353CC}">
              <c16:uniqueId val="{00000001-AB97-4FA4-A808-AAC9D74554E6}"/>
            </c:ext>
          </c:extLst>
        </c:ser>
        <c:ser>
          <c:idx val="2"/>
          <c:order val="2"/>
          <c:tx>
            <c:strRef>
              <c:f>Fans!$C$238</c:f>
              <c:strCache>
                <c:ptCount val="1"/>
                <c:pt idx="0">
                  <c:v>Resistance (pa)</c:v>
                </c:pt>
              </c:strCache>
            </c:strRef>
          </c:tx>
          <c:spPr>
            <a:ln w="12700">
              <a:solidFill>
                <a:srgbClr val="FF0000"/>
              </a:solidFill>
              <a:prstDash val="solid"/>
            </a:ln>
          </c:spPr>
          <c:marker>
            <c:symbol val="triangle"/>
            <c:size val="3"/>
            <c:spPr>
              <a:solidFill>
                <a:srgbClr val="FF0000"/>
              </a:solidFill>
              <a:ln>
                <a:solidFill>
                  <a:srgbClr val="FF0000"/>
                </a:solidFill>
                <a:prstDash val="solid"/>
              </a:ln>
            </c:spPr>
          </c:marker>
          <c:cat>
            <c:numRef>
              <c:f>Fans!$A$239:$A$255</c:f>
              <c:numCache>
                <c:formatCode>General</c:formatCode>
                <c:ptCount val="17"/>
                <c:pt idx="7">
                  <c:v>145</c:v>
                </c:pt>
                <c:pt idx="8">
                  <c:v>140</c:v>
                </c:pt>
                <c:pt idx="9">
                  <c:v>130</c:v>
                </c:pt>
                <c:pt idx="10">
                  <c:v>120</c:v>
                </c:pt>
                <c:pt idx="11">
                  <c:v>110</c:v>
                </c:pt>
                <c:pt idx="12">
                  <c:v>100</c:v>
                </c:pt>
                <c:pt idx="13">
                  <c:v>90</c:v>
                </c:pt>
                <c:pt idx="14">
                  <c:v>80</c:v>
                </c:pt>
                <c:pt idx="15">
                  <c:v>70</c:v>
                </c:pt>
                <c:pt idx="16">
                  <c:v>60</c:v>
                </c:pt>
              </c:numCache>
            </c:numRef>
          </c:cat>
          <c:val>
            <c:numRef>
              <c:f>Fans!$C$239:$C$255</c:f>
              <c:numCache>
                <c:formatCode>0.0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smooth val="0"/>
          <c:extLst>
            <c:ext xmlns:c16="http://schemas.microsoft.com/office/drawing/2014/chart" uri="{C3380CC4-5D6E-409C-BE32-E72D297353CC}">
              <c16:uniqueId val="{00000002-AB97-4FA4-A808-AAC9D74554E6}"/>
            </c:ext>
          </c:extLst>
        </c:ser>
        <c:dLbls>
          <c:showLegendKey val="0"/>
          <c:showVal val="0"/>
          <c:showCatName val="0"/>
          <c:showSerName val="0"/>
          <c:showPercent val="0"/>
          <c:showBubbleSize val="0"/>
        </c:dLbls>
        <c:smooth val="0"/>
        <c:axId val="126171776"/>
        <c:axId val="126207104"/>
      </c:lineChart>
      <c:catAx>
        <c:axId val="126171776"/>
        <c:scaling>
          <c:orientation val="minMax"/>
        </c:scaling>
        <c:delete val="0"/>
        <c:axPos val="b"/>
        <c:title>
          <c:tx>
            <c:rich>
              <a:bodyPr/>
              <a:lstStyle/>
              <a:p>
                <a:pPr>
                  <a:defRPr sz="725" b="1" i="0" u="none" strike="noStrike" baseline="0">
                    <a:solidFill>
                      <a:srgbClr val="000000"/>
                    </a:solidFill>
                    <a:latin typeface="Arial"/>
                    <a:ea typeface="Arial"/>
                    <a:cs typeface="Arial"/>
                  </a:defRPr>
                </a:pPr>
                <a:r>
                  <a:rPr lang="en-US"/>
                  <a:t>Quantity (m³/s)</a:t>
                </a:r>
              </a:p>
            </c:rich>
          </c:tx>
          <c:layout>
            <c:manualLayout>
              <c:xMode val="edge"/>
              <c:yMode val="edge"/>
              <c:x val="0.46638327450448003"/>
              <c:y val="0.9428948023832787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725" b="0" i="0" u="none" strike="noStrike" baseline="0">
                <a:solidFill>
                  <a:srgbClr val="000000"/>
                </a:solidFill>
                <a:latin typeface="Arial"/>
                <a:ea typeface="Arial"/>
                <a:cs typeface="Arial"/>
              </a:defRPr>
            </a:pPr>
            <a:endParaRPr lang="en-US"/>
          </a:p>
        </c:txPr>
        <c:crossAx val="126207104"/>
        <c:crosses val="autoZero"/>
        <c:auto val="1"/>
        <c:lblAlgn val="ctr"/>
        <c:lblOffset val="100"/>
        <c:tickLblSkip val="1"/>
        <c:tickMarkSkip val="1"/>
        <c:noMultiLvlLbl val="0"/>
      </c:catAx>
      <c:valAx>
        <c:axId val="126207104"/>
        <c:scaling>
          <c:orientation val="minMax"/>
        </c:scaling>
        <c:delete val="0"/>
        <c:axPos val="l"/>
        <c:majorGridlines>
          <c:spPr>
            <a:ln w="3175">
              <a:solidFill>
                <a:srgbClr val="000000"/>
              </a:solidFill>
              <a:prstDash val="solid"/>
            </a:ln>
          </c:spPr>
        </c:majorGridlines>
        <c:title>
          <c:tx>
            <c:rich>
              <a:bodyPr/>
              <a:lstStyle/>
              <a:p>
                <a:pPr>
                  <a:defRPr sz="725" b="1" i="0" u="none" strike="noStrike" baseline="0">
                    <a:solidFill>
                      <a:srgbClr val="000000"/>
                    </a:solidFill>
                    <a:latin typeface="Arial"/>
                    <a:ea typeface="Arial"/>
                    <a:cs typeface="Arial"/>
                  </a:defRPr>
                </a:pPr>
                <a:r>
                  <a:rPr lang="en-US"/>
                  <a:t>Pressure (Pa)</a:t>
                </a:r>
              </a:p>
            </c:rich>
          </c:tx>
          <c:layout>
            <c:manualLayout>
              <c:xMode val="edge"/>
              <c:yMode val="edge"/>
              <c:x val="1.7062756810571091E-2"/>
              <c:y val="0.431616989482154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725" b="0" i="0" u="none" strike="noStrike" baseline="0">
                <a:solidFill>
                  <a:srgbClr val="000000"/>
                </a:solidFill>
                <a:latin typeface="Arial"/>
                <a:ea typeface="Arial"/>
                <a:cs typeface="Arial"/>
              </a:defRPr>
            </a:pPr>
            <a:endParaRPr lang="en-US"/>
          </a:p>
        </c:txPr>
        <c:crossAx val="126171776"/>
        <c:crosses val="autoZero"/>
        <c:crossBetween val="between"/>
      </c:valAx>
      <c:spPr>
        <a:solidFill>
          <a:srgbClr val="FFFFFF"/>
        </a:solidFill>
        <a:ln w="25400">
          <a:noFill/>
        </a:ln>
      </c:spPr>
    </c:plotArea>
    <c:legend>
      <c:legendPos val="b"/>
      <c:layout>
        <c:manualLayout>
          <c:xMode val="edge"/>
          <c:yMode val="edge"/>
          <c:x val="0.3170836817811567"/>
          <c:y val="0.96317213632967413"/>
          <c:w val="0.45500805502760427"/>
          <c:h val="2.4622411249688669E-2"/>
        </c:manualLayout>
      </c:layout>
      <c:overlay val="0"/>
      <c:spPr>
        <a:solidFill>
          <a:srgbClr val="FFFFFF"/>
        </a:solidFill>
        <a:ln w="3175">
          <a:solidFill>
            <a:srgbClr val="000000"/>
          </a:solidFill>
          <a:prstDash val="solid"/>
        </a:ln>
      </c:spPr>
      <c:txPr>
        <a:bodyPr/>
        <a:lstStyle/>
        <a:p>
          <a:pPr>
            <a:defRPr sz="47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1" i="0" u="none" strike="noStrike" baseline="0">
                <a:solidFill>
                  <a:srgbClr val="000000"/>
                </a:solidFill>
                <a:latin typeface="Arial"/>
                <a:ea typeface="Arial"/>
                <a:cs typeface="Arial"/>
              </a:defRPr>
            </a:pPr>
            <a:r>
              <a:rPr lang="en-US"/>
              <a:t>45kW Fan</a:t>
            </a:r>
          </a:p>
        </c:rich>
      </c:tx>
      <c:layout>
        <c:manualLayout>
          <c:xMode val="edge"/>
          <c:yMode val="edge"/>
          <c:x val="0.39481295128565363"/>
          <c:y val="3.1239335639705077E-2"/>
        </c:manualLayout>
      </c:layout>
      <c:overlay val="0"/>
      <c:spPr>
        <a:noFill/>
        <a:ln w="25400">
          <a:noFill/>
        </a:ln>
      </c:spPr>
    </c:title>
    <c:autoTitleDeleted val="0"/>
    <c:plotArea>
      <c:layout>
        <c:manualLayout>
          <c:layoutTarget val="inner"/>
          <c:xMode val="edge"/>
          <c:yMode val="edge"/>
          <c:x val="0.16719992493140856"/>
          <c:y val="7.8671565043542287E-3"/>
          <c:w val="0.81331543907077497"/>
          <c:h val="0.78579075629438644"/>
        </c:manualLayout>
      </c:layout>
      <c:lineChart>
        <c:grouping val="standard"/>
        <c:varyColors val="0"/>
        <c:ser>
          <c:idx val="0"/>
          <c:order val="0"/>
          <c:tx>
            <c:strRef>
              <c:f>Fans!$A$136</c:f>
              <c:strCache>
                <c:ptCount val="1"/>
                <c:pt idx="0">
                  <c:v>Volume (m³/s)</c:v>
                </c:pt>
              </c:strCache>
            </c:strRef>
          </c:tx>
          <c:spPr>
            <a:ln w="3175">
              <a:solidFill>
                <a:srgbClr val="000000"/>
              </a:solidFill>
              <a:prstDash val="solid"/>
            </a:ln>
          </c:spPr>
          <c:marker>
            <c:symbol val="none"/>
          </c:marker>
          <c:cat>
            <c:numRef>
              <c:f>Fans!$A$137:$A$152</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Fans!$A$137:$A$152</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val>
          <c:smooth val="0"/>
          <c:extLst>
            <c:ext xmlns:c16="http://schemas.microsoft.com/office/drawing/2014/chart" uri="{C3380CC4-5D6E-409C-BE32-E72D297353CC}">
              <c16:uniqueId val="{00000000-E72E-430D-9BD6-7EADF6E4C5A4}"/>
            </c:ext>
          </c:extLst>
        </c:ser>
        <c:ser>
          <c:idx val="1"/>
          <c:order val="1"/>
          <c:tx>
            <c:strRef>
              <c:f>Fans!$B$136</c:f>
              <c:strCache>
                <c:ptCount val="1"/>
                <c:pt idx="0">
                  <c:v>Pressure (pa)</c:v>
                </c:pt>
              </c:strCache>
            </c:strRef>
          </c:tx>
          <c:spPr>
            <a:ln w="12700">
              <a:solidFill>
                <a:srgbClr val="000080"/>
              </a:solidFill>
              <a:prstDash val="solid"/>
            </a:ln>
          </c:spPr>
          <c:marker>
            <c:symbol val="diamond"/>
            <c:size val="4"/>
            <c:spPr>
              <a:solidFill>
                <a:srgbClr val="000080"/>
              </a:solidFill>
              <a:ln>
                <a:solidFill>
                  <a:srgbClr val="000080"/>
                </a:solidFill>
                <a:prstDash val="solid"/>
              </a:ln>
            </c:spPr>
          </c:marker>
          <c:cat>
            <c:numRef>
              <c:f>Fans!$A$137:$A$152</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Fans!$B$137:$B$152</c:f>
              <c:numCache>
                <c:formatCode>General</c:formatCode>
                <c:ptCount val="16"/>
                <c:pt idx="0">
                  <c:v>3500</c:v>
                </c:pt>
                <c:pt idx="1">
                  <c:v>3300</c:v>
                </c:pt>
                <c:pt idx="2">
                  <c:v>2900</c:v>
                </c:pt>
                <c:pt idx="3">
                  <c:v>2600</c:v>
                </c:pt>
                <c:pt idx="4">
                  <c:v>2300</c:v>
                </c:pt>
                <c:pt idx="5">
                  <c:v>1900</c:v>
                </c:pt>
                <c:pt idx="6">
                  <c:v>1800</c:v>
                </c:pt>
                <c:pt idx="7">
                  <c:v>1800</c:v>
                </c:pt>
                <c:pt idx="8">
                  <c:v>2100</c:v>
                </c:pt>
                <c:pt idx="9">
                  <c:v>2400</c:v>
                </c:pt>
                <c:pt idx="10">
                  <c:v>2350</c:v>
                </c:pt>
                <c:pt idx="11">
                  <c:v>2000</c:v>
                </c:pt>
                <c:pt idx="12">
                  <c:v>1400</c:v>
                </c:pt>
                <c:pt idx="13">
                  <c:v>850</c:v>
                </c:pt>
                <c:pt idx="14">
                  <c:v>300</c:v>
                </c:pt>
                <c:pt idx="15">
                  <c:v>0</c:v>
                </c:pt>
              </c:numCache>
            </c:numRef>
          </c:val>
          <c:smooth val="0"/>
          <c:extLst>
            <c:ext xmlns:c16="http://schemas.microsoft.com/office/drawing/2014/chart" uri="{C3380CC4-5D6E-409C-BE32-E72D297353CC}">
              <c16:uniqueId val="{00000001-E72E-430D-9BD6-7EADF6E4C5A4}"/>
            </c:ext>
          </c:extLst>
        </c:ser>
        <c:dLbls>
          <c:showLegendKey val="0"/>
          <c:showVal val="0"/>
          <c:showCatName val="0"/>
          <c:showSerName val="0"/>
          <c:showPercent val="0"/>
          <c:showBubbleSize val="0"/>
        </c:dLbls>
        <c:smooth val="0"/>
        <c:axId val="126244736"/>
        <c:axId val="126251392"/>
      </c:lineChart>
      <c:catAx>
        <c:axId val="126244736"/>
        <c:scaling>
          <c:orientation val="minMax"/>
        </c:scaling>
        <c:delete val="0"/>
        <c:axPos val="b"/>
        <c:title>
          <c:tx>
            <c:rich>
              <a:bodyPr/>
              <a:lstStyle/>
              <a:p>
                <a:pPr>
                  <a:defRPr sz="400" b="1" i="0" u="none" strike="noStrike" baseline="0">
                    <a:solidFill>
                      <a:srgbClr val="000000"/>
                    </a:solidFill>
                    <a:latin typeface="Arial"/>
                    <a:ea typeface="Arial"/>
                    <a:cs typeface="Arial"/>
                  </a:defRPr>
                </a:pPr>
                <a:r>
                  <a:rPr lang="en-US"/>
                  <a:t>Quantity (m³/s)</a:t>
                </a:r>
              </a:p>
            </c:rich>
          </c:tx>
          <c:layout>
            <c:manualLayout>
              <c:xMode val="edge"/>
              <c:yMode val="edge"/>
              <c:x val="0.42639853628254976"/>
              <c:y val="0.9179572434161434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00" b="0" i="0" u="none" strike="noStrike" baseline="0">
                <a:solidFill>
                  <a:srgbClr val="000000"/>
                </a:solidFill>
                <a:latin typeface="Arial"/>
                <a:ea typeface="Arial"/>
                <a:cs typeface="Arial"/>
              </a:defRPr>
            </a:pPr>
            <a:endParaRPr lang="en-US"/>
          </a:p>
        </c:txPr>
        <c:crossAx val="126251392"/>
        <c:crosses val="autoZero"/>
        <c:auto val="1"/>
        <c:lblAlgn val="ctr"/>
        <c:lblOffset val="100"/>
        <c:tickLblSkip val="1"/>
        <c:tickMarkSkip val="1"/>
        <c:noMultiLvlLbl val="0"/>
      </c:catAx>
      <c:valAx>
        <c:axId val="126251392"/>
        <c:scaling>
          <c:orientation val="minMax"/>
        </c:scaling>
        <c:delete val="0"/>
        <c:axPos val="l"/>
        <c:majorGridlines>
          <c:spPr>
            <a:ln w="3175">
              <a:solidFill>
                <a:srgbClr val="000000"/>
              </a:solidFill>
              <a:prstDash val="solid"/>
            </a:ln>
          </c:spPr>
        </c:majorGridlines>
        <c:title>
          <c:tx>
            <c:rich>
              <a:bodyPr/>
              <a:lstStyle/>
              <a:p>
                <a:pPr>
                  <a:defRPr sz="400" b="1" i="0" u="none" strike="noStrike" baseline="0">
                    <a:solidFill>
                      <a:srgbClr val="000000"/>
                    </a:solidFill>
                    <a:latin typeface="Arial"/>
                    <a:ea typeface="Arial"/>
                    <a:cs typeface="Arial"/>
                  </a:defRPr>
                </a:pPr>
                <a:r>
                  <a:rPr lang="en-US"/>
                  <a:t>Pressure (Pa)</a:t>
                </a:r>
              </a:p>
            </c:rich>
          </c:tx>
          <c:layout>
            <c:manualLayout>
              <c:xMode val="edge"/>
              <c:yMode val="edge"/>
              <c:x val="1.9740800034850417E-2"/>
              <c:y val="0.4205302567795327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00" b="0" i="0" u="none" strike="noStrike" baseline="0">
                <a:solidFill>
                  <a:srgbClr val="000000"/>
                </a:solidFill>
                <a:latin typeface="Arial"/>
                <a:ea typeface="Arial"/>
                <a:cs typeface="Arial"/>
              </a:defRPr>
            </a:pPr>
            <a:endParaRPr lang="en-US"/>
          </a:p>
        </c:txPr>
        <c:crossAx val="126244736"/>
        <c:crosses val="autoZero"/>
        <c:crossBetween val="between"/>
      </c:valAx>
      <c:spPr>
        <a:solidFill>
          <a:srgbClr val="FFFFFF"/>
        </a:solidFill>
        <a:ln w="25400">
          <a:noFill/>
        </a:ln>
      </c:spPr>
    </c:plotArea>
    <c:legend>
      <c:legendPos val="b"/>
      <c:layout>
        <c:manualLayout>
          <c:xMode val="edge"/>
          <c:yMode val="edge"/>
          <c:x val="0.29216170592783786"/>
          <c:y val="0.94679398673575343"/>
          <c:w val="0.54089413097221772"/>
          <c:h val="3.3642554124074464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1" i="0" u="none" strike="noStrike" baseline="0">
                <a:solidFill>
                  <a:srgbClr val="000000"/>
                </a:solidFill>
                <a:latin typeface="Arial"/>
                <a:ea typeface="Arial"/>
                <a:cs typeface="Arial"/>
              </a:defRPr>
            </a:pPr>
            <a:r>
              <a:rPr lang="en-US"/>
              <a:t>75kW  Series Fan</a:t>
            </a:r>
          </a:p>
        </c:rich>
      </c:tx>
      <c:layout>
        <c:manualLayout>
          <c:xMode val="edge"/>
          <c:yMode val="edge"/>
          <c:x val="0.39536259625005432"/>
          <c:y val="3.1239787334275525E-2"/>
        </c:manualLayout>
      </c:layout>
      <c:overlay val="0"/>
      <c:spPr>
        <a:noFill/>
        <a:ln w="25400">
          <a:noFill/>
        </a:ln>
      </c:spPr>
    </c:title>
    <c:autoTitleDeleted val="0"/>
    <c:plotArea>
      <c:layout>
        <c:manualLayout>
          <c:layoutTarget val="inner"/>
          <c:xMode val="edge"/>
          <c:yMode val="edge"/>
          <c:x val="0.11649076399663662"/>
          <c:y val="9.1315133758980677E-2"/>
          <c:w val="0.83308546373352255"/>
          <c:h val="0.73824098101844138"/>
        </c:manualLayout>
      </c:layout>
      <c:lineChart>
        <c:grouping val="standard"/>
        <c:varyColors val="0"/>
        <c:ser>
          <c:idx val="0"/>
          <c:order val="0"/>
          <c:tx>
            <c:strRef>
              <c:f>Fans!$I$199</c:f>
              <c:strCache>
                <c:ptCount val="1"/>
                <c:pt idx="0">
                  <c:v>Volume (m³/s)</c:v>
                </c:pt>
              </c:strCache>
            </c:strRef>
          </c:tx>
          <c:spPr>
            <a:ln w="3175">
              <a:solidFill>
                <a:srgbClr val="808080"/>
              </a:solidFill>
              <a:prstDash val="sysDash"/>
            </a:ln>
          </c:spPr>
          <c:marker>
            <c:symbol val="none"/>
          </c:marker>
          <c:cat>
            <c:numRef>
              <c:f>Fans!$A$199:$A$225</c:f>
              <c:numCache>
                <c:formatCode>General</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Fans!$I$200:$I$226</c:f>
              <c:numCache>
                <c:formatCode>General</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val>
          <c:smooth val="0"/>
          <c:extLst>
            <c:ext xmlns:c16="http://schemas.microsoft.com/office/drawing/2014/chart" uri="{C3380CC4-5D6E-409C-BE32-E72D297353CC}">
              <c16:uniqueId val="{00000000-D054-4645-806B-69B61AAA0041}"/>
            </c:ext>
          </c:extLst>
        </c:ser>
        <c:ser>
          <c:idx val="1"/>
          <c:order val="1"/>
          <c:tx>
            <c:strRef>
              <c:f>Fans!$J$199</c:f>
              <c:strCache>
                <c:ptCount val="1"/>
                <c:pt idx="0">
                  <c:v>Pressure (pa)</c:v>
                </c:pt>
              </c:strCache>
            </c:strRef>
          </c:tx>
          <c:spPr>
            <a:ln w="12700">
              <a:solidFill>
                <a:srgbClr val="000080"/>
              </a:solidFill>
              <a:prstDash val="solid"/>
            </a:ln>
          </c:spPr>
          <c:marker>
            <c:symbol val="diamond"/>
            <c:size val="4"/>
            <c:spPr>
              <a:solidFill>
                <a:srgbClr val="000080"/>
              </a:solidFill>
              <a:ln>
                <a:solidFill>
                  <a:srgbClr val="000080"/>
                </a:solidFill>
                <a:prstDash val="solid"/>
              </a:ln>
            </c:spPr>
          </c:marker>
          <c:cat>
            <c:numRef>
              <c:f>Fans!$A$199:$A$225</c:f>
              <c:numCache>
                <c:formatCode>General</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Fans!$J$200:$J$226</c:f>
              <c:numCache>
                <c:formatCode>General</c:formatCode>
                <c:ptCount val="27"/>
                <c:pt idx="16">
                  <c:v>2360</c:v>
                </c:pt>
                <c:pt idx="17">
                  <c:v>2310</c:v>
                </c:pt>
                <c:pt idx="18">
                  <c:v>2220</c:v>
                </c:pt>
                <c:pt idx="19">
                  <c:v>2040</c:v>
                </c:pt>
                <c:pt idx="20">
                  <c:v>1815</c:v>
                </c:pt>
                <c:pt idx="21">
                  <c:v>1580</c:v>
                </c:pt>
                <c:pt idx="22">
                  <c:v>1300</c:v>
                </c:pt>
                <c:pt idx="23">
                  <c:v>1000</c:v>
                </c:pt>
                <c:pt idx="24">
                  <c:v>680</c:v>
                </c:pt>
                <c:pt idx="25">
                  <c:v>350</c:v>
                </c:pt>
                <c:pt idx="26">
                  <c:v>0</c:v>
                </c:pt>
              </c:numCache>
            </c:numRef>
          </c:val>
          <c:smooth val="0"/>
          <c:extLst>
            <c:ext xmlns:c16="http://schemas.microsoft.com/office/drawing/2014/chart" uri="{C3380CC4-5D6E-409C-BE32-E72D297353CC}">
              <c16:uniqueId val="{00000001-D054-4645-806B-69B61AAA0041}"/>
            </c:ext>
          </c:extLst>
        </c:ser>
        <c:ser>
          <c:idx val="2"/>
          <c:order val="2"/>
          <c:tx>
            <c:strRef>
              <c:f>Fans!$L$199</c:f>
              <c:strCache>
                <c:ptCount val="1"/>
                <c:pt idx="0">
                  <c:v>Resistance (pa)</c:v>
                </c:pt>
              </c:strCache>
            </c:strRef>
          </c:tx>
          <c:spPr>
            <a:ln w="12700">
              <a:solidFill>
                <a:srgbClr val="FF0000"/>
              </a:solidFill>
              <a:prstDash val="solid"/>
            </a:ln>
          </c:spPr>
          <c:marker>
            <c:symbol val="triangle"/>
            <c:size val="3"/>
            <c:spPr>
              <a:solidFill>
                <a:srgbClr val="FF0000"/>
              </a:solidFill>
              <a:ln>
                <a:solidFill>
                  <a:srgbClr val="FF0000"/>
                </a:solidFill>
                <a:prstDash val="solid"/>
              </a:ln>
            </c:spPr>
          </c:marker>
          <c:cat>
            <c:numRef>
              <c:f>Fans!$A$199:$A$225</c:f>
              <c:numCache>
                <c:formatCode>General</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Fans!$L$200:$L$226</c:f>
              <c:numCache>
                <c:formatCode>0.0</c:formatCode>
                <c:ptCount val="27"/>
                <c:pt idx="0">
                  <c:v>9.1</c:v>
                </c:pt>
                <c:pt idx="1">
                  <c:v>36.4</c:v>
                </c:pt>
                <c:pt idx="2">
                  <c:v>81.899999999999991</c:v>
                </c:pt>
                <c:pt idx="3">
                  <c:v>145.6</c:v>
                </c:pt>
                <c:pt idx="4">
                  <c:v>227.5</c:v>
                </c:pt>
                <c:pt idx="5">
                  <c:v>327.59999999999997</c:v>
                </c:pt>
                <c:pt idx="6">
                  <c:v>445.9</c:v>
                </c:pt>
                <c:pt idx="7">
                  <c:v>582.4</c:v>
                </c:pt>
                <c:pt idx="8">
                  <c:v>737.1</c:v>
                </c:pt>
                <c:pt idx="9">
                  <c:v>910</c:v>
                </c:pt>
                <c:pt idx="10">
                  <c:v>1101.0999999999999</c:v>
                </c:pt>
                <c:pt idx="11">
                  <c:v>1310.3999999999999</c:v>
                </c:pt>
                <c:pt idx="12">
                  <c:v>1537.8999999999999</c:v>
                </c:pt>
                <c:pt idx="13">
                  <c:v>1783.6</c:v>
                </c:pt>
                <c:pt idx="14">
                  <c:v>2047.5</c:v>
                </c:pt>
                <c:pt idx="15">
                  <c:v>2329.6</c:v>
                </c:pt>
                <c:pt idx="16">
                  <c:v>2629.9</c:v>
                </c:pt>
                <c:pt idx="17">
                  <c:v>2948.4</c:v>
                </c:pt>
                <c:pt idx="18">
                  <c:v>3285.1</c:v>
                </c:pt>
                <c:pt idx="19">
                  <c:v>3640</c:v>
                </c:pt>
                <c:pt idx="20">
                  <c:v>4013.1</c:v>
                </c:pt>
              </c:numCache>
            </c:numRef>
          </c:val>
          <c:smooth val="0"/>
          <c:extLst>
            <c:ext xmlns:c16="http://schemas.microsoft.com/office/drawing/2014/chart" uri="{C3380CC4-5D6E-409C-BE32-E72D297353CC}">
              <c16:uniqueId val="{00000002-D054-4645-806B-69B61AAA0041}"/>
            </c:ext>
          </c:extLst>
        </c:ser>
        <c:ser>
          <c:idx val="3"/>
          <c:order val="3"/>
          <c:tx>
            <c:strRef>
              <c:f>Fans!$K$199</c:f>
              <c:strCache>
                <c:ptCount val="1"/>
                <c:pt idx="0">
                  <c:v>Series Fan (pa)</c:v>
                </c:pt>
              </c:strCache>
            </c:strRef>
          </c:tx>
          <c:marker>
            <c:symbol val="none"/>
          </c:marker>
          <c:cat>
            <c:numRef>
              <c:f>Fans!$A$199:$A$225</c:f>
              <c:numCache>
                <c:formatCode>General</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Fans!$K$200:$K$226</c:f>
              <c:numCache>
                <c:formatCode>General</c:formatCode>
                <c:ptCount val="27"/>
                <c:pt idx="16">
                  <c:v>4720</c:v>
                </c:pt>
                <c:pt idx="17">
                  <c:v>4620</c:v>
                </c:pt>
                <c:pt idx="18">
                  <c:v>4440</c:v>
                </c:pt>
                <c:pt idx="19">
                  <c:v>4080</c:v>
                </c:pt>
                <c:pt idx="20">
                  <c:v>3630</c:v>
                </c:pt>
                <c:pt idx="21">
                  <c:v>3160</c:v>
                </c:pt>
                <c:pt idx="22">
                  <c:v>2600</c:v>
                </c:pt>
                <c:pt idx="23">
                  <c:v>2000</c:v>
                </c:pt>
                <c:pt idx="24">
                  <c:v>1360</c:v>
                </c:pt>
                <c:pt idx="25">
                  <c:v>700</c:v>
                </c:pt>
                <c:pt idx="26">
                  <c:v>0</c:v>
                </c:pt>
              </c:numCache>
            </c:numRef>
          </c:val>
          <c:smooth val="0"/>
          <c:extLst>
            <c:ext xmlns:c16="http://schemas.microsoft.com/office/drawing/2014/chart" uri="{C3380CC4-5D6E-409C-BE32-E72D297353CC}">
              <c16:uniqueId val="{00000003-D054-4645-806B-69B61AAA0041}"/>
            </c:ext>
          </c:extLst>
        </c:ser>
        <c:dLbls>
          <c:showLegendKey val="0"/>
          <c:showVal val="0"/>
          <c:showCatName val="0"/>
          <c:showSerName val="0"/>
          <c:showPercent val="0"/>
          <c:showBubbleSize val="0"/>
        </c:dLbls>
        <c:smooth val="0"/>
        <c:axId val="126299136"/>
        <c:axId val="126301312"/>
      </c:lineChart>
      <c:catAx>
        <c:axId val="126299136"/>
        <c:scaling>
          <c:orientation val="minMax"/>
        </c:scaling>
        <c:delete val="0"/>
        <c:axPos val="b"/>
        <c:title>
          <c:tx>
            <c:rich>
              <a:bodyPr/>
              <a:lstStyle/>
              <a:p>
                <a:pPr>
                  <a:defRPr sz="1100" b="1" i="0" u="none" strike="noStrike" baseline="0">
                    <a:solidFill>
                      <a:srgbClr val="000000"/>
                    </a:solidFill>
                    <a:latin typeface="Arial"/>
                    <a:ea typeface="Arial"/>
                    <a:cs typeface="Arial"/>
                  </a:defRPr>
                </a:pPr>
                <a:r>
                  <a:rPr lang="en-US"/>
                  <a:t>Quantity (m³/s)</a:t>
                </a:r>
              </a:p>
            </c:rich>
          </c:tx>
          <c:layout>
            <c:manualLayout>
              <c:xMode val="edge"/>
              <c:yMode val="edge"/>
              <c:x val="0.43663403952958918"/>
              <c:y val="0.8704077887699934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Arial"/>
                <a:ea typeface="Arial"/>
                <a:cs typeface="Arial"/>
              </a:defRPr>
            </a:pPr>
            <a:endParaRPr lang="en-US"/>
          </a:p>
        </c:txPr>
        <c:crossAx val="126301312"/>
        <c:crosses val="autoZero"/>
        <c:auto val="1"/>
        <c:lblAlgn val="ctr"/>
        <c:lblOffset val="100"/>
        <c:tickLblSkip val="1"/>
        <c:tickMarkSkip val="1"/>
        <c:noMultiLvlLbl val="0"/>
      </c:catAx>
      <c:valAx>
        <c:axId val="1263013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Pressure (Pa)</a:t>
                </a:r>
              </a:p>
            </c:rich>
          </c:tx>
          <c:layout>
            <c:manualLayout>
              <c:xMode val="edge"/>
              <c:yMode val="edge"/>
              <c:x val="2.1180087295717867E-2"/>
              <c:y val="0.4133211297305785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Arial"/>
                <a:ea typeface="Arial"/>
                <a:cs typeface="Arial"/>
              </a:defRPr>
            </a:pPr>
            <a:endParaRPr lang="en-US"/>
          </a:p>
        </c:txPr>
        <c:crossAx val="126299136"/>
        <c:crosses val="autoZero"/>
        <c:crossBetween val="between"/>
      </c:valAx>
      <c:spPr>
        <a:solidFill>
          <a:srgbClr val="FFFFFF"/>
        </a:solidFill>
        <a:ln w="25400">
          <a:noFill/>
        </a:ln>
      </c:spPr>
    </c:plotArea>
    <c:legend>
      <c:legendPos val="b"/>
      <c:layout>
        <c:manualLayout>
          <c:xMode val="edge"/>
          <c:yMode val="edge"/>
          <c:x val="9.6959730862371474E-2"/>
          <c:y val="0.91735827893308219"/>
          <c:w val="0.88350942320055292"/>
          <c:h val="6.9056060300154765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25"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1" i="0" u="none" strike="noStrike" baseline="0">
                <a:solidFill>
                  <a:srgbClr val="000000"/>
                </a:solidFill>
                <a:latin typeface="Arial"/>
                <a:ea typeface="Arial"/>
                <a:cs typeface="Arial"/>
              </a:defRPr>
            </a:pPr>
            <a:r>
              <a:rPr lang="en-US"/>
              <a:t>75kW Fan</a:t>
            </a:r>
          </a:p>
        </c:rich>
      </c:tx>
      <c:layout>
        <c:manualLayout>
          <c:xMode val="edge"/>
          <c:yMode val="edge"/>
          <c:x val="0.39481293295251918"/>
          <c:y val="3.1239348506094274E-2"/>
        </c:manualLayout>
      </c:layout>
      <c:overlay val="0"/>
      <c:spPr>
        <a:noFill/>
        <a:ln w="25400">
          <a:noFill/>
        </a:ln>
      </c:spPr>
    </c:title>
    <c:autoTitleDeleted val="0"/>
    <c:plotArea>
      <c:layout>
        <c:manualLayout>
          <c:layoutTarget val="inner"/>
          <c:xMode val="edge"/>
          <c:yMode val="edge"/>
          <c:x val="0.10324647857180624"/>
          <c:y val="0.10688662327681264"/>
          <c:w val="0.81331543907077519"/>
          <c:h val="0.78579075629438688"/>
        </c:manualLayout>
      </c:layout>
      <c:lineChart>
        <c:grouping val="standard"/>
        <c:varyColors val="0"/>
        <c:ser>
          <c:idx val="0"/>
          <c:order val="0"/>
          <c:tx>
            <c:strRef>
              <c:f>Fans!$A$198</c:f>
              <c:strCache>
                <c:ptCount val="1"/>
                <c:pt idx="0">
                  <c:v>Volume (m³/s)</c:v>
                </c:pt>
              </c:strCache>
            </c:strRef>
          </c:tx>
          <c:spPr>
            <a:ln w="3175">
              <a:solidFill>
                <a:srgbClr val="000000"/>
              </a:solidFill>
              <a:prstDash val="solid"/>
            </a:ln>
          </c:spPr>
          <c:marker>
            <c:symbol val="none"/>
          </c:marker>
          <c:cat>
            <c:numRef>
              <c:f>Fans!$A$199:$A$225</c:f>
              <c:numCache>
                <c:formatCode>General</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Fans!$A$199:$A$225</c:f>
              <c:numCache>
                <c:formatCode>General</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val>
          <c:smooth val="0"/>
          <c:extLst>
            <c:ext xmlns:c16="http://schemas.microsoft.com/office/drawing/2014/chart" uri="{C3380CC4-5D6E-409C-BE32-E72D297353CC}">
              <c16:uniqueId val="{00000000-6778-49CC-8902-19148A5F32D6}"/>
            </c:ext>
          </c:extLst>
        </c:ser>
        <c:ser>
          <c:idx val="1"/>
          <c:order val="1"/>
          <c:tx>
            <c:strRef>
              <c:f>Fans!$B$198</c:f>
              <c:strCache>
                <c:ptCount val="1"/>
                <c:pt idx="0">
                  <c:v>Pressure (pa)</c:v>
                </c:pt>
              </c:strCache>
            </c:strRef>
          </c:tx>
          <c:spPr>
            <a:ln w="12700">
              <a:solidFill>
                <a:srgbClr val="000080"/>
              </a:solidFill>
              <a:prstDash val="solid"/>
            </a:ln>
          </c:spPr>
          <c:marker>
            <c:symbol val="diamond"/>
            <c:size val="4"/>
            <c:spPr>
              <a:solidFill>
                <a:srgbClr val="000080"/>
              </a:solidFill>
              <a:ln>
                <a:solidFill>
                  <a:srgbClr val="000080"/>
                </a:solidFill>
                <a:prstDash val="solid"/>
              </a:ln>
            </c:spPr>
          </c:marker>
          <c:cat>
            <c:numRef>
              <c:f>Fans!$A$199:$A$225</c:f>
              <c:numCache>
                <c:formatCode>General</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Fans!$B$199:$B$225</c:f>
              <c:numCache>
                <c:formatCode>General</c:formatCode>
                <c:ptCount val="27"/>
                <c:pt idx="16">
                  <c:v>2360</c:v>
                </c:pt>
                <c:pt idx="17">
                  <c:v>2310</c:v>
                </c:pt>
                <c:pt idx="18">
                  <c:v>2220</c:v>
                </c:pt>
                <c:pt idx="19">
                  <c:v>2040</c:v>
                </c:pt>
                <c:pt idx="20">
                  <c:v>1815</c:v>
                </c:pt>
                <c:pt idx="21">
                  <c:v>1580</c:v>
                </c:pt>
                <c:pt idx="22">
                  <c:v>1300</c:v>
                </c:pt>
                <c:pt idx="23">
                  <c:v>1000</c:v>
                </c:pt>
                <c:pt idx="24">
                  <c:v>680</c:v>
                </c:pt>
                <c:pt idx="25">
                  <c:v>350</c:v>
                </c:pt>
                <c:pt idx="26">
                  <c:v>0</c:v>
                </c:pt>
              </c:numCache>
            </c:numRef>
          </c:val>
          <c:smooth val="0"/>
          <c:extLst>
            <c:ext xmlns:c16="http://schemas.microsoft.com/office/drawing/2014/chart" uri="{C3380CC4-5D6E-409C-BE32-E72D297353CC}">
              <c16:uniqueId val="{00000001-6778-49CC-8902-19148A5F32D6}"/>
            </c:ext>
          </c:extLst>
        </c:ser>
        <c:dLbls>
          <c:showLegendKey val="0"/>
          <c:showVal val="0"/>
          <c:showCatName val="0"/>
          <c:showSerName val="0"/>
          <c:showPercent val="0"/>
          <c:showBubbleSize val="0"/>
        </c:dLbls>
        <c:smooth val="0"/>
        <c:axId val="126343040"/>
        <c:axId val="125895040"/>
      </c:lineChart>
      <c:catAx>
        <c:axId val="126343040"/>
        <c:scaling>
          <c:orientation val="minMax"/>
        </c:scaling>
        <c:delete val="0"/>
        <c:axPos val="b"/>
        <c:title>
          <c:tx>
            <c:rich>
              <a:bodyPr/>
              <a:lstStyle/>
              <a:p>
                <a:pPr>
                  <a:defRPr sz="400" b="1" i="0" u="none" strike="noStrike" baseline="0">
                    <a:solidFill>
                      <a:srgbClr val="000000"/>
                    </a:solidFill>
                    <a:latin typeface="Arial"/>
                    <a:ea typeface="Arial"/>
                    <a:cs typeface="Arial"/>
                  </a:defRPr>
                </a:pPr>
                <a:r>
                  <a:rPr lang="en-US"/>
                  <a:t>Quantity (m³/s)</a:t>
                </a:r>
              </a:p>
            </c:rich>
          </c:tx>
          <c:layout>
            <c:manualLayout>
              <c:xMode val="edge"/>
              <c:yMode val="edge"/>
              <c:x val="0.42639862401969292"/>
              <c:y val="0.9179572502067379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00" b="0" i="0" u="none" strike="noStrike" baseline="0">
                <a:solidFill>
                  <a:srgbClr val="000000"/>
                </a:solidFill>
                <a:latin typeface="Arial"/>
                <a:ea typeface="Arial"/>
                <a:cs typeface="Arial"/>
              </a:defRPr>
            </a:pPr>
            <a:endParaRPr lang="en-US"/>
          </a:p>
        </c:txPr>
        <c:crossAx val="125895040"/>
        <c:crosses val="autoZero"/>
        <c:auto val="1"/>
        <c:lblAlgn val="ctr"/>
        <c:lblOffset val="100"/>
        <c:tickLblSkip val="1"/>
        <c:tickMarkSkip val="1"/>
        <c:noMultiLvlLbl val="0"/>
      </c:catAx>
      <c:valAx>
        <c:axId val="12589504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Pressure (Pa)</a:t>
                </a:r>
              </a:p>
            </c:rich>
          </c:tx>
          <c:layout>
            <c:manualLayout>
              <c:xMode val="edge"/>
              <c:yMode val="edge"/>
              <c:x val="1.9740899121076801E-2"/>
              <c:y val="0.420530327544673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00" b="0" i="0" u="none" strike="noStrike" baseline="0">
                <a:solidFill>
                  <a:srgbClr val="000000"/>
                </a:solidFill>
                <a:latin typeface="Arial"/>
                <a:ea typeface="Arial"/>
                <a:cs typeface="Arial"/>
              </a:defRPr>
            </a:pPr>
            <a:endParaRPr lang="en-US"/>
          </a:p>
        </c:txPr>
        <c:crossAx val="126343040"/>
        <c:crosses val="autoZero"/>
        <c:crossBetween val="between"/>
      </c:valAx>
      <c:spPr>
        <a:solidFill>
          <a:srgbClr val="FFFFFF"/>
        </a:solidFill>
        <a:ln w="25400">
          <a:noFill/>
        </a:ln>
      </c:spPr>
    </c:plotArea>
    <c:legend>
      <c:legendPos val="b"/>
      <c:layout>
        <c:manualLayout>
          <c:xMode val="edge"/>
          <c:yMode val="edge"/>
          <c:x val="0.29216164612689943"/>
          <c:y val="0.94679394527738825"/>
          <c:w val="0.54089407160778247"/>
          <c:h val="3.3642541257685288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0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550" b="1" i="0" u="none" strike="noStrike" baseline="0">
                <a:solidFill>
                  <a:srgbClr val="000000"/>
                </a:solidFill>
                <a:latin typeface="Arial"/>
                <a:ea typeface="Arial"/>
                <a:cs typeface="Arial"/>
              </a:defRPr>
            </a:pPr>
            <a:r>
              <a:rPr lang="en-US"/>
              <a:t>CC1254 Twin Stage Contra Rotating 2 x 55kW Axial Fan</a:t>
            </a:r>
          </a:p>
        </c:rich>
      </c:tx>
      <c:layout>
        <c:manualLayout>
          <c:xMode val="edge"/>
          <c:yMode val="edge"/>
          <c:x val="0.12046473171727831"/>
          <c:y val="2.0297075778188525E-2"/>
        </c:manualLayout>
      </c:layout>
      <c:overlay val="0"/>
      <c:spPr>
        <a:noFill/>
        <a:ln w="25400">
          <a:noFill/>
        </a:ln>
      </c:spPr>
    </c:title>
    <c:autoTitleDeleted val="0"/>
    <c:plotArea>
      <c:layout>
        <c:manualLayout>
          <c:layoutTarget val="inner"/>
          <c:xMode val="edge"/>
          <c:yMode val="edge"/>
          <c:x val="6.6829307296946749E-2"/>
          <c:y val="7.6764089252115197E-2"/>
          <c:w val="0.91285989967318748"/>
          <c:h val="0.83426632847581794"/>
        </c:manualLayout>
      </c:layout>
      <c:lineChart>
        <c:grouping val="standard"/>
        <c:varyColors val="0"/>
        <c:ser>
          <c:idx val="0"/>
          <c:order val="0"/>
          <c:tx>
            <c:strRef>
              <c:f>Fans!$A$274</c:f>
              <c:strCache>
                <c:ptCount val="1"/>
                <c:pt idx="0">
                  <c:v>Volume (m³/s)</c:v>
                </c:pt>
              </c:strCache>
            </c:strRef>
          </c:tx>
          <c:spPr>
            <a:ln w="3175">
              <a:solidFill>
                <a:srgbClr val="FFFFFF"/>
              </a:solidFill>
              <a:prstDash val="sysDash"/>
            </a:ln>
          </c:spPr>
          <c:marker>
            <c:symbol val="none"/>
          </c:marker>
          <c:cat>
            <c:numRef>
              <c:f>Fans!$A$275:$A$291</c:f>
              <c:numCache>
                <c:formatCode>General</c:formatCode>
                <c:ptCount val="17"/>
                <c:pt idx="0">
                  <c:v>20</c:v>
                </c:pt>
                <c:pt idx="1">
                  <c:v>22</c:v>
                </c:pt>
                <c:pt idx="2">
                  <c:v>24</c:v>
                </c:pt>
                <c:pt idx="3">
                  <c:v>26</c:v>
                </c:pt>
                <c:pt idx="4">
                  <c:v>28</c:v>
                </c:pt>
                <c:pt idx="5">
                  <c:v>30</c:v>
                </c:pt>
                <c:pt idx="6">
                  <c:v>32</c:v>
                </c:pt>
                <c:pt idx="7">
                  <c:v>34</c:v>
                </c:pt>
                <c:pt idx="8">
                  <c:v>36</c:v>
                </c:pt>
              </c:numCache>
            </c:numRef>
          </c:cat>
          <c:val>
            <c:numRef>
              <c:f>Fans!$A$275:$A$291</c:f>
              <c:numCache>
                <c:formatCode>General</c:formatCode>
                <c:ptCount val="17"/>
                <c:pt idx="0">
                  <c:v>20</c:v>
                </c:pt>
                <c:pt idx="1">
                  <c:v>22</c:v>
                </c:pt>
                <c:pt idx="2">
                  <c:v>24</c:v>
                </c:pt>
                <c:pt idx="3">
                  <c:v>26</c:v>
                </c:pt>
                <c:pt idx="4">
                  <c:v>28</c:v>
                </c:pt>
                <c:pt idx="5">
                  <c:v>30</c:v>
                </c:pt>
                <c:pt idx="6">
                  <c:v>32</c:v>
                </c:pt>
                <c:pt idx="7">
                  <c:v>34</c:v>
                </c:pt>
                <c:pt idx="8">
                  <c:v>36</c:v>
                </c:pt>
              </c:numCache>
            </c:numRef>
          </c:val>
          <c:smooth val="0"/>
          <c:extLst>
            <c:ext xmlns:c16="http://schemas.microsoft.com/office/drawing/2014/chart" uri="{C3380CC4-5D6E-409C-BE32-E72D297353CC}">
              <c16:uniqueId val="{00000000-4CE0-4D6B-8199-10FBC5A0B544}"/>
            </c:ext>
          </c:extLst>
        </c:ser>
        <c:ser>
          <c:idx val="1"/>
          <c:order val="1"/>
          <c:tx>
            <c:strRef>
              <c:f>Fans!$B$274</c:f>
              <c:strCache>
                <c:ptCount val="1"/>
                <c:pt idx="0">
                  <c:v>Pressure (pa)</c:v>
                </c:pt>
              </c:strCache>
            </c:strRef>
          </c:tx>
          <c:spPr>
            <a:ln w="12700">
              <a:solidFill>
                <a:srgbClr val="000080"/>
              </a:solidFill>
              <a:prstDash val="solid"/>
            </a:ln>
          </c:spPr>
          <c:marker>
            <c:symbol val="diamond"/>
            <c:size val="4"/>
            <c:spPr>
              <a:solidFill>
                <a:srgbClr val="000080"/>
              </a:solidFill>
              <a:ln>
                <a:solidFill>
                  <a:srgbClr val="000080"/>
                </a:solidFill>
                <a:prstDash val="solid"/>
              </a:ln>
            </c:spPr>
          </c:marker>
          <c:cat>
            <c:numRef>
              <c:f>Fans!$A$275:$A$291</c:f>
              <c:numCache>
                <c:formatCode>General</c:formatCode>
                <c:ptCount val="17"/>
                <c:pt idx="0">
                  <c:v>20</c:v>
                </c:pt>
                <c:pt idx="1">
                  <c:v>22</c:v>
                </c:pt>
                <c:pt idx="2">
                  <c:v>24</c:v>
                </c:pt>
                <c:pt idx="3">
                  <c:v>26</c:v>
                </c:pt>
                <c:pt idx="4">
                  <c:v>28</c:v>
                </c:pt>
                <c:pt idx="5">
                  <c:v>30</c:v>
                </c:pt>
                <c:pt idx="6">
                  <c:v>32</c:v>
                </c:pt>
                <c:pt idx="7">
                  <c:v>34</c:v>
                </c:pt>
                <c:pt idx="8">
                  <c:v>36</c:v>
                </c:pt>
              </c:numCache>
            </c:numRef>
          </c:cat>
          <c:val>
            <c:numRef>
              <c:f>Fans!$B$275:$B$291</c:f>
              <c:numCache>
                <c:formatCode>General</c:formatCode>
                <c:ptCount val="17"/>
                <c:pt idx="0">
                  <c:v>3850</c:v>
                </c:pt>
                <c:pt idx="1">
                  <c:v>3900</c:v>
                </c:pt>
                <c:pt idx="2">
                  <c:v>3750</c:v>
                </c:pt>
                <c:pt idx="3">
                  <c:v>3350</c:v>
                </c:pt>
                <c:pt idx="4">
                  <c:v>2650</c:v>
                </c:pt>
                <c:pt idx="5">
                  <c:v>1850</c:v>
                </c:pt>
                <c:pt idx="6">
                  <c:v>1150</c:v>
                </c:pt>
                <c:pt idx="7">
                  <c:v>500</c:v>
                </c:pt>
                <c:pt idx="8">
                  <c:v>0</c:v>
                </c:pt>
              </c:numCache>
            </c:numRef>
          </c:val>
          <c:smooth val="0"/>
          <c:extLst>
            <c:ext xmlns:c16="http://schemas.microsoft.com/office/drawing/2014/chart" uri="{C3380CC4-5D6E-409C-BE32-E72D297353CC}">
              <c16:uniqueId val="{00000001-4CE0-4D6B-8199-10FBC5A0B544}"/>
            </c:ext>
          </c:extLst>
        </c:ser>
        <c:ser>
          <c:idx val="2"/>
          <c:order val="2"/>
          <c:tx>
            <c:strRef>
              <c:f>Fans!$C$274</c:f>
              <c:strCache>
                <c:ptCount val="1"/>
                <c:pt idx="0">
                  <c:v>Resistance (pa)</c:v>
                </c:pt>
              </c:strCache>
            </c:strRef>
          </c:tx>
          <c:spPr>
            <a:ln w="12700">
              <a:solidFill>
                <a:srgbClr val="FF0000"/>
              </a:solidFill>
              <a:prstDash val="solid"/>
            </a:ln>
          </c:spPr>
          <c:marker>
            <c:symbol val="triangle"/>
            <c:size val="3"/>
            <c:spPr>
              <a:solidFill>
                <a:srgbClr val="FF0000"/>
              </a:solidFill>
              <a:ln>
                <a:solidFill>
                  <a:srgbClr val="FF0000"/>
                </a:solidFill>
                <a:prstDash val="solid"/>
              </a:ln>
            </c:spPr>
          </c:marker>
          <c:cat>
            <c:numRef>
              <c:f>Fans!$A$275:$A$291</c:f>
              <c:numCache>
                <c:formatCode>General</c:formatCode>
                <c:ptCount val="17"/>
                <c:pt idx="0">
                  <c:v>20</c:v>
                </c:pt>
                <c:pt idx="1">
                  <c:v>22</c:v>
                </c:pt>
                <c:pt idx="2">
                  <c:v>24</c:v>
                </c:pt>
                <c:pt idx="3">
                  <c:v>26</c:v>
                </c:pt>
                <c:pt idx="4">
                  <c:v>28</c:v>
                </c:pt>
                <c:pt idx="5">
                  <c:v>30</c:v>
                </c:pt>
                <c:pt idx="6">
                  <c:v>32</c:v>
                </c:pt>
                <c:pt idx="7">
                  <c:v>34</c:v>
                </c:pt>
                <c:pt idx="8">
                  <c:v>36</c:v>
                </c:pt>
              </c:numCache>
            </c:numRef>
          </c:cat>
          <c:val>
            <c:numRef>
              <c:f>Fans!$C$275:$C$291</c:f>
              <c:numCache>
                <c:formatCode>0.0</c:formatCode>
                <c:ptCount val="17"/>
                <c:pt idx="0">
                  <c:v>2464.8000000000002</c:v>
                </c:pt>
                <c:pt idx="1">
                  <c:v>2982.4079999999999</c:v>
                </c:pt>
                <c:pt idx="2">
                  <c:v>3549.3119999999999</c:v>
                </c:pt>
                <c:pt idx="3">
                  <c:v>4165.5119999999997</c:v>
                </c:pt>
                <c:pt idx="4">
                  <c:v>4831.0079999999998</c:v>
                </c:pt>
              </c:numCache>
            </c:numRef>
          </c:val>
          <c:smooth val="0"/>
          <c:extLst>
            <c:ext xmlns:c16="http://schemas.microsoft.com/office/drawing/2014/chart" uri="{C3380CC4-5D6E-409C-BE32-E72D297353CC}">
              <c16:uniqueId val="{00000002-4CE0-4D6B-8199-10FBC5A0B544}"/>
            </c:ext>
          </c:extLst>
        </c:ser>
        <c:dLbls>
          <c:showLegendKey val="0"/>
          <c:showVal val="0"/>
          <c:showCatName val="0"/>
          <c:showSerName val="0"/>
          <c:showPercent val="0"/>
          <c:showBubbleSize val="0"/>
        </c:dLbls>
        <c:smooth val="0"/>
        <c:axId val="125933440"/>
        <c:axId val="125952384"/>
      </c:lineChart>
      <c:catAx>
        <c:axId val="125933440"/>
        <c:scaling>
          <c:orientation val="minMax"/>
        </c:scaling>
        <c:delete val="0"/>
        <c:axPos val="b"/>
        <c:title>
          <c:tx>
            <c:rich>
              <a:bodyPr/>
              <a:lstStyle/>
              <a:p>
                <a:pPr>
                  <a:defRPr sz="725" b="1" i="0" u="none" strike="noStrike" baseline="0">
                    <a:solidFill>
                      <a:srgbClr val="000000"/>
                    </a:solidFill>
                    <a:latin typeface="Arial"/>
                    <a:ea typeface="Arial"/>
                    <a:cs typeface="Arial"/>
                  </a:defRPr>
                </a:pPr>
                <a:r>
                  <a:rPr lang="en-US"/>
                  <a:t>Quantity (m³/s)</a:t>
                </a:r>
              </a:p>
            </c:rich>
          </c:tx>
          <c:layout>
            <c:manualLayout>
              <c:xMode val="edge"/>
              <c:yMode val="edge"/>
              <c:x val="0.46638327450448003"/>
              <c:y val="0.9428948023832787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725" b="0" i="0" u="none" strike="noStrike" baseline="0">
                <a:solidFill>
                  <a:srgbClr val="000000"/>
                </a:solidFill>
                <a:latin typeface="Arial"/>
                <a:ea typeface="Arial"/>
                <a:cs typeface="Arial"/>
              </a:defRPr>
            </a:pPr>
            <a:endParaRPr lang="en-US"/>
          </a:p>
        </c:txPr>
        <c:crossAx val="125952384"/>
        <c:crosses val="autoZero"/>
        <c:auto val="1"/>
        <c:lblAlgn val="ctr"/>
        <c:lblOffset val="100"/>
        <c:tickLblSkip val="1"/>
        <c:tickMarkSkip val="1"/>
        <c:noMultiLvlLbl val="0"/>
      </c:catAx>
      <c:valAx>
        <c:axId val="125952384"/>
        <c:scaling>
          <c:orientation val="minMax"/>
        </c:scaling>
        <c:delete val="0"/>
        <c:axPos val="l"/>
        <c:majorGridlines>
          <c:spPr>
            <a:ln w="3175">
              <a:solidFill>
                <a:srgbClr val="000000"/>
              </a:solidFill>
              <a:prstDash val="solid"/>
            </a:ln>
          </c:spPr>
        </c:majorGridlines>
        <c:title>
          <c:tx>
            <c:rich>
              <a:bodyPr/>
              <a:lstStyle/>
              <a:p>
                <a:pPr>
                  <a:defRPr sz="725" b="1" i="0" u="none" strike="noStrike" baseline="0">
                    <a:solidFill>
                      <a:srgbClr val="000000"/>
                    </a:solidFill>
                    <a:latin typeface="Arial"/>
                    <a:ea typeface="Arial"/>
                    <a:cs typeface="Arial"/>
                  </a:defRPr>
                </a:pPr>
                <a:r>
                  <a:rPr lang="en-US"/>
                  <a:t>Pressure (Pa)</a:t>
                </a:r>
              </a:p>
            </c:rich>
          </c:tx>
          <c:layout>
            <c:manualLayout>
              <c:xMode val="edge"/>
              <c:yMode val="edge"/>
              <c:x val="1.7062756810571091E-2"/>
              <c:y val="0.431616989482154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725" b="0" i="0" u="none" strike="noStrike" baseline="0">
                <a:solidFill>
                  <a:srgbClr val="000000"/>
                </a:solidFill>
                <a:latin typeface="Arial"/>
                <a:ea typeface="Arial"/>
                <a:cs typeface="Arial"/>
              </a:defRPr>
            </a:pPr>
            <a:endParaRPr lang="en-US"/>
          </a:p>
        </c:txPr>
        <c:crossAx val="125933440"/>
        <c:crosses val="autoZero"/>
        <c:crossBetween val="between"/>
      </c:valAx>
      <c:spPr>
        <a:solidFill>
          <a:srgbClr val="FFFFFF"/>
        </a:solidFill>
        <a:ln w="25400">
          <a:noFill/>
        </a:ln>
      </c:spPr>
    </c:plotArea>
    <c:legend>
      <c:legendPos val="b"/>
      <c:layout>
        <c:manualLayout>
          <c:xMode val="edge"/>
          <c:yMode val="edge"/>
          <c:x val="0.3170836817811567"/>
          <c:y val="0.96317213632967413"/>
          <c:w val="0.45500805502760427"/>
          <c:h val="2.4622411249688669E-2"/>
        </c:manualLayout>
      </c:layout>
      <c:overlay val="0"/>
      <c:spPr>
        <a:solidFill>
          <a:srgbClr val="FFFFFF"/>
        </a:solidFill>
        <a:ln w="3175">
          <a:solidFill>
            <a:srgbClr val="000000"/>
          </a:solidFill>
          <a:prstDash val="solid"/>
        </a:ln>
      </c:spPr>
      <c:txPr>
        <a:bodyPr/>
        <a:lstStyle/>
        <a:p>
          <a:pPr>
            <a:defRPr sz="47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1" i="0" u="none" strike="noStrike" baseline="0">
                <a:solidFill>
                  <a:srgbClr val="000000"/>
                </a:solidFill>
                <a:latin typeface="Arial"/>
                <a:ea typeface="Arial"/>
                <a:cs typeface="Arial"/>
              </a:defRPr>
            </a:pPr>
            <a:r>
              <a:rPr lang="en-US"/>
              <a:t>55kW Fan</a:t>
            </a:r>
          </a:p>
        </c:rich>
      </c:tx>
      <c:layout>
        <c:manualLayout>
          <c:xMode val="edge"/>
          <c:yMode val="edge"/>
          <c:x val="0.39536257967754029"/>
          <c:y val="3.1239619637709222E-2"/>
        </c:manualLayout>
      </c:layout>
      <c:overlay val="0"/>
      <c:spPr>
        <a:noFill/>
        <a:ln w="25400">
          <a:noFill/>
        </a:ln>
      </c:spPr>
    </c:title>
    <c:autoTitleDeleted val="0"/>
    <c:plotArea>
      <c:layout>
        <c:manualLayout>
          <c:layoutTarget val="inner"/>
          <c:xMode val="edge"/>
          <c:yMode val="edge"/>
          <c:x val="0.11649076399663659"/>
          <c:y val="9.1315133758980677E-2"/>
          <c:w val="0.83308546373352232"/>
          <c:h val="0.78579075629438644"/>
        </c:manualLayout>
      </c:layout>
      <c:lineChart>
        <c:grouping val="standard"/>
        <c:varyColors val="0"/>
        <c:ser>
          <c:idx val="0"/>
          <c:order val="0"/>
          <c:tx>
            <c:strRef>
              <c:f>Fans!$I$168</c:f>
              <c:strCache>
                <c:ptCount val="1"/>
                <c:pt idx="0">
                  <c:v>Volume (m³/s)</c:v>
                </c:pt>
              </c:strCache>
            </c:strRef>
          </c:tx>
          <c:spPr>
            <a:ln w="3175">
              <a:solidFill>
                <a:srgbClr val="808080"/>
              </a:solidFill>
              <a:prstDash val="sysDash"/>
            </a:ln>
          </c:spPr>
          <c:marker>
            <c:symbol val="none"/>
          </c:marker>
          <c:cat>
            <c:numRef>
              <c:f>Fans!$I$138:$I$153</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Fans!$I$169:$I$183</c:f>
              <c:numCache>
                <c:formatCode>General</c:formatCode>
                <c:ptCount val="15"/>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17.5</c:v>
                </c:pt>
              </c:numCache>
            </c:numRef>
          </c:val>
          <c:smooth val="0"/>
          <c:extLst>
            <c:ext xmlns:c16="http://schemas.microsoft.com/office/drawing/2014/chart" uri="{C3380CC4-5D6E-409C-BE32-E72D297353CC}">
              <c16:uniqueId val="{00000000-D556-43F4-AD12-7A048E110228}"/>
            </c:ext>
          </c:extLst>
        </c:ser>
        <c:ser>
          <c:idx val="1"/>
          <c:order val="1"/>
          <c:tx>
            <c:strRef>
              <c:f>Fans!$J$168</c:f>
              <c:strCache>
                <c:ptCount val="1"/>
                <c:pt idx="0">
                  <c:v>Pressure (pa)</c:v>
                </c:pt>
              </c:strCache>
            </c:strRef>
          </c:tx>
          <c:spPr>
            <a:ln w="12700">
              <a:solidFill>
                <a:srgbClr val="000080"/>
              </a:solidFill>
              <a:prstDash val="solid"/>
            </a:ln>
          </c:spPr>
          <c:marker>
            <c:symbol val="diamond"/>
            <c:size val="4"/>
            <c:spPr>
              <a:solidFill>
                <a:srgbClr val="000080"/>
              </a:solidFill>
              <a:ln>
                <a:solidFill>
                  <a:srgbClr val="000080"/>
                </a:solidFill>
                <a:prstDash val="solid"/>
              </a:ln>
            </c:spPr>
          </c:marker>
          <c:cat>
            <c:numRef>
              <c:f>Fans!$I$138:$I$153</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Fans!$J$169:$J$183</c:f>
              <c:numCache>
                <c:formatCode>General</c:formatCode>
                <c:ptCount val="15"/>
                <c:pt idx="7">
                  <c:v>2950</c:v>
                </c:pt>
                <c:pt idx="8">
                  <c:v>2800</c:v>
                </c:pt>
                <c:pt idx="9">
                  <c:v>2500</c:v>
                </c:pt>
                <c:pt idx="10">
                  <c:v>2080</c:v>
                </c:pt>
                <c:pt idx="11">
                  <c:v>1450</c:v>
                </c:pt>
                <c:pt idx="12">
                  <c:v>960</c:v>
                </c:pt>
                <c:pt idx="13">
                  <c:v>330</c:v>
                </c:pt>
                <c:pt idx="14">
                  <c:v>0</c:v>
                </c:pt>
              </c:numCache>
            </c:numRef>
          </c:val>
          <c:smooth val="0"/>
          <c:extLst>
            <c:ext xmlns:c16="http://schemas.microsoft.com/office/drawing/2014/chart" uri="{C3380CC4-5D6E-409C-BE32-E72D297353CC}">
              <c16:uniqueId val="{00000001-D556-43F4-AD12-7A048E110228}"/>
            </c:ext>
          </c:extLst>
        </c:ser>
        <c:ser>
          <c:idx val="2"/>
          <c:order val="2"/>
          <c:tx>
            <c:strRef>
              <c:f>Fans!$K$168</c:f>
              <c:strCache>
                <c:ptCount val="1"/>
                <c:pt idx="0">
                  <c:v>Resistance (pa)</c:v>
                </c:pt>
              </c:strCache>
            </c:strRef>
          </c:tx>
          <c:spPr>
            <a:ln w="12700">
              <a:solidFill>
                <a:srgbClr val="FF0000"/>
              </a:solidFill>
              <a:prstDash val="solid"/>
            </a:ln>
          </c:spPr>
          <c:marker>
            <c:symbol val="triangle"/>
            <c:size val="3"/>
            <c:spPr>
              <a:solidFill>
                <a:srgbClr val="FF0000"/>
              </a:solidFill>
              <a:ln>
                <a:solidFill>
                  <a:srgbClr val="FF0000"/>
                </a:solidFill>
                <a:prstDash val="solid"/>
              </a:ln>
            </c:spPr>
          </c:marker>
          <c:cat>
            <c:numRef>
              <c:f>Fans!$I$138:$I$153</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Fans!$K$169:$K$183</c:f>
              <c:numCache>
                <c:formatCode>0.0</c:formatCode>
                <c:ptCount val="15"/>
                <c:pt idx="0">
                  <c:v>108.8</c:v>
                </c:pt>
                <c:pt idx="1">
                  <c:v>170</c:v>
                </c:pt>
                <c:pt idx="2">
                  <c:v>244.79999999999998</c:v>
                </c:pt>
                <c:pt idx="3">
                  <c:v>333.2</c:v>
                </c:pt>
                <c:pt idx="4">
                  <c:v>435.2</c:v>
                </c:pt>
                <c:pt idx="5">
                  <c:v>550.79999999999995</c:v>
                </c:pt>
                <c:pt idx="6">
                  <c:v>680</c:v>
                </c:pt>
                <c:pt idx="7">
                  <c:v>822.8</c:v>
                </c:pt>
                <c:pt idx="8">
                  <c:v>979.19999999999993</c:v>
                </c:pt>
                <c:pt idx="9">
                  <c:v>1149.2</c:v>
                </c:pt>
                <c:pt idx="10">
                  <c:v>1332.8</c:v>
                </c:pt>
                <c:pt idx="11">
                  <c:v>1530</c:v>
                </c:pt>
                <c:pt idx="12">
                  <c:v>1740.8</c:v>
                </c:pt>
                <c:pt idx="13">
                  <c:v>1965.2</c:v>
                </c:pt>
                <c:pt idx="14">
                  <c:v>2082.5</c:v>
                </c:pt>
              </c:numCache>
            </c:numRef>
          </c:val>
          <c:smooth val="0"/>
          <c:extLst>
            <c:ext xmlns:c16="http://schemas.microsoft.com/office/drawing/2014/chart" uri="{C3380CC4-5D6E-409C-BE32-E72D297353CC}">
              <c16:uniqueId val="{00000002-D556-43F4-AD12-7A048E110228}"/>
            </c:ext>
          </c:extLst>
        </c:ser>
        <c:dLbls>
          <c:showLegendKey val="0"/>
          <c:showVal val="0"/>
          <c:showCatName val="0"/>
          <c:showSerName val="0"/>
          <c:showPercent val="0"/>
          <c:showBubbleSize val="0"/>
        </c:dLbls>
        <c:smooth val="0"/>
        <c:axId val="125982592"/>
        <c:axId val="125985152"/>
      </c:lineChart>
      <c:catAx>
        <c:axId val="125982592"/>
        <c:scaling>
          <c:orientation val="minMax"/>
        </c:scaling>
        <c:delete val="0"/>
        <c:axPos val="b"/>
        <c:title>
          <c:tx>
            <c:rich>
              <a:bodyPr/>
              <a:lstStyle/>
              <a:p>
                <a:pPr>
                  <a:defRPr sz="425" b="1" i="0" u="none" strike="noStrike" baseline="0">
                    <a:solidFill>
                      <a:srgbClr val="000000"/>
                    </a:solidFill>
                    <a:latin typeface="Arial"/>
                    <a:ea typeface="Arial"/>
                    <a:cs typeface="Arial"/>
                  </a:defRPr>
                </a:pPr>
                <a:r>
                  <a:rPr lang="en-US"/>
                  <a:t>Quantity (m³/s)</a:t>
                </a:r>
              </a:p>
            </c:rich>
          </c:tx>
          <c:layout>
            <c:manualLayout>
              <c:xMode val="edge"/>
              <c:yMode val="edge"/>
              <c:x val="0.43419272590926133"/>
              <c:y val="0.9179573045172632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Arial"/>
                <a:ea typeface="Arial"/>
                <a:cs typeface="Arial"/>
              </a:defRPr>
            </a:pPr>
            <a:endParaRPr lang="en-US"/>
          </a:p>
        </c:txPr>
        <c:crossAx val="125985152"/>
        <c:crosses val="autoZero"/>
        <c:auto val="1"/>
        <c:lblAlgn val="ctr"/>
        <c:lblOffset val="100"/>
        <c:tickLblSkip val="1"/>
        <c:tickMarkSkip val="1"/>
        <c:noMultiLvlLbl val="0"/>
      </c:catAx>
      <c:valAx>
        <c:axId val="125985152"/>
        <c:scaling>
          <c:orientation val="minMax"/>
        </c:scaling>
        <c:delete val="0"/>
        <c:axPos val="l"/>
        <c:majorGridlines>
          <c:spPr>
            <a:ln w="3175">
              <a:solidFill>
                <a:srgbClr val="000000"/>
              </a:solidFill>
              <a:prstDash val="solid"/>
            </a:ln>
          </c:spPr>
        </c:majorGridlines>
        <c:title>
          <c:tx>
            <c:rich>
              <a:bodyPr/>
              <a:lstStyle/>
              <a:p>
                <a:pPr>
                  <a:defRPr sz="425" b="1" i="0" u="none" strike="noStrike" baseline="0">
                    <a:solidFill>
                      <a:srgbClr val="000000"/>
                    </a:solidFill>
                    <a:latin typeface="Arial"/>
                    <a:ea typeface="Arial"/>
                    <a:cs typeface="Arial"/>
                  </a:defRPr>
                </a:pPr>
                <a:r>
                  <a:rPr lang="en-US"/>
                  <a:t>Pressure (Pa)</a:t>
                </a:r>
              </a:p>
            </c:rich>
          </c:tx>
          <c:layout>
            <c:manualLayout>
              <c:xMode val="edge"/>
              <c:yMode val="edge"/>
              <c:x val="2.1180079762756928E-2"/>
              <c:y val="0.4133210397880592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Arial"/>
                <a:ea typeface="Arial"/>
                <a:cs typeface="Arial"/>
              </a:defRPr>
            </a:pPr>
            <a:endParaRPr lang="en-US"/>
          </a:p>
        </c:txPr>
        <c:crossAx val="125982592"/>
        <c:crosses val="autoZero"/>
        <c:crossBetween val="between"/>
      </c:valAx>
      <c:spPr>
        <a:solidFill>
          <a:srgbClr val="FFFFFF"/>
        </a:solidFill>
        <a:ln w="25400">
          <a:noFill/>
        </a:ln>
      </c:spPr>
    </c:plotArea>
    <c:legend>
      <c:legendPos val="b"/>
      <c:layout>
        <c:manualLayout>
          <c:xMode val="edge"/>
          <c:yMode val="edge"/>
          <c:x val="0.1164907113883492"/>
          <c:y val="0.94679378192480035"/>
          <c:w val="0.8683857245117087"/>
          <c:h val="3.364227012607035E-2"/>
        </c:manualLayout>
      </c:layout>
      <c:overlay val="0"/>
      <c:spPr>
        <a:solidFill>
          <a:srgbClr val="FFFFFF"/>
        </a:solidFill>
        <a:ln w="3175">
          <a:solidFill>
            <a:srgbClr val="000000"/>
          </a:solidFill>
          <a:prstDash val="solid"/>
        </a:ln>
      </c:spPr>
      <c:txPr>
        <a:bodyPr/>
        <a:lstStyle/>
        <a:p>
          <a:pPr>
            <a:defRPr sz="27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1" i="0" u="none" strike="noStrike" baseline="0">
                <a:solidFill>
                  <a:srgbClr val="000000"/>
                </a:solidFill>
                <a:latin typeface="Arial"/>
                <a:ea typeface="Arial"/>
                <a:cs typeface="Arial"/>
              </a:defRPr>
            </a:pPr>
            <a:r>
              <a:rPr lang="en-US"/>
              <a:t>55kW Fan</a:t>
            </a:r>
          </a:p>
        </c:rich>
      </c:tx>
      <c:layout>
        <c:manualLayout>
          <c:xMode val="edge"/>
          <c:yMode val="edge"/>
          <c:x val="0.39481295128565363"/>
          <c:y val="3.1239335639705077E-2"/>
        </c:manualLayout>
      </c:layout>
      <c:overlay val="0"/>
      <c:spPr>
        <a:noFill/>
        <a:ln w="25400">
          <a:noFill/>
        </a:ln>
      </c:spPr>
    </c:title>
    <c:autoTitleDeleted val="0"/>
    <c:plotArea>
      <c:layout>
        <c:manualLayout>
          <c:layoutTarget val="inner"/>
          <c:xMode val="edge"/>
          <c:yMode val="edge"/>
          <c:x val="0.16719992493140856"/>
          <c:y val="7.8671565043542287E-3"/>
          <c:w val="0.81331543907077497"/>
          <c:h val="0.78579075629438644"/>
        </c:manualLayout>
      </c:layout>
      <c:lineChart>
        <c:grouping val="standard"/>
        <c:varyColors val="0"/>
        <c:ser>
          <c:idx val="0"/>
          <c:order val="0"/>
          <c:tx>
            <c:strRef>
              <c:f>Fans!$A$167</c:f>
              <c:strCache>
                <c:ptCount val="1"/>
                <c:pt idx="0">
                  <c:v>Volume (m³/s)</c:v>
                </c:pt>
              </c:strCache>
            </c:strRef>
          </c:tx>
          <c:spPr>
            <a:ln w="3175">
              <a:solidFill>
                <a:srgbClr val="000000"/>
              </a:solidFill>
              <a:prstDash val="solid"/>
            </a:ln>
          </c:spPr>
          <c:marker>
            <c:symbol val="none"/>
          </c:marker>
          <c:cat>
            <c:numRef>
              <c:f>Fans!$A$137:$A$152</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Fans!$A$168:$A$183</c:f>
              <c:numCache>
                <c:formatCode>General</c:formatCode>
                <c:ptCount val="16"/>
                <c:pt idx="8">
                  <c:v>11</c:v>
                </c:pt>
                <c:pt idx="9">
                  <c:v>12</c:v>
                </c:pt>
                <c:pt idx="10">
                  <c:v>13</c:v>
                </c:pt>
                <c:pt idx="11">
                  <c:v>14</c:v>
                </c:pt>
                <c:pt idx="12">
                  <c:v>15</c:v>
                </c:pt>
                <c:pt idx="13">
                  <c:v>16</c:v>
                </c:pt>
                <c:pt idx="14">
                  <c:v>17</c:v>
                </c:pt>
                <c:pt idx="15">
                  <c:v>17.5</c:v>
                </c:pt>
              </c:numCache>
            </c:numRef>
          </c:val>
          <c:smooth val="0"/>
          <c:extLst>
            <c:ext xmlns:c16="http://schemas.microsoft.com/office/drawing/2014/chart" uri="{C3380CC4-5D6E-409C-BE32-E72D297353CC}">
              <c16:uniqueId val="{00000000-CCAD-427C-B780-54F1D2B824D4}"/>
            </c:ext>
          </c:extLst>
        </c:ser>
        <c:ser>
          <c:idx val="1"/>
          <c:order val="1"/>
          <c:tx>
            <c:strRef>
              <c:f>Fans!$B$167</c:f>
              <c:strCache>
                <c:ptCount val="1"/>
                <c:pt idx="0">
                  <c:v>Pressure (pa)</c:v>
                </c:pt>
              </c:strCache>
            </c:strRef>
          </c:tx>
          <c:spPr>
            <a:ln w="12700">
              <a:solidFill>
                <a:srgbClr val="000080"/>
              </a:solidFill>
              <a:prstDash val="solid"/>
            </a:ln>
          </c:spPr>
          <c:marker>
            <c:symbol val="diamond"/>
            <c:size val="4"/>
            <c:spPr>
              <a:solidFill>
                <a:srgbClr val="000080"/>
              </a:solidFill>
              <a:ln>
                <a:solidFill>
                  <a:srgbClr val="000080"/>
                </a:solidFill>
                <a:prstDash val="solid"/>
              </a:ln>
            </c:spPr>
          </c:marker>
          <c:cat>
            <c:numRef>
              <c:f>Fans!$A$137:$A$152</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Fans!$B$168:$B$183</c:f>
              <c:numCache>
                <c:formatCode>General</c:formatCode>
                <c:ptCount val="16"/>
                <c:pt idx="8">
                  <c:v>2950</c:v>
                </c:pt>
                <c:pt idx="9">
                  <c:v>2800</c:v>
                </c:pt>
                <c:pt idx="10">
                  <c:v>2500</c:v>
                </c:pt>
                <c:pt idx="11">
                  <c:v>2080</c:v>
                </c:pt>
                <c:pt idx="12">
                  <c:v>1450</c:v>
                </c:pt>
                <c:pt idx="13">
                  <c:v>960</c:v>
                </c:pt>
                <c:pt idx="14">
                  <c:v>330</c:v>
                </c:pt>
                <c:pt idx="15">
                  <c:v>0</c:v>
                </c:pt>
              </c:numCache>
            </c:numRef>
          </c:val>
          <c:smooth val="0"/>
          <c:extLst>
            <c:ext xmlns:c16="http://schemas.microsoft.com/office/drawing/2014/chart" uri="{C3380CC4-5D6E-409C-BE32-E72D297353CC}">
              <c16:uniqueId val="{00000001-CCAD-427C-B780-54F1D2B824D4}"/>
            </c:ext>
          </c:extLst>
        </c:ser>
        <c:dLbls>
          <c:showLegendKey val="0"/>
          <c:showVal val="0"/>
          <c:showCatName val="0"/>
          <c:showSerName val="0"/>
          <c:showPercent val="0"/>
          <c:showBubbleSize val="0"/>
        </c:dLbls>
        <c:smooth val="0"/>
        <c:axId val="126035072"/>
        <c:axId val="126037376"/>
      </c:lineChart>
      <c:catAx>
        <c:axId val="126035072"/>
        <c:scaling>
          <c:orientation val="minMax"/>
        </c:scaling>
        <c:delete val="0"/>
        <c:axPos val="b"/>
        <c:title>
          <c:tx>
            <c:rich>
              <a:bodyPr/>
              <a:lstStyle/>
              <a:p>
                <a:pPr>
                  <a:defRPr sz="400" b="1" i="0" u="none" strike="noStrike" baseline="0">
                    <a:solidFill>
                      <a:srgbClr val="000000"/>
                    </a:solidFill>
                    <a:latin typeface="Arial"/>
                    <a:ea typeface="Arial"/>
                    <a:cs typeface="Arial"/>
                  </a:defRPr>
                </a:pPr>
                <a:r>
                  <a:rPr lang="en-US"/>
                  <a:t>Quantity (m³/s)</a:t>
                </a:r>
              </a:p>
            </c:rich>
          </c:tx>
          <c:layout>
            <c:manualLayout>
              <c:xMode val="edge"/>
              <c:yMode val="edge"/>
              <c:x val="0.42639853628254976"/>
              <c:y val="0.9179572434161434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00" b="0" i="0" u="none" strike="noStrike" baseline="0">
                <a:solidFill>
                  <a:srgbClr val="000000"/>
                </a:solidFill>
                <a:latin typeface="Arial"/>
                <a:ea typeface="Arial"/>
                <a:cs typeface="Arial"/>
              </a:defRPr>
            </a:pPr>
            <a:endParaRPr lang="en-US"/>
          </a:p>
        </c:txPr>
        <c:crossAx val="126037376"/>
        <c:crosses val="autoZero"/>
        <c:auto val="1"/>
        <c:lblAlgn val="ctr"/>
        <c:lblOffset val="100"/>
        <c:tickLblSkip val="1"/>
        <c:tickMarkSkip val="1"/>
        <c:noMultiLvlLbl val="0"/>
      </c:catAx>
      <c:valAx>
        <c:axId val="126037376"/>
        <c:scaling>
          <c:orientation val="minMax"/>
        </c:scaling>
        <c:delete val="0"/>
        <c:axPos val="l"/>
        <c:majorGridlines>
          <c:spPr>
            <a:ln w="3175">
              <a:solidFill>
                <a:srgbClr val="000000"/>
              </a:solidFill>
              <a:prstDash val="solid"/>
            </a:ln>
          </c:spPr>
        </c:majorGridlines>
        <c:title>
          <c:tx>
            <c:rich>
              <a:bodyPr/>
              <a:lstStyle/>
              <a:p>
                <a:pPr>
                  <a:defRPr sz="400" b="1" i="0" u="none" strike="noStrike" baseline="0">
                    <a:solidFill>
                      <a:srgbClr val="000000"/>
                    </a:solidFill>
                    <a:latin typeface="Arial"/>
                    <a:ea typeface="Arial"/>
                    <a:cs typeface="Arial"/>
                  </a:defRPr>
                </a:pPr>
                <a:r>
                  <a:rPr lang="en-US"/>
                  <a:t>Pressure (Pa)</a:t>
                </a:r>
              </a:p>
            </c:rich>
          </c:tx>
          <c:layout>
            <c:manualLayout>
              <c:xMode val="edge"/>
              <c:yMode val="edge"/>
              <c:x val="1.9740800034850417E-2"/>
              <c:y val="0.4205302567795327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00" b="0" i="0" u="none" strike="noStrike" baseline="0">
                <a:solidFill>
                  <a:srgbClr val="000000"/>
                </a:solidFill>
                <a:latin typeface="Arial"/>
                <a:ea typeface="Arial"/>
                <a:cs typeface="Arial"/>
              </a:defRPr>
            </a:pPr>
            <a:endParaRPr lang="en-US"/>
          </a:p>
        </c:txPr>
        <c:crossAx val="126035072"/>
        <c:crosses val="autoZero"/>
        <c:crossBetween val="between"/>
      </c:valAx>
      <c:spPr>
        <a:solidFill>
          <a:srgbClr val="FFFFFF"/>
        </a:solidFill>
        <a:ln w="25400">
          <a:noFill/>
        </a:ln>
      </c:spPr>
    </c:plotArea>
    <c:legend>
      <c:legendPos val="b"/>
      <c:layout>
        <c:manualLayout>
          <c:xMode val="edge"/>
          <c:yMode val="edge"/>
          <c:x val="0.29216170592783786"/>
          <c:y val="0.94679398673575343"/>
          <c:w val="0.54089413097221772"/>
          <c:h val="3.3642554124074464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75" b="1" i="0" u="none" strike="noStrike" baseline="0">
                <a:solidFill>
                  <a:srgbClr val="000000"/>
                </a:solidFill>
                <a:latin typeface="Arial"/>
                <a:ea typeface="Arial"/>
                <a:cs typeface="Arial"/>
              </a:defRPr>
            </a:pPr>
            <a:r>
              <a:rPr lang="en-US"/>
              <a:t>4kW Fan</a:t>
            </a:r>
          </a:p>
        </c:rich>
      </c:tx>
      <c:layout>
        <c:manualLayout>
          <c:xMode val="edge"/>
          <c:yMode val="edge"/>
          <c:x val="0.39940985794041933"/>
          <c:y val="3.3434358441043928E-2"/>
        </c:manualLayout>
      </c:layout>
      <c:overlay val="0"/>
      <c:spPr>
        <a:noFill/>
        <a:ln w="25400">
          <a:noFill/>
        </a:ln>
      </c:spPr>
    </c:title>
    <c:autoTitleDeleted val="0"/>
    <c:plotArea>
      <c:layout>
        <c:manualLayout>
          <c:layoutTarget val="inner"/>
          <c:xMode val="edge"/>
          <c:yMode val="edge"/>
          <c:x val="7.9193350004742508E-2"/>
          <c:y val="0.13069908814589665"/>
          <c:w val="0.84013814787639884"/>
          <c:h val="0.73556231003039518"/>
        </c:manualLayout>
      </c:layout>
      <c:lineChart>
        <c:grouping val="standard"/>
        <c:varyColors val="0"/>
        <c:ser>
          <c:idx val="0"/>
          <c:order val="0"/>
          <c:tx>
            <c:strRef>
              <c:f>Fans!$A$23</c:f>
              <c:strCache>
                <c:ptCount val="1"/>
                <c:pt idx="0">
                  <c:v>Volume (m³/s)</c:v>
                </c:pt>
              </c:strCache>
            </c:strRef>
          </c:tx>
          <c:spPr>
            <a:ln w="3175">
              <a:solidFill>
                <a:srgbClr val="000000"/>
              </a:solidFill>
              <a:prstDash val="solid"/>
            </a:ln>
          </c:spPr>
          <c:marker>
            <c:symbol val="none"/>
          </c:marker>
          <c:cat>
            <c:numRef>
              <c:f>Fans!$A$24:$A$28</c:f>
              <c:numCache>
                <c:formatCode>General</c:formatCode>
                <c:ptCount val="5"/>
                <c:pt idx="0">
                  <c:v>1</c:v>
                </c:pt>
                <c:pt idx="1">
                  <c:v>2</c:v>
                </c:pt>
                <c:pt idx="2">
                  <c:v>3</c:v>
                </c:pt>
                <c:pt idx="3">
                  <c:v>4</c:v>
                </c:pt>
                <c:pt idx="4">
                  <c:v>5</c:v>
                </c:pt>
              </c:numCache>
            </c:numRef>
          </c:cat>
          <c:val>
            <c:numRef>
              <c:f>Fans!$A$24:$A$28</c:f>
              <c:numCache>
                <c:formatCode>General</c:formatCode>
                <c:ptCount val="5"/>
                <c:pt idx="0">
                  <c:v>1</c:v>
                </c:pt>
                <c:pt idx="1">
                  <c:v>2</c:v>
                </c:pt>
                <c:pt idx="2">
                  <c:v>3</c:v>
                </c:pt>
                <c:pt idx="3">
                  <c:v>4</c:v>
                </c:pt>
                <c:pt idx="4">
                  <c:v>5</c:v>
                </c:pt>
              </c:numCache>
            </c:numRef>
          </c:val>
          <c:smooth val="0"/>
          <c:extLst>
            <c:ext xmlns:c16="http://schemas.microsoft.com/office/drawing/2014/chart" uri="{C3380CC4-5D6E-409C-BE32-E72D297353CC}">
              <c16:uniqueId val="{00000000-C113-46B3-BE6D-8476F0B5CBAE}"/>
            </c:ext>
          </c:extLst>
        </c:ser>
        <c:ser>
          <c:idx val="1"/>
          <c:order val="1"/>
          <c:tx>
            <c:strRef>
              <c:f>Fans!$B$23</c:f>
              <c:strCache>
                <c:ptCount val="1"/>
                <c:pt idx="0">
                  <c:v>Pressure (pa)</c:v>
                </c:pt>
              </c:strCache>
            </c:strRef>
          </c:tx>
          <c:spPr>
            <a:ln w="12700">
              <a:solidFill>
                <a:srgbClr val="000080"/>
              </a:solidFill>
              <a:prstDash val="solid"/>
            </a:ln>
          </c:spPr>
          <c:marker>
            <c:symbol val="diamond"/>
            <c:size val="4"/>
            <c:spPr>
              <a:solidFill>
                <a:srgbClr val="000080"/>
              </a:solidFill>
              <a:ln>
                <a:solidFill>
                  <a:srgbClr val="000080"/>
                </a:solidFill>
                <a:prstDash val="solid"/>
              </a:ln>
            </c:spPr>
          </c:marker>
          <c:cat>
            <c:numRef>
              <c:f>Fans!$A$24:$A$28</c:f>
              <c:numCache>
                <c:formatCode>General</c:formatCode>
                <c:ptCount val="5"/>
                <c:pt idx="0">
                  <c:v>1</c:v>
                </c:pt>
                <c:pt idx="1">
                  <c:v>2</c:v>
                </c:pt>
                <c:pt idx="2">
                  <c:v>3</c:v>
                </c:pt>
                <c:pt idx="3">
                  <c:v>4</c:v>
                </c:pt>
                <c:pt idx="4">
                  <c:v>5</c:v>
                </c:pt>
              </c:numCache>
            </c:numRef>
          </c:cat>
          <c:val>
            <c:numRef>
              <c:f>Fans!$B$24:$B$28</c:f>
              <c:numCache>
                <c:formatCode>General</c:formatCode>
                <c:ptCount val="5"/>
                <c:pt idx="2">
                  <c:v>1200</c:v>
                </c:pt>
                <c:pt idx="3">
                  <c:v>900</c:v>
                </c:pt>
                <c:pt idx="4">
                  <c:v>0</c:v>
                </c:pt>
              </c:numCache>
            </c:numRef>
          </c:val>
          <c:smooth val="0"/>
          <c:extLst>
            <c:ext xmlns:c16="http://schemas.microsoft.com/office/drawing/2014/chart" uri="{C3380CC4-5D6E-409C-BE32-E72D297353CC}">
              <c16:uniqueId val="{00000001-C113-46B3-BE6D-8476F0B5CBAE}"/>
            </c:ext>
          </c:extLst>
        </c:ser>
        <c:ser>
          <c:idx val="2"/>
          <c:order val="2"/>
          <c:tx>
            <c:strRef>
              <c:f>Fans!$B$23</c:f>
              <c:strCache>
                <c:ptCount val="1"/>
                <c:pt idx="0">
                  <c:v>Pressure (pa)</c:v>
                </c:pt>
              </c:strCache>
            </c:strRef>
          </c:tx>
          <c:spPr>
            <a:ln w="12700">
              <a:solidFill>
                <a:srgbClr val="FF0000"/>
              </a:solidFill>
              <a:prstDash val="solid"/>
            </a:ln>
          </c:spPr>
          <c:marker>
            <c:symbol val="triangle"/>
            <c:size val="2"/>
            <c:spPr>
              <a:solidFill>
                <a:srgbClr val="FF0000"/>
              </a:solidFill>
              <a:ln>
                <a:solidFill>
                  <a:srgbClr val="FF0000"/>
                </a:solidFill>
                <a:prstDash val="solid"/>
              </a:ln>
            </c:spPr>
          </c:marker>
          <c:cat>
            <c:numRef>
              <c:f>Fans!$A$24:$A$28</c:f>
              <c:numCache>
                <c:formatCode>General</c:formatCode>
                <c:ptCount val="5"/>
                <c:pt idx="0">
                  <c:v>1</c:v>
                </c:pt>
                <c:pt idx="1">
                  <c:v>2</c:v>
                </c:pt>
                <c:pt idx="2">
                  <c:v>3</c:v>
                </c:pt>
                <c:pt idx="3">
                  <c:v>4</c:v>
                </c:pt>
                <c:pt idx="4">
                  <c:v>5</c:v>
                </c:pt>
              </c:numCache>
            </c:numRef>
          </c:cat>
          <c:val>
            <c:numRef>
              <c:f>Fans!$K$25:$K$29</c:f>
              <c:numCache>
                <c:formatCode>0.0</c:formatCode>
                <c:ptCount val="5"/>
                <c:pt idx="0">
                  <c:v>34</c:v>
                </c:pt>
                <c:pt idx="1">
                  <c:v>136</c:v>
                </c:pt>
                <c:pt idx="2">
                  <c:v>306</c:v>
                </c:pt>
                <c:pt idx="3">
                  <c:v>544</c:v>
                </c:pt>
                <c:pt idx="4">
                  <c:v>850</c:v>
                </c:pt>
              </c:numCache>
            </c:numRef>
          </c:val>
          <c:smooth val="0"/>
          <c:extLst>
            <c:ext xmlns:c16="http://schemas.microsoft.com/office/drawing/2014/chart" uri="{C3380CC4-5D6E-409C-BE32-E72D297353CC}">
              <c16:uniqueId val="{00000002-C113-46B3-BE6D-8476F0B5CBAE}"/>
            </c:ext>
          </c:extLst>
        </c:ser>
        <c:dLbls>
          <c:showLegendKey val="0"/>
          <c:showVal val="0"/>
          <c:showCatName val="0"/>
          <c:showSerName val="0"/>
          <c:showPercent val="0"/>
          <c:showBubbleSize val="0"/>
        </c:dLbls>
        <c:smooth val="0"/>
        <c:axId val="126755968"/>
        <c:axId val="126758272"/>
      </c:lineChart>
      <c:catAx>
        <c:axId val="126755968"/>
        <c:scaling>
          <c:orientation val="minMax"/>
        </c:scaling>
        <c:delete val="0"/>
        <c:axPos val="b"/>
        <c:title>
          <c:tx>
            <c:rich>
              <a:bodyPr/>
              <a:lstStyle/>
              <a:p>
                <a:pPr>
                  <a:defRPr sz="475" b="1" i="0" u="none" strike="noStrike" baseline="0">
                    <a:solidFill>
                      <a:srgbClr val="000000"/>
                    </a:solidFill>
                    <a:latin typeface="Arial"/>
                    <a:ea typeface="Arial"/>
                    <a:cs typeface="Arial"/>
                  </a:defRPr>
                </a:pPr>
                <a:r>
                  <a:rPr lang="en-US"/>
                  <a:t>Quantity (m³/s)</a:t>
                </a:r>
              </a:p>
            </c:rich>
          </c:tx>
          <c:layout>
            <c:manualLayout>
              <c:xMode val="edge"/>
              <c:yMode val="edge"/>
              <c:x val="0.40285302466688067"/>
              <c:y val="0.917932947060862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75" b="0" i="0" u="none" strike="noStrike" baseline="0">
                <a:solidFill>
                  <a:srgbClr val="000000"/>
                </a:solidFill>
                <a:latin typeface="Arial"/>
                <a:ea typeface="Arial"/>
                <a:cs typeface="Arial"/>
              </a:defRPr>
            </a:pPr>
            <a:endParaRPr lang="en-US"/>
          </a:p>
        </c:txPr>
        <c:crossAx val="126758272"/>
        <c:crosses val="autoZero"/>
        <c:auto val="1"/>
        <c:lblAlgn val="ctr"/>
        <c:lblOffset val="100"/>
        <c:tickLblSkip val="1"/>
        <c:tickMarkSkip val="1"/>
        <c:noMultiLvlLbl val="0"/>
      </c:catAx>
      <c:valAx>
        <c:axId val="126758272"/>
        <c:scaling>
          <c:orientation val="minMax"/>
        </c:scaling>
        <c:delete val="0"/>
        <c:axPos val="l"/>
        <c:majorGridlines>
          <c:spPr>
            <a:ln w="3175">
              <a:solidFill>
                <a:srgbClr val="000000"/>
              </a:solidFill>
              <a:prstDash val="solid"/>
            </a:ln>
          </c:spPr>
        </c:majorGridlines>
        <c:title>
          <c:tx>
            <c:rich>
              <a:bodyPr/>
              <a:lstStyle/>
              <a:p>
                <a:pPr>
                  <a:defRPr sz="475" b="1" i="0" u="none" strike="noStrike" baseline="0">
                    <a:solidFill>
                      <a:srgbClr val="000000"/>
                    </a:solidFill>
                    <a:latin typeface="Arial"/>
                    <a:ea typeface="Arial"/>
                    <a:cs typeface="Arial"/>
                  </a:defRPr>
                </a:pPr>
                <a:r>
                  <a:rPr lang="en-US"/>
                  <a:t>Pressure (Pa)</a:t>
                </a:r>
              </a:p>
            </c:rich>
          </c:tx>
          <c:layout>
            <c:manualLayout>
              <c:xMode val="edge"/>
              <c:yMode val="edge"/>
              <c:x val="1.7216085399397018E-2"/>
              <c:y val="0.4194526155928622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75" b="0" i="0" u="none" strike="noStrike" baseline="0">
                <a:solidFill>
                  <a:srgbClr val="000000"/>
                </a:solidFill>
                <a:latin typeface="Arial"/>
                <a:ea typeface="Arial"/>
                <a:cs typeface="Arial"/>
              </a:defRPr>
            </a:pPr>
            <a:endParaRPr lang="en-US"/>
          </a:p>
        </c:txPr>
        <c:crossAx val="126755968"/>
        <c:crosses val="autoZero"/>
        <c:crossBetween val="between"/>
      </c:valAx>
      <c:spPr>
        <a:solidFill>
          <a:srgbClr val="FFFFFF"/>
        </a:solidFill>
        <a:ln w="12700">
          <a:solidFill>
            <a:srgbClr val="808080"/>
          </a:solidFill>
          <a:prstDash val="solid"/>
        </a:ln>
      </c:spPr>
    </c:plotArea>
    <c:legend>
      <c:legendPos val="b"/>
      <c:layout>
        <c:manualLayout>
          <c:xMode val="edge"/>
          <c:yMode val="edge"/>
          <c:x val="0.20314809569667103"/>
          <c:y val="0.93313062282309045"/>
          <c:w val="0.71274004418512427"/>
          <c:h val="4.2552699780451952E-2"/>
        </c:manualLayout>
      </c:layout>
      <c:overlay val="0"/>
      <c:spPr>
        <a:solidFill>
          <a:srgbClr val="FFFFFF"/>
        </a:solidFill>
        <a:ln w="3175">
          <a:solidFill>
            <a:srgbClr val="000000"/>
          </a:solidFill>
          <a:prstDash val="solid"/>
        </a:ln>
      </c:spPr>
      <c:txPr>
        <a:bodyPr/>
        <a:lstStyle/>
        <a:p>
          <a:pPr>
            <a:defRPr sz="3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75" b="1" i="0" u="none" strike="noStrike" baseline="0">
                <a:solidFill>
                  <a:srgbClr val="000000"/>
                </a:solidFill>
                <a:latin typeface="Arial"/>
                <a:ea typeface="Arial"/>
                <a:cs typeface="Arial"/>
              </a:defRPr>
            </a:pPr>
            <a:r>
              <a:rPr lang="en-US"/>
              <a:t>1.1</a:t>
            </a:r>
            <a:r>
              <a:rPr lang="en-US" baseline="0"/>
              <a:t> kW Freudenburg </a:t>
            </a:r>
            <a:r>
              <a:rPr lang="en-US"/>
              <a:t>Fan</a:t>
            </a:r>
          </a:p>
        </c:rich>
      </c:tx>
      <c:layout>
        <c:manualLayout>
          <c:xMode val="edge"/>
          <c:yMode val="edge"/>
          <c:x val="0.39940985794041933"/>
          <c:y val="3.3434358441043928E-2"/>
        </c:manualLayout>
      </c:layout>
      <c:overlay val="0"/>
      <c:spPr>
        <a:noFill/>
        <a:ln w="25400">
          <a:noFill/>
        </a:ln>
      </c:spPr>
    </c:title>
    <c:autoTitleDeleted val="0"/>
    <c:plotArea>
      <c:layout>
        <c:manualLayout>
          <c:layoutTarget val="inner"/>
          <c:xMode val="edge"/>
          <c:yMode val="edge"/>
          <c:x val="0.13191399578270555"/>
          <c:y val="0.13069908814589665"/>
          <c:w val="0.78741738815443107"/>
          <c:h val="0.63327945204051705"/>
        </c:manualLayout>
      </c:layout>
      <c:lineChart>
        <c:grouping val="standard"/>
        <c:varyColors val="0"/>
        <c:ser>
          <c:idx val="3"/>
          <c:order val="2"/>
          <c:tx>
            <c:strRef>
              <c:f>Fans!$A$5</c:f>
              <c:strCache>
                <c:ptCount val="1"/>
                <c:pt idx="0">
                  <c:v>Volume (m³/s)</c:v>
                </c:pt>
              </c:strCache>
            </c:strRef>
          </c:tx>
          <c:spPr>
            <a:ln w="3175">
              <a:solidFill>
                <a:srgbClr val="000000"/>
              </a:solidFill>
              <a:prstDash val="solid"/>
            </a:ln>
          </c:spPr>
          <c:marker>
            <c:symbol val="none"/>
          </c:marker>
          <c:cat>
            <c:numRef>
              <c:f>Fans!$A$6:$A$14</c:f>
              <c:numCache>
                <c:formatCode>General</c:formatCode>
                <c:ptCount val="9"/>
                <c:pt idx="0">
                  <c:v>0.01</c:v>
                </c:pt>
                <c:pt idx="1">
                  <c:v>0.5</c:v>
                </c:pt>
                <c:pt idx="2">
                  <c:v>1</c:v>
                </c:pt>
                <c:pt idx="3">
                  <c:v>1.3</c:v>
                </c:pt>
                <c:pt idx="4">
                  <c:v>1.5</c:v>
                </c:pt>
                <c:pt idx="5">
                  <c:v>1.8</c:v>
                </c:pt>
                <c:pt idx="6">
                  <c:v>2</c:v>
                </c:pt>
                <c:pt idx="7">
                  <c:v>2.2999999999999998</c:v>
                </c:pt>
                <c:pt idx="8">
                  <c:v>2.5</c:v>
                </c:pt>
              </c:numCache>
            </c:numRef>
          </c:cat>
          <c:val>
            <c:numRef>
              <c:f>Fans!$A$6:$A$14</c:f>
              <c:numCache>
                <c:formatCode>General</c:formatCode>
                <c:ptCount val="9"/>
                <c:pt idx="0">
                  <c:v>0.01</c:v>
                </c:pt>
                <c:pt idx="1">
                  <c:v>0.5</c:v>
                </c:pt>
                <c:pt idx="2">
                  <c:v>1</c:v>
                </c:pt>
                <c:pt idx="3">
                  <c:v>1.3</c:v>
                </c:pt>
                <c:pt idx="4">
                  <c:v>1.5</c:v>
                </c:pt>
                <c:pt idx="5">
                  <c:v>1.8</c:v>
                </c:pt>
                <c:pt idx="6">
                  <c:v>2</c:v>
                </c:pt>
                <c:pt idx="7">
                  <c:v>2.2999999999999998</c:v>
                </c:pt>
                <c:pt idx="8">
                  <c:v>2.5</c:v>
                </c:pt>
              </c:numCache>
            </c:numRef>
          </c:val>
          <c:smooth val="0"/>
          <c:extLst>
            <c:ext xmlns:c16="http://schemas.microsoft.com/office/drawing/2014/chart" uri="{C3380CC4-5D6E-409C-BE32-E72D297353CC}">
              <c16:uniqueId val="{00000000-17EF-4910-A48B-7B459F4E656A}"/>
            </c:ext>
          </c:extLst>
        </c:ser>
        <c:ser>
          <c:idx val="4"/>
          <c:order val="3"/>
          <c:tx>
            <c:strRef>
              <c:f>Fans!$D$5</c:f>
              <c:strCache>
                <c:ptCount val="1"/>
                <c:pt idx="0">
                  <c:v>Pressure 10° (pa)</c:v>
                </c:pt>
              </c:strCache>
            </c:strRef>
          </c:tx>
          <c:spPr>
            <a:ln w="12700">
              <a:solidFill>
                <a:srgbClr val="000080"/>
              </a:solidFill>
              <a:prstDash val="solid"/>
            </a:ln>
          </c:spPr>
          <c:marker>
            <c:symbol val="none"/>
          </c:marker>
          <c:cat>
            <c:numRef>
              <c:f>Fans!$A$6:$A$14</c:f>
              <c:numCache>
                <c:formatCode>General</c:formatCode>
                <c:ptCount val="9"/>
                <c:pt idx="0">
                  <c:v>0.01</c:v>
                </c:pt>
                <c:pt idx="1">
                  <c:v>0.5</c:v>
                </c:pt>
                <c:pt idx="2">
                  <c:v>1</c:v>
                </c:pt>
                <c:pt idx="3">
                  <c:v>1.3</c:v>
                </c:pt>
                <c:pt idx="4">
                  <c:v>1.5</c:v>
                </c:pt>
                <c:pt idx="5">
                  <c:v>1.8</c:v>
                </c:pt>
                <c:pt idx="6">
                  <c:v>2</c:v>
                </c:pt>
                <c:pt idx="7">
                  <c:v>2.2999999999999998</c:v>
                </c:pt>
                <c:pt idx="8">
                  <c:v>2.5</c:v>
                </c:pt>
              </c:numCache>
            </c:numRef>
          </c:cat>
          <c:val>
            <c:numRef>
              <c:f>Fans!$D$6:$D$9</c:f>
              <c:numCache>
                <c:formatCode>0</c:formatCode>
                <c:ptCount val="4"/>
                <c:pt idx="0">
                  <c:v>671.66666666666674</c:v>
                </c:pt>
                <c:pt idx="1">
                  <c:v>541.66666666666674</c:v>
                </c:pt>
                <c:pt idx="2">
                  <c:v>357.5</c:v>
                </c:pt>
                <c:pt idx="3">
                  <c:v>140.83333333333334</c:v>
                </c:pt>
              </c:numCache>
            </c:numRef>
          </c:val>
          <c:smooth val="0"/>
          <c:extLst>
            <c:ext xmlns:c16="http://schemas.microsoft.com/office/drawing/2014/chart" uri="{C3380CC4-5D6E-409C-BE32-E72D297353CC}">
              <c16:uniqueId val="{00000001-17EF-4910-A48B-7B459F4E656A}"/>
            </c:ext>
          </c:extLst>
        </c:ser>
        <c:ser>
          <c:idx val="5"/>
          <c:order val="4"/>
          <c:tx>
            <c:strRef>
              <c:f>Fans!$B$5</c:f>
              <c:strCache>
                <c:ptCount val="1"/>
                <c:pt idx="0">
                  <c:v>Pressure (pa)</c:v>
                </c:pt>
              </c:strCache>
            </c:strRef>
          </c:tx>
          <c:spPr>
            <a:ln w="12700">
              <a:solidFill>
                <a:srgbClr val="FF0000"/>
              </a:solidFill>
              <a:prstDash val="solid"/>
            </a:ln>
          </c:spPr>
          <c:marker>
            <c:symbol val="none"/>
          </c:marker>
          <c:cat>
            <c:numRef>
              <c:f>Fans!$A$6:$A$14</c:f>
              <c:numCache>
                <c:formatCode>General</c:formatCode>
                <c:ptCount val="9"/>
                <c:pt idx="0">
                  <c:v>0.01</c:v>
                </c:pt>
                <c:pt idx="1">
                  <c:v>0.5</c:v>
                </c:pt>
                <c:pt idx="2">
                  <c:v>1</c:v>
                </c:pt>
                <c:pt idx="3">
                  <c:v>1.3</c:v>
                </c:pt>
                <c:pt idx="4">
                  <c:v>1.5</c:v>
                </c:pt>
                <c:pt idx="5">
                  <c:v>1.8</c:v>
                </c:pt>
                <c:pt idx="6">
                  <c:v>2</c:v>
                </c:pt>
                <c:pt idx="7">
                  <c:v>2.2999999999999998</c:v>
                </c:pt>
                <c:pt idx="8">
                  <c:v>2.5</c:v>
                </c:pt>
              </c:numCache>
            </c:numRef>
          </c:cat>
          <c:val>
            <c:numRef>
              <c:f>Fans!$R$7:$R$11</c:f>
              <c:numCache>
                <c:formatCode>0.0</c:formatCode>
                <c:ptCount val="5"/>
                <c:pt idx="0">
                  <c:v>0</c:v>
                </c:pt>
                <c:pt idx="1">
                  <c:v>101.40616549486209</c:v>
                </c:pt>
                <c:pt idx="2">
                  <c:v>405.62466197944838</c:v>
                </c:pt>
                <c:pt idx="3">
                  <c:v>685.5056787452678</c:v>
                </c:pt>
                <c:pt idx="4">
                  <c:v>912.65548945375883</c:v>
                </c:pt>
              </c:numCache>
            </c:numRef>
          </c:val>
          <c:smooth val="0"/>
          <c:extLst>
            <c:ext xmlns:c16="http://schemas.microsoft.com/office/drawing/2014/chart" uri="{C3380CC4-5D6E-409C-BE32-E72D297353CC}">
              <c16:uniqueId val="{00000002-17EF-4910-A48B-7B459F4E656A}"/>
            </c:ext>
          </c:extLst>
        </c:ser>
        <c:ser>
          <c:idx val="0"/>
          <c:order val="0"/>
          <c:tx>
            <c:strRef>
              <c:f>Fans!$A$5</c:f>
              <c:strCache>
                <c:ptCount val="1"/>
                <c:pt idx="0">
                  <c:v>Volume (m³/s)</c:v>
                </c:pt>
              </c:strCache>
            </c:strRef>
          </c:tx>
          <c:spPr>
            <a:ln w="3175">
              <a:solidFill>
                <a:srgbClr val="000000"/>
              </a:solidFill>
              <a:prstDash val="solid"/>
            </a:ln>
          </c:spPr>
          <c:marker>
            <c:symbol val="none"/>
          </c:marker>
          <c:cat>
            <c:numRef>
              <c:f>Fans!$A$6:$A$14</c:f>
              <c:numCache>
                <c:formatCode>General</c:formatCode>
                <c:ptCount val="9"/>
                <c:pt idx="0">
                  <c:v>0.01</c:v>
                </c:pt>
                <c:pt idx="1">
                  <c:v>0.5</c:v>
                </c:pt>
                <c:pt idx="2">
                  <c:v>1</c:v>
                </c:pt>
                <c:pt idx="3">
                  <c:v>1.3</c:v>
                </c:pt>
                <c:pt idx="4">
                  <c:v>1.5</c:v>
                </c:pt>
                <c:pt idx="5">
                  <c:v>1.8</c:v>
                </c:pt>
                <c:pt idx="6">
                  <c:v>2</c:v>
                </c:pt>
                <c:pt idx="7">
                  <c:v>2.2999999999999998</c:v>
                </c:pt>
                <c:pt idx="8">
                  <c:v>2.5</c:v>
                </c:pt>
              </c:numCache>
            </c:numRef>
          </c:cat>
          <c:val>
            <c:numRef>
              <c:f>Fans!$A$6:$A$14</c:f>
              <c:numCache>
                <c:formatCode>General</c:formatCode>
                <c:ptCount val="9"/>
                <c:pt idx="0">
                  <c:v>0.01</c:v>
                </c:pt>
                <c:pt idx="1">
                  <c:v>0.5</c:v>
                </c:pt>
                <c:pt idx="2">
                  <c:v>1</c:v>
                </c:pt>
                <c:pt idx="3">
                  <c:v>1.3</c:v>
                </c:pt>
                <c:pt idx="4">
                  <c:v>1.5</c:v>
                </c:pt>
                <c:pt idx="5">
                  <c:v>1.8</c:v>
                </c:pt>
                <c:pt idx="6">
                  <c:v>2</c:v>
                </c:pt>
                <c:pt idx="7">
                  <c:v>2.2999999999999998</c:v>
                </c:pt>
                <c:pt idx="8">
                  <c:v>2.5</c:v>
                </c:pt>
              </c:numCache>
            </c:numRef>
          </c:val>
          <c:smooth val="0"/>
          <c:extLst>
            <c:ext xmlns:c16="http://schemas.microsoft.com/office/drawing/2014/chart" uri="{C3380CC4-5D6E-409C-BE32-E72D297353CC}">
              <c16:uniqueId val="{00000003-17EF-4910-A48B-7B459F4E656A}"/>
            </c:ext>
          </c:extLst>
        </c:ser>
        <c:ser>
          <c:idx val="1"/>
          <c:order val="1"/>
          <c:tx>
            <c:strRef>
              <c:f>Fans!$B$5</c:f>
              <c:strCache>
                <c:ptCount val="1"/>
                <c:pt idx="0">
                  <c:v>Pressure (pa)</c:v>
                </c:pt>
              </c:strCache>
            </c:strRef>
          </c:tx>
          <c:spPr>
            <a:ln w="12700">
              <a:solidFill>
                <a:srgbClr val="000080"/>
              </a:solidFill>
              <a:prstDash val="solid"/>
            </a:ln>
          </c:spPr>
          <c:marker>
            <c:symbol val="diamond"/>
            <c:size val="4"/>
            <c:spPr>
              <a:solidFill>
                <a:srgbClr val="000080"/>
              </a:solidFill>
              <a:ln>
                <a:solidFill>
                  <a:srgbClr val="000080"/>
                </a:solidFill>
                <a:prstDash val="solid"/>
              </a:ln>
            </c:spPr>
          </c:marker>
          <c:cat>
            <c:numRef>
              <c:f>Fans!$A$6:$A$14</c:f>
              <c:numCache>
                <c:formatCode>General</c:formatCode>
                <c:ptCount val="9"/>
                <c:pt idx="0">
                  <c:v>0.01</c:v>
                </c:pt>
                <c:pt idx="1">
                  <c:v>0.5</c:v>
                </c:pt>
                <c:pt idx="2">
                  <c:v>1</c:v>
                </c:pt>
                <c:pt idx="3">
                  <c:v>1.3</c:v>
                </c:pt>
                <c:pt idx="4">
                  <c:v>1.5</c:v>
                </c:pt>
                <c:pt idx="5">
                  <c:v>1.8</c:v>
                </c:pt>
                <c:pt idx="6">
                  <c:v>2</c:v>
                </c:pt>
                <c:pt idx="7">
                  <c:v>2.2999999999999998</c:v>
                </c:pt>
                <c:pt idx="8">
                  <c:v>2.5</c:v>
                </c:pt>
              </c:numCache>
            </c:numRef>
          </c:cat>
          <c:val>
            <c:numRef>
              <c:f>Fans!$B$6:$B$9</c:f>
              <c:numCache>
                <c:formatCode>General</c:formatCode>
                <c:ptCount val="4"/>
                <c:pt idx="0">
                  <c:v>640</c:v>
                </c:pt>
                <c:pt idx="1">
                  <c:v>480</c:v>
                </c:pt>
                <c:pt idx="2">
                  <c:v>300</c:v>
                </c:pt>
                <c:pt idx="3">
                  <c:v>0</c:v>
                </c:pt>
              </c:numCache>
            </c:numRef>
          </c:val>
          <c:smooth val="0"/>
          <c:extLst>
            <c:ext xmlns:c16="http://schemas.microsoft.com/office/drawing/2014/chart" uri="{C3380CC4-5D6E-409C-BE32-E72D297353CC}">
              <c16:uniqueId val="{00000004-17EF-4910-A48B-7B459F4E656A}"/>
            </c:ext>
          </c:extLst>
        </c:ser>
        <c:ser>
          <c:idx val="6"/>
          <c:order val="5"/>
          <c:tx>
            <c:strRef>
              <c:f>Fans!$F$5</c:f>
              <c:strCache>
                <c:ptCount val="1"/>
                <c:pt idx="0">
                  <c:v>Pressure 15° (pa)</c:v>
                </c:pt>
              </c:strCache>
            </c:strRef>
          </c:tx>
          <c:marker>
            <c:symbol val="none"/>
          </c:marker>
          <c:cat>
            <c:numRef>
              <c:f>Fans!$A$6:$A$14</c:f>
              <c:numCache>
                <c:formatCode>General</c:formatCode>
                <c:ptCount val="9"/>
                <c:pt idx="0">
                  <c:v>0.01</c:v>
                </c:pt>
                <c:pt idx="1">
                  <c:v>0.5</c:v>
                </c:pt>
                <c:pt idx="2">
                  <c:v>1</c:v>
                </c:pt>
                <c:pt idx="3">
                  <c:v>1.3</c:v>
                </c:pt>
                <c:pt idx="4">
                  <c:v>1.5</c:v>
                </c:pt>
                <c:pt idx="5">
                  <c:v>1.8</c:v>
                </c:pt>
                <c:pt idx="6">
                  <c:v>2</c:v>
                </c:pt>
                <c:pt idx="7">
                  <c:v>2.2999999999999998</c:v>
                </c:pt>
                <c:pt idx="8">
                  <c:v>2.5</c:v>
                </c:pt>
              </c:numCache>
            </c:numRef>
          </c:cat>
          <c:val>
            <c:numRef>
              <c:f>Fans!$F$6:$F$9</c:f>
              <c:numCache>
                <c:formatCode>0</c:formatCode>
                <c:ptCount val="4"/>
                <c:pt idx="0">
                  <c:v>758.33333333333337</c:v>
                </c:pt>
                <c:pt idx="1">
                  <c:v>628.33333333333337</c:v>
                </c:pt>
                <c:pt idx="2">
                  <c:v>476.66666666666669</c:v>
                </c:pt>
                <c:pt idx="3">
                  <c:v>303.33333333333337</c:v>
                </c:pt>
              </c:numCache>
            </c:numRef>
          </c:val>
          <c:smooth val="0"/>
          <c:extLst>
            <c:ext xmlns:c16="http://schemas.microsoft.com/office/drawing/2014/chart" uri="{C3380CC4-5D6E-409C-BE32-E72D297353CC}">
              <c16:uniqueId val="{00000005-17EF-4910-A48B-7B459F4E656A}"/>
            </c:ext>
          </c:extLst>
        </c:ser>
        <c:ser>
          <c:idx val="2"/>
          <c:order val="6"/>
          <c:tx>
            <c:strRef>
              <c:f>Fans!$H$5</c:f>
              <c:strCache>
                <c:ptCount val="1"/>
                <c:pt idx="0">
                  <c:v>Pressure 20° (pa)</c:v>
                </c:pt>
              </c:strCache>
            </c:strRef>
          </c:tx>
          <c:marker>
            <c:symbol val="none"/>
          </c:marker>
          <c:val>
            <c:numRef>
              <c:f>Fans!$H$6:$H$10</c:f>
              <c:numCache>
                <c:formatCode>0</c:formatCode>
                <c:ptCount val="5"/>
                <c:pt idx="1">
                  <c:v>671.66666666666674</c:v>
                </c:pt>
                <c:pt idx="2">
                  <c:v>563.33333333333337</c:v>
                </c:pt>
                <c:pt idx="3">
                  <c:v>455</c:v>
                </c:pt>
                <c:pt idx="4">
                  <c:v>325</c:v>
                </c:pt>
              </c:numCache>
            </c:numRef>
          </c:val>
          <c:smooth val="0"/>
          <c:extLst>
            <c:ext xmlns:c16="http://schemas.microsoft.com/office/drawing/2014/chart" uri="{C3380CC4-5D6E-409C-BE32-E72D297353CC}">
              <c16:uniqueId val="{00000006-17EF-4910-A48B-7B459F4E656A}"/>
            </c:ext>
          </c:extLst>
        </c:ser>
        <c:ser>
          <c:idx val="7"/>
          <c:order val="7"/>
          <c:tx>
            <c:strRef>
              <c:f>Fans!$J$5</c:f>
              <c:strCache>
                <c:ptCount val="1"/>
                <c:pt idx="0">
                  <c:v>Pressure 25° (pa)</c:v>
                </c:pt>
              </c:strCache>
            </c:strRef>
          </c:tx>
          <c:marker>
            <c:symbol val="none"/>
          </c:marker>
          <c:val>
            <c:numRef>
              <c:f>Fans!$J$6:$J$12</c:f>
              <c:numCache>
                <c:formatCode>0</c:formatCode>
                <c:ptCount val="7"/>
                <c:pt idx="3">
                  <c:v>530.83333333333337</c:v>
                </c:pt>
                <c:pt idx="4">
                  <c:v>455</c:v>
                </c:pt>
                <c:pt idx="5">
                  <c:v>325</c:v>
                </c:pt>
                <c:pt idx="6">
                  <c:v>140.83333333333334</c:v>
                </c:pt>
              </c:numCache>
            </c:numRef>
          </c:val>
          <c:smooth val="0"/>
          <c:extLst>
            <c:ext xmlns:c16="http://schemas.microsoft.com/office/drawing/2014/chart" uri="{C3380CC4-5D6E-409C-BE32-E72D297353CC}">
              <c16:uniqueId val="{00000007-17EF-4910-A48B-7B459F4E656A}"/>
            </c:ext>
          </c:extLst>
        </c:ser>
        <c:ser>
          <c:idx val="8"/>
          <c:order val="8"/>
          <c:tx>
            <c:strRef>
              <c:f>Fans!$L$5</c:f>
              <c:strCache>
                <c:ptCount val="1"/>
                <c:pt idx="0">
                  <c:v>Pressure 30° (pa)</c:v>
                </c:pt>
              </c:strCache>
            </c:strRef>
          </c:tx>
          <c:marker>
            <c:symbol val="none"/>
          </c:marker>
          <c:val>
            <c:numRef>
              <c:f>Fans!$L$6:$L$13</c:f>
              <c:numCache>
                <c:formatCode>0</c:formatCode>
                <c:ptCount val="8"/>
                <c:pt idx="3">
                  <c:v>541.66666666666674</c:v>
                </c:pt>
                <c:pt idx="4">
                  <c:v>492.91666666666669</c:v>
                </c:pt>
                <c:pt idx="5">
                  <c:v>411.66666666666669</c:v>
                </c:pt>
                <c:pt idx="6">
                  <c:v>303.33333333333337</c:v>
                </c:pt>
                <c:pt idx="7">
                  <c:v>140.83333333333334</c:v>
                </c:pt>
              </c:numCache>
            </c:numRef>
          </c:val>
          <c:smooth val="0"/>
          <c:extLst>
            <c:ext xmlns:c16="http://schemas.microsoft.com/office/drawing/2014/chart" uri="{C3380CC4-5D6E-409C-BE32-E72D297353CC}">
              <c16:uniqueId val="{00000008-17EF-4910-A48B-7B459F4E656A}"/>
            </c:ext>
          </c:extLst>
        </c:ser>
        <c:ser>
          <c:idx val="9"/>
          <c:order val="9"/>
          <c:tx>
            <c:strRef>
              <c:f>Fans!$N$5</c:f>
              <c:strCache>
                <c:ptCount val="1"/>
                <c:pt idx="0">
                  <c:v>Pressure 35° (pa)</c:v>
                </c:pt>
              </c:strCache>
            </c:strRef>
          </c:tx>
          <c:marker>
            <c:symbol val="none"/>
          </c:marker>
          <c:val>
            <c:numRef>
              <c:f>Fans!$N$6:$N$14</c:f>
              <c:numCache>
                <c:formatCode>0</c:formatCode>
                <c:ptCount val="9"/>
                <c:pt idx="4">
                  <c:v>530.83333333333337</c:v>
                </c:pt>
                <c:pt idx="5">
                  <c:v>455</c:v>
                </c:pt>
                <c:pt idx="6">
                  <c:v>379.16666666666669</c:v>
                </c:pt>
                <c:pt idx="7">
                  <c:v>249.16666666666669</c:v>
                </c:pt>
                <c:pt idx="8">
                  <c:v>108.33333333333334</c:v>
                </c:pt>
              </c:numCache>
            </c:numRef>
          </c:val>
          <c:smooth val="0"/>
          <c:extLst>
            <c:ext xmlns:c16="http://schemas.microsoft.com/office/drawing/2014/chart" uri="{C3380CC4-5D6E-409C-BE32-E72D297353CC}">
              <c16:uniqueId val="{00000009-17EF-4910-A48B-7B459F4E656A}"/>
            </c:ext>
          </c:extLst>
        </c:ser>
        <c:dLbls>
          <c:showLegendKey val="0"/>
          <c:showVal val="0"/>
          <c:showCatName val="0"/>
          <c:showSerName val="0"/>
          <c:showPercent val="0"/>
          <c:showBubbleSize val="0"/>
        </c:dLbls>
        <c:smooth val="0"/>
        <c:axId val="126815232"/>
        <c:axId val="126817408"/>
      </c:lineChart>
      <c:catAx>
        <c:axId val="126815232"/>
        <c:scaling>
          <c:orientation val="minMax"/>
        </c:scaling>
        <c:delete val="0"/>
        <c:axPos val="b"/>
        <c:majorGridlines/>
        <c:minorGridlines/>
        <c:title>
          <c:tx>
            <c:rich>
              <a:bodyPr/>
              <a:lstStyle/>
              <a:p>
                <a:pPr>
                  <a:defRPr sz="1000" b="1" i="0" u="none" strike="noStrike" baseline="0">
                    <a:solidFill>
                      <a:srgbClr val="000000"/>
                    </a:solidFill>
                    <a:latin typeface="Arial"/>
                    <a:ea typeface="Arial"/>
                    <a:cs typeface="Arial"/>
                  </a:defRPr>
                </a:pPr>
                <a:r>
                  <a:rPr lang="en-US" sz="1000"/>
                  <a:t>Quantity (m³/s)</a:t>
                </a:r>
              </a:p>
            </c:rich>
          </c:tx>
          <c:layout>
            <c:manualLayout>
              <c:xMode val="edge"/>
              <c:yMode val="edge"/>
              <c:x val="0.45786595082518444"/>
              <c:y val="0.8337000956503489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817408"/>
        <c:crosses val="autoZero"/>
        <c:auto val="1"/>
        <c:lblAlgn val="ctr"/>
        <c:lblOffset val="100"/>
        <c:tickLblSkip val="1"/>
        <c:tickMarkSkip val="1"/>
        <c:noMultiLvlLbl val="0"/>
      </c:catAx>
      <c:valAx>
        <c:axId val="126817408"/>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sz="1000"/>
                  <a:t>Pressure (Pa)</a:t>
                </a:r>
              </a:p>
            </c:rich>
          </c:tx>
          <c:layout>
            <c:manualLayout>
              <c:xMode val="edge"/>
              <c:yMode val="edge"/>
              <c:x val="1.7216085399397018E-2"/>
              <c:y val="0.4194526155928622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815232"/>
        <c:crosses val="autoZero"/>
        <c:crossBetween val="between"/>
      </c:valAx>
      <c:spPr>
        <a:solidFill>
          <a:srgbClr val="FFFFFF"/>
        </a:solidFill>
        <a:ln w="12700">
          <a:solidFill>
            <a:srgbClr val="808080"/>
          </a:solidFill>
          <a:prstDash val="solid"/>
        </a:ln>
      </c:spPr>
    </c:plotArea>
    <c:legend>
      <c:legendPos val="b"/>
      <c:layout>
        <c:manualLayout>
          <c:xMode val="edge"/>
          <c:yMode val="edge"/>
          <c:x val="0.12750538352093008"/>
          <c:y val="0.88499739200014393"/>
          <c:w val="0.82657599405398663"/>
          <c:h val="0.11500260799985598"/>
        </c:manualLayout>
      </c:layout>
      <c:overlay val="0"/>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550" b="1" i="0" u="none" strike="noStrike" baseline="0">
                <a:solidFill>
                  <a:srgbClr val="000000"/>
                </a:solidFill>
                <a:latin typeface="Arial"/>
                <a:ea typeface="Arial"/>
                <a:cs typeface="Arial"/>
              </a:defRPr>
            </a:pPr>
            <a:r>
              <a:rPr lang="en-US"/>
              <a:t>PCM 75kW Axial Fan</a:t>
            </a:r>
          </a:p>
        </c:rich>
      </c:tx>
      <c:layout>
        <c:manualLayout>
          <c:xMode val="edge"/>
          <c:yMode val="edge"/>
          <c:x val="0.12046473171727831"/>
          <c:y val="2.0297075778188525E-2"/>
        </c:manualLayout>
      </c:layout>
      <c:overlay val="0"/>
      <c:spPr>
        <a:noFill/>
        <a:ln w="25400">
          <a:noFill/>
        </a:ln>
      </c:spPr>
    </c:title>
    <c:autoTitleDeleted val="0"/>
    <c:plotArea>
      <c:layout>
        <c:manualLayout>
          <c:layoutTarget val="inner"/>
          <c:xMode val="edge"/>
          <c:yMode val="edge"/>
          <c:x val="6.6829307296946749E-2"/>
          <c:y val="7.6764089252115197E-2"/>
          <c:w val="0.91285989967318748"/>
          <c:h val="0.83426632847581794"/>
        </c:manualLayout>
      </c:layout>
      <c:lineChart>
        <c:grouping val="standard"/>
        <c:varyColors val="0"/>
        <c:ser>
          <c:idx val="0"/>
          <c:order val="0"/>
          <c:tx>
            <c:strRef>
              <c:f>Fans!$A$309</c:f>
              <c:strCache>
                <c:ptCount val="1"/>
                <c:pt idx="0">
                  <c:v>Volume (m³/s)</c:v>
                </c:pt>
              </c:strCache>
            </c:strRef>
          </c:tx>
          <c:spPr>
            <a:ln w="3175">
              <a:solidFill>
                <a:srgbClr val="FFFFFF"/>
              </a:solidFill>
              <a:prstDash val="sysDash"/>
            </a:ln>
          </c:spPr>
          <c:marker>
            <c:symbol val="none"/>
          </c:marker>
          <c:cat>
            <c:numRef>
              <c:f>Fans!$A$275:$A$291</c:f>
              <c:numCache>
                <c:formatCode>General</c:formatCode>
                <c:ptCount val="17"/>
                <c:pt idx="0">
                  <c:v>20</c:v>
                </c:pt>
                <c:pt idx="1">
                  <c:v>22</c:v>
                </c:pt>
                <c:pt idx="2">
                  <c:v>24</c:v>
                </c:pt>
                <c:pt idx="3">
                  <c:v>26</c:v>
                </c:pt>
                <c:pt idx="4">
                  <c:v>28</c:v>
                </c:pt>
                <c:pt idx="5">
                  <c:v>30</c:v>
                </c:pt>
                <c:pt idx="6">
                  <c:v>32</c:v>
                </c:pt>
                <c:pt idx="7">
                  <c:v>34</c:v>
                </c:pt>
                <c:pt idx="8">
                  <c:v>36</c:v>
                </c:pt>
              </c:numCache>
            </c:numRef>
          </c:cat>
          <c:val>
            <c:numRef>
              <c:f>Fans!$A$310:$A$318</c:f>
              <c:numCache>
                <c:formatCode>General</c:formatCode>
                <c:ptCount val="9"/>
                <c:pt idx="0">
                  <c:v>22</c:v>
                </c:pt>
                <c:pt idx="1">
                  <c:v>28</c:v>
                </c:pt>
                <c:pt idx="2">
                  <c:v>30</c:v>
                </c:pt>
                <c:pt idx="3">
                  <c:v>32</c:v>
                </c:pt>
                <c:pt idx="4">
                  <c:v>34</c:v>
                </c:pt>
                <c:pt idx="5">
                  <c:v>37</c:v>
                </c:pt>
                <c:pt idx="6">
                  <c:v>38</c:v>
                </c:pt>
                <c:pt idx="7">
                  <c:v>41</c:v>
                </c:pt>
                <c:pt idx="8">
                  <c:v>42</c:v>
                </c:pt>
              </c:numCache>
            </c:numRef>
          </c:val>
          <c:smooth val="0"/>
          <c:extLst>
            <c:ext xmlns:c16="http://schemas.microsoft.com/office/drawing/2014/chart" uri="{C3380CC4-5D6E-409C-BE32-E72D297353CC}">
              <c16:uniqueId val="{00000000-4A39-4D27-95ED-95F807A98FC0}"/>
            </c:ext>
          </c:extLst>
        </c:ser>
        <c:ser>
          <c:idx val="1"/>
          <c:order val="1"/>
          <c:tx>
            <c:strRef>
              <c:f>Fans!$B$309</c:f>
              <c:strCache>
                <c:ptCount val="1"/>
                <c:pt idx="0">
                  <c:v>Pressure (pa)</c:v>
                </c:pt>
              </c:strCache>
            </c:strRef>
          </c:tx>
          <c:spPr>
            <a:ln w="12700">
              <a:solidFill>
                <a:srgbClr val="000080"/>
              </a:solidFill>
              <a:prstDash val="solid"/>
            </a:ln>
          </c:spPr>
          <c:marker>
            <c:symbol val="diamond"/>
            <c:size val="4"/>
            <c:spPr>
              <a:solidFill>
                <a:srgbClr val="000080"/>
              </a:solidFill>
              <a:ln>
                <a:solidFill>
                  <a:srgbClr val="000080"/>
                </a:solidFill>
                <a:prstDash val="solid"/>
              </a:ln>
            </c:spPr>
          </c:marker>
          <c:cat>
            <c:numRef>
              <c:f>Fans!$A$275:$A$291</c:f>
              <c:numCache>
                <c:formatCode>General</c:formatCode>
                <c:ptCount val="17"/>
                <c:pt idx="0">
                  <c:v>20</c:v>
                </c:pt>
                <c:pt idx="1">
                  <c:v>22</c:v>
                </c:pt>
                <c:pt idx="2">
                  <c:v>24</c:v>
                </c:pt>
                <c:pt idx="3">
                  <c:v>26</c:v>
                </c:pt>
                <c:pt idx="4">
                  <c:v>28</c:v>
                </c:pt>
                <c:pt idx="5">
                  <c:v>30</c:v>
                </c:pt>
                <c:pt idx="6">
                  <c:v>32</c:v>
                </c:pt>
                <c:pt idx="7">
                  <c:v>34</c:v>
                </c:pt>
                <c:pt idx="8">
                  <c:v>36</c:v>
                </c:pt>
              </c:numCache>
            </c:numRef>
          </c:cat>
          <c:val>
            <c:numRef>
              <c:f>Fans!$B$310:$B$318</c:f>
              <c:numCache>
                <c:formatCode>General</c:formatCode>
                <c:ptCount val="9"/>
                <c:pt idx="0">
                  <c:v>2000</c:v>
                </c:pt>
                <c:pt idx="1">
                  <c:v>1750</c:v>
                </c:pt>
                <c:pt idx="2">
                  <c:v>1500</c:v>
                </c:pt>
                <c:pt idx="3">
                  <c:v>1250</c:v>
                </c:pt>
                <c:pt idx="4">
                  <c:v>1000</c:v>
                </c:pt>
                <c:pt idx="5">
                  <c:v>750</c:v>
                </c:pt>
                <c:pt idx="6">
                  <c:v>500</c:v>
                </c:pt>
                <c:pt idx="7">
                  <c:v>250</c:v>
                </c:pt>
                <c:pt idx="8">
                  <c:v>0</c:v>
                </c:pt>
              </c:numCache>
            </c:numRef>
          </c:val>
          <c:smooth val="0"/>
          <c:extLst>
            <c:ext xmlns:c16="http://schemas.microsoft.com/office/drawing/2014/chart" uri="{C3380CC4-5D6E-409C-BE32-E72D297353CC}">
              <c16:uniqueId val="{00000001-4A39-4D27-95ED-95F807A98FC0}"/>
            </c:ext>
          </c:extLst>
        </c:ser>
        <c:ser>
          <c:idx val="2"/>
          <c:order val="2"/>
          <c:tx>
            <c:strRef>
              <c:f>Fans!$C$309</c:f>
              <c:strCache>
                <c:ptCount val="1"/>
                <c:pt idx="0">
                  <c:v>Resistance (pa)</c:v>
                </c:pt>
              </c:strCache>
            </c:strRef>
          </c:tx>
          <c:spPr>
            <a:ln w="12700">
              <a:solidFill>
                <a:srgbClr val="FF0000"/>
              </a:solidFill>
              <a:prstDash val="solid"/>
            </a:ln>
          </c:spPr>
          <c:marker>
            <c:symbol val="triangle"/>
            <c:size val="3"/>
            <c:spPr>
              <a:solidFill>
                <a:srgbClr val="FF0000"/>
              </a:solidFill>
              <a:ln>
                <a:solidFill>
                  <a:srgbClr val="FF0000"/>
                </a:solidFill>
                <a:prstDash val="solid"/>
              </a:ln>
            </c:spPr>
          </c:marker>
          <c:cat>
            <c:numRef>
              <c:f>Fans!$A$275:$A$291</c:f>
              <c:numCache>
                <c:formatCode>General</c:formatCode>
                <c:ptCount val="17"/>
                <c:pt idx="0">
                  <c:v>20</c:v>
                </c:pt>
                <c:pt idx="1">
                  <c:v>22</c:v>
                </c:pt>
                <c:pt idx="2">
                  <c:v>24</c:v>
                </c:pt>
                <c:pt idx="3">
                  <c:v>26</c:v>
                </c:pt>
                <c:pt idx="4">
                  <c:v>28</c:v>
                </c:pt>
                <c:pt idx="5">
                  <c:v>30</c:v>
                </c:pt>
                <c:pt idx="6">
                  <c:v>32</c:v>
                </c:pt>
                <c:pt idx="7">
                  <c:v>34</c:v>
                </c:pt>
                <c:pt idx="8">
                  <c:v>36</c:v>
                </c:pt>
              </c:numCache>
            </c:numRef>
          </c:cat>
          <c:val>
            <c:numRef>
              <c:f>Fans!$C$310:$C$318</c:f>
              <c:numCache>
                <c:formatCode>0.0</c:formatCode>
                <c:ptCount val="9"/>
                <c:pt idx="0">
                  <c:v>2982.4079999999999</c:v>
                </c:pt>
                <c:pt idx="1">
                  <c:v>4831.0079999999998</c:v>
                </c:pt>
                <c:pt idx="2">
                  <c:v>5545.8</c:v>
                </c:pt>
                <c:pt idx="3">
                  <c:v>6309.8879999999999</c:v>
                </c:pt>
                <c:pt idx="4">
                  <c:v>7123.2719999999999</c:v>
                </c:pt>
                <c:pt idx="5">
                  <c:v>8435.7780000000002</c:v>
                </c:pt>
                <c:pt idx="6">
                  <c:v>8897.9279999999999</c:v>
                </c:pt>
                <c:pt idx="7">
                  <c:v>10358.322</c:v>
                </c:pt>
                <c:pt idx="8">
                  <c:v>10869.768</c:v>
                </c:pt>
              </c:numCache>
            </c:numRef>
          </c:val>
          <c:smooth val="0"/>
          <c:extLst>
            <c:ext xmlns:c16="http://schemas.microsoft.com/office/drawing/2014/chart" uri="{C3380CC4-5D6E-409C-BE32-E72D297353CC}">
              <c16:uniqueId val="{00000002-4A39-4D27-95ED-95F807A98FC0}"/>
            </c:ext>
          </c:extLst>
        </c:ser>
        <c:dLbls>
          <c:showLegendKey val="0"/>
          <c:showVal val="0"/>
          <c:showCatName val="0"/>
          <c:showSerName val="0"/>
          <c:showPercent val="0"/>
          <c:showBubbleSize val="0"/>
        </c:dLbls>
        <c:smooth val="0"/>
        <c:axId val="126843520"/>
        <c:axId val="126874752"/>
      </c:lineChart>
      <c:catAx>
        <c:axId val="126843520"/>
        <c:scaling>
          <c:orientation val="minMax"/>
        </c:scaling>
        <c:delete val="0"/>
        <c:axPos val="b"/>
        <c:title>
          <c:tx>
            <c:rich>
              <a:bodyPr/>
              <a:lstStyle/>
              <a:p>
                <a:pPr>
                  <a:defRPr sz="725" b="1" i="0" u="none" strike="noStrike" baseline="0">
                    <a:solidFill>
                      <a:srgbClr val="000000"/>
                    </a:solidFill>
                    <a:latin typeface="Arial"/>
                    <a:ea typeface="Arial"/>
                    <a:cs typeface="Arial"/>
                  </a:defRPr>
                </a:pPr>
                <a:r>
                  <a:rPr lang="en-US"/>
                  <a:t>Quantity (m³/s)</a:t>
                </a:r>
              </a:p>
            </c:rich>
          </c:tx>
          <c:layout>
            <c:manualLayout>
              <c:xMode val="edge"/>
              <c:yMode val="edge"/>
              <c:x val="0.46638327450448003"/>
              <c:y val="0.9428948023832787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725" b="0" i="0" u="none" strike="noStrike" baseline="0">
                <a:solidFill>
                  <a:srgbClr val="000000"/>
                </a:solidFill>
                <a:latin typeface="Arial"/>
                <a:ea typeface="Arial"/>
                <a:cs typeface="Arial"/>
              </a:defRPr>
            </a:pPr>
            <a:endParaRPr lang="en-US"/>
          </a:p>
        </c:txPr>
        <c:crossAx val="126874752"/>
        <c:crosses val="autoZero"/>
        <c:auto val="1"/>
        <c:lblAlgn val="ctr"/>
        <c:lblOffset val="100"/>
        <c:tickLblSkip val="1"/>
        <c:tickMarkSkip val="1"/>
        <c:noMultiLvlLbl val="0"/>
      </c:catAx>
      <c:valAx>
        <c:axId val="126874752"/>
        <c:scaling>
          <c:orientation val="minMax"/>
        </c:scaling>
        <c:delete val="0"/>
        <c:axPos val="l"/>
        <c:majorGridlines>
          <c:spPr>
            <a:ln w="3175">
              <a:solidFill>
                <a:srgbClr val="000000"/>
              </a:solidFill>
              <a:prstDash val="solid"/>
            </a:ln>
          </c:spPr>
        </c:majorGridlines>
        <c:title>
          <c:tx>
            <c:rich>
              <a:bodyPr/>
              <a:lstStyle/>
              <a:p>
                <a:pPr>
                  <a:defRPr sz="725" b="1" i="0" u="none" strike="noStrike" baseline="0">
                    <a:solidFill>
                      <a:srgbClr val="000000"/>
                    </a:solidFill>
                    <a:latin typeface="Arial"/>
                    <a:ea typeface="Arial"/>
                    <a:cs typeface="Arial"/>
                  </a:defRPr>
                </a:pPr>
                <a:r>
                  <a:rPr lang="en-US"/>
                  <a:t>Pressure (Pa)</a:t>
                </a:r>
              </a:p>
            </c:rich>
          </c:tx>
          <c:layout>
            <c:manualLayout>
              <c:xMode val="edge"/>
              <c:yMode val="edge"/>
              <c:x val="1.7062756810571091E-2"/>
              <c:y val="0.431616989482154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725" b="0" i="0" u="none" strike="noStrike" baseline="0">
                <a:solidFill>
                  <a:srgbClr val="000000"/>
                </a:solidFill>
                <a:latin typeface="Arial"/>
                <a:ea typeface="Arial"/>
                <a:cs typeface="Arial"/>
              </a:defRPr>
            </a:pPr>
            <a:endParaRPr lang="en-US"/>
          </a:p>
        </c:txPr>
        <c:crossAx val="126843520"/>
        <c:crosses val="autoZero"/>
        <c:crossBetween val="between"/>
      </c:valAx>
      <c:spPr>
        <a:solidFill>
          <a:srgbClr val="FFFFFF"/>
        </a:solidFill>
        <a:ln w="25400">
          <a:noFill/>
        </a:ln>
      </c:spPr>
    </c:plotArea>
    <c:legend>
      <c:legendPos val="b"/>
      <c:layout>
        <c:manualLayout>
          <c:xMode val="edge"/>
          <c:yMode val="edge"/>
          <c:x val="0.3170836817811567"/>
          <c:y val="0.96317213632967413"/>
          <c:w val="0.45500805502760427"/>
          <c:h val="2.4622411249688669E-2"/>
        </c:manualLayout>
      </c:layout>
      <c:overlay val="0"/>
      <c:spPr>
        <a:solidFill>
          <a:srgbClr val="FFFFFF"/>
        </a:solidFill>
        <a:ln w="3175">
          <a:solidFill>
            <a:srgbClr val="000000"/>
          </a:solidFill>
          <a:prstDash val="solid"/>
        </a:ln>
      </c:spPr>
      <c:txPr>
        <a:bodyPr/>
        <a:lstStyle/>
        <a:p>
          <a:pPr>
            <a:defRPr sz="47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autoTitleDeleted val="1"/>
    <c:plotArea>
      <c:layout/>
      <c:lineChart>
        <c:grouping val="standard"/>
        <c:varyColors val="0"/>
        <c:ser>
          <c:idx val="0"/>
          <c:order val="0"/>
          <c:tx>
            <c:strRef>
              <c:f>'Duct and Fan Selection'!$D$46:$D$48</c:f>
              <c:strCache>
                <c:ptCount val="3"/>
                <c:pt idx="0">
                  <c:v>Original Fan Curve (ω=  kg/m³)</c:v>
                </c:pt>
              </c:strCache>
            </c:strRef>
          </c:tx>
          <c:spPr>
            <a:ln w="0">
              <a:solidFill>
                <a:srgbClr val="000066"/>
              </a:solidFill>
              <a:prstDash val="dash"/>
            </a:ln>
          </c:spPr>
          <c:marker>
            <c:symbol val="none"/>
          </c:marker>
          <c:cat>
            <c:multiLvlStrRef>
              <c:f>'Duct and Fan Selection'!$C$50:$C$94</c:f>
            </c:multiLvlStrRef>
          </c:cat>
          <c:val>
            <c:numRef>
              <c:f>'Duct and Fan Selection'!$D$50:$D$94</c:f>
              <c:numCache>
                <c:formatCode>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1"/>
          <c:extLst>
            <c:ext xmlns:c16="http://schemas.microsoft.com/office/drawing/2014/chart" uri="{C3380CC4-5D6E-409C-BE32-E72D297353CC}">
              <c16:uniqueId val="{00000000-A55C-4E93-B9D7-2683753A18DC}"/>
            </c:ext>
          </c:extLst>
        </c:ser>
        <c:ser>
          <c:idx val="1"/>
          <c:order val="1"/>
          <c:tx>
            <c:strRef>
              <c:f>'Duct and Fan Selection'!$E$46:$E$48</c:f>
              <c:strCache>
                <c:ptCount val="3"/>
                <c:pt idx="0">
                  <c:v>Fan Curve (ω= 1.200 kg/m³)</c:v>
                </c:pt>
              </c:strCache>
            </c:strRef>
          </c:tx>
          <c:spPr>
            <a:ln w="38100">
              <a:solidFill>
                <a:srgbClr val="000066"/>
              </a:solidFill>
            </a:ln>
          </c:spPr>
          <c:marker>
            <c:symbol val="none"/>
          </c:marker>
          <c:cat>
            <c:multiLvlStrRef>
              <c:f>'Duct and Fan Selection'!$C$50:$C$94</c:f>
            </c:multiLvlStrRef>
          </c:cat>
          <c:val>
            <c:numRef>
              <c:f>'Duct and Fan Selection'!$E$50:$E$94</c:f>
              <c:numCache>
                <c:formatCode>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1"/>
          <c:extLst>
            <c:ext xmlns:c16="http://schemas.microsoft.com/office/drawing/2014/chart" uri="{C3380CC4-5D6E-409C-BE32-E72D297353CC}">
              <c16:uniqueId val="{00000001-A55C-4E93-B9D7-2683753A18DC}"/>
            </c:ext>
          </c:extLst>
        </c:ser>
        <c:ser>
          <c:idx val="2"/>
          <c:order val="2"/>
          <c:tx>
            <c:strRef>
              <c:f>'Duct and Fan Selection'!$F$46:$F$49</c:f>
              <c:strCache>
                <c:ptCount val="4"/>
                <c:pt idx="0">
                  <c:v>System Resistance =  Ns²/m⁸</c:v>
                </c:pt>
              </c:strCache>
            </c:strRef>
          </c:tx>
          <c:spPr>
            <a:ln w="38100">
              <a:solidFill>
                <a:srgbClr val="FF0000"/>
              </a:solidFill>
            </a:ln>
          </c:spPr>
          <c:marker>
            <c:symbol val="none"/>
          </c:marker>
          <c:val>
            <c:numRef>
              <c:f>'Duct and Fan Selection'!$O$50:$O$94</c:f>
              <c:numCache>
                <c:formatCode>0.0</c:formatCode>
                <c:ptCount val="30"/>
                <c:pt idx="0">
                  <c:v>0</c:v>
                </c:pt>
              </c:numCache>
            </c:numRef>
          </c:val>
          <c:smooth val="1"/>
          <c:extLst>
            <c:ext xmlns:c16="http://schemas.microsoft.com/office/drawing/2014/chart" uri="{C3380CC4-5D6E-409C-BE32-E72D297353CC}">
              <c16:uniqueId val="{00000002-A55C-4E93-B9D7-2683753A18DC}"/>
            </c:ext>
          </c:extLst>
        </c:ser>
        <c:ser>
          <c:idx val="4"/>
          <c:order val="3"/>
          <c:tx>
            <c:v>Stall Zone</c:v>
          </c:tx>
          <c:spPr>
            <a:ln w="0">
              <a:solidFill>
                <a:srgbClr val="000066"/>
              </a:solidFill>
            </a:ln>
            <a:effectLst>
              <a:glow rad="254000">
                <a:srgbClr val="FFFF00">
                  <a:alpha val="70000"/>
                </a:srgbClr>
              </a:glow>
            </a:effectLst>
          </c:spPr>
          <c:marker>
            <c:symbol val="none"/>
          </c:marker>
          <c:val>
            <c:numRef>
              <c:f>'Duct and Fan Selection'!$X$50:$X$94</c:f>
              <c:numCache>
                <c:formatCode>0.0</c:formatCode>
                <c:ptCount val="30"/>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1"/>
          <c:extLst>
            <c:ext xmlns:c16="http://schemas.microsoft.com/office/drawing/2014/chart" uri="{C3380CC4-5D6E-409C-BE32-E72D297353CC}">
              <c16:uniqueId val="{00000003-A55C-4E93-B9D7-2683753A18DC}"/>
            </c:ext>
          </c:extLst>
        </c:ser>
        <c:dLbls>
          <c:showLegendKey val="0"/>
          <c:showVal val="0"/>
          <c:showCatName val="0"/>
          <c:showSerName val="0"/>
          <c:showPercent val="0"/>
          <c:showBubbleSize val="0"/>
        </c:dLbls>
        <c:marker val="1"/>
        <c:smooth val="0"/>
        <c:axId val="58801536"/>
        <c:axId val="58811904"/>
      </c:lineChart>
      <c:lineChart>
        <c:grouping val="standard"/>
        <c:varyColors val="0"/>
        <c:ser>
          <c:idx val="3"/>
          <c:order val="4"/>
          <c:tx>
            <c:strRef>
              <c:f>'Duct and Fan Selection'!$H$46:$H$48</c:f>
              <c:strCache>
                <c:ptCount val="3"/>
                <c:pt idx="0">
                  <c:v>Input Power (Density Corrected)</c:v>
                </c:pt>
              </c:strCache>
            </c:strRef>
          </c:tx>
          <c:spPr>
            <a:ln w="25400">
              <a:prstDash val="solid"/>
            </a:ln>
          </c:spPr>
          <c:marker>
            <c:symbol val="none"/>
          </c:marker>
          <c:val>
            <c:numRef>
              <c:f>'Duct and Fan Selection'!$H$50:$H$94</c:f>
              <c:numCache>
                <c:formatCode>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4-A55C-4E93-B9D7-2683753A18DC}"/>
            </c:ext>
          </c:extLst>
        </c:ser>
        <c:ser>
          <c:idx val="5"/>
          <c:order val="5"/>
          <c:tx>
            <c:strRef>
              <c:f>'Duct and Fan Selection'!$J$46:$J$48</c:f>
              <c:strCache>
                <c:ptCount val="3"/>
                <c:pt idx="0">
                  <c:v>Efficiency in %</c:v>
                </c:pt>
              </c:strCache>
            </c:strRef>
          </c:tx>
          <c:spPr>
            <a:ln w="25400"/>
          </c:spPr>
          <c:marker>
            <c:symbol val="none"/>
          </c:marker>
          <c:val>
            <c:numRef>
              <c:f>'Duct and Fan Selection'!$J$50:$J$94</c:f>
              <c:numCache>
                <c:formatCode>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5-A55C-4E93-B9D7-2683753A18DC}"/>
            </c:ext>
          </c:extLst>
        </c:ser>
        <c:dLbls>
          <c:showLegendKey val="0"/>
          <c:showVal val="0"/>
          <c:showCatName val="0"/>
          <c:showSerName val="0"/>
          <c:showPercent val="0"/>
          <c:showBubbleSize val="0"/>
        </c:dLbls>
        <c:marker val="1"/>
        <c:smooth val="0"/>
        <c:axId val="58824192"/>
        <c:axId val="58813824"/>
      </c:lineChart>
      <c:catAx>
        <c:axId val="58801536"/>
        <c:scaling>
          <c:orientation val="minMax"/>
        </c:scaling>
        <c:delete val="0"/>
        <c:axPos val="b"/>
        <c:title>
          <c:tx>
            <c:rich>
              <a:bodyPr/>
              <a:lstStyle/>
              <a:p>
                <a:pPr>
                  <a:defRPr/>
                </a:pPr>
                <a:r>
                  <a:rPr lang="en-GB"/>
                  <a:t>Pressure (Pa)</a:t>
                </a:r>
              </a:p>
            </c:rich>
          </c:tx>
          <c:overlay val="0"/>
        </c:title>
        <c:numFmt formatCode="0.00" sourceLinked="1"/>
        <c:majorTickMark val="out"/>
        <c:minorTickMark val="none"/>
        <c:tickLblPos val="nextTo"/>
        <c:spPr>
          <a:ln>
            <a:solidFill>
              <a:srgbClr val="028EC6"/>
            </a:solidFill>
          </a:ln>
        </c:spPr>
        <c:txPr>
          <a:bodyPr rot="-5400000" vert="horz"/>
          <a:lstStyle/>
          <a:p>
            <a:pPr>
              <a:defRPr/>
            </a:pPr>
            <a:endParaRPr lang="en-US"/>
          </a:p>
        </c:txPr>
        <c:crossAx val="58811904"/>
        <c:crosses val="autoZero"/>
        <c:auto val="1"/>
        <c:lblAlgn val="ctr"/>
        <c:lblOffset val="100"/>
        <c:noMultiLvlLbl val="0"/>
      </c:catAx>
      <c:valAx>
        <c:axId val="58811904"/>
        <c:scaling>
          <c:orientation val="minMax"/>
          <c:min val="0"/>
        </c:scaling>
        <c:delete val="0"/>
        <c:axPos val="l"/>
        <c:majorGridlines>
          <c:spPr>
            <a:ln>
              <a:solidFill>
                <a:srgbClr val="02AAEF">
                  <a:alpha val="40000"/>
                </a:srgbClr>
              </a:solidFill>
            </a:ln>
          </c:spPr>
        </c:majorGridlines>
        <c:title>
          <c:tx>
            <c:rich>
              <a:bodyPr rot="-5400000" vert="horz"/>
              <a:lstStyle/>
              <a:p>
                <a:pPr>
                  <a:defRPr>
                    <a:solidFill>
                      <a:srgbClr val="02AAEF"/>
                    </a:solidFill>
                  </a:defRPr>
                </a:pPr>
                <a:r>
                  <a:rPr lang="en-GB">
                    <a:solidFill>
                      <a:srgbClr val="02AAEF"/>
                    </a:solidFill>
                  </a:rPr>
                  <a:t>Quantity (m³/s)</a:t>
                </a:r>
              </a:p>
            </c:rich>
          </c:tx>
          <c:overlay val="0"/>
        </c:title>
        <c:numFmt formatCode="0" sourceLinked="0"/>
        <c:majorTickMark val="out"/>
        <c:minorTickMark val="none"/>
        <c:tickLblPos val="nextTo"/>
        <c:spPr>
          <a:ln>
            <a:solidFill>
              <a:srgbClr val="028EC6"/>
            </a:solidFill>
          </a:ln>
        </c:spPr>
        <c:crossAx val="58801536"/>
        <c:crosses val="autoZero"/>
        <c:crossBetween val="midCat"/>
        <c:majorUnit val="200"/>
      </c:valAx>
      <c:valAx>
        <c:axId val="58813824"/>
        <c:scaling>
          <c:orientation val="minMax"/>
          <c:max val="100"/>
        </c:scaling>
        <c:delete val="0"/>
        <c:axPos val="r"/>
        <c:title>
          <c:tx>
            <c:rich>
              <a:bodyPr rot="-5400000" vert="horz"/>
              <a:lstStyle/>
              <a:p>
                <a:pPr>
                  <a:defRPr/>
                </a:pPr>
                <a:r>
                  <a:rPr lang="en-US"/>
                  <a:t>Efficiency (%)</a:t>
                </a:r>
                <a:r>
                  <a:rPr lang="en-US" baseline="0"/>
                  <a:t> &amp; Input Power (kW)</a:t>
                </a:r>
                <a:endParaRPr lang="en-US"/>
              </a:p>
            </c:rich>
          </c:tx>
          <c:overlay val="0"/>
        </c:title>
        <c:numFmt formatCode="0" sourceLinked="0"/>
        <c:majorTickMark val="out"/>
        <c:minorTickMark val="none"/>
        <c:tickLblPos val="nextTo"/>
        <c:crossAx val="58824192"/>
        <c:crosses val="max"/>
        <c:crossBetween val="between"/>
      </c:valAx>
      <c:catAx>
        <c:axId val="58824192"/>
        <c:scaling>
          <c:orientation val="minMax"/>
        </c:scaling>
        <c:delete val="1"/>
        <c:axPos val="b"/>
        <c:majorTickMark val="out"/>
        <c:minorTickMark val="none"/>
        <c:tickLblPos val="nextTo"/>
        <c:crossAx val="58813824"/>
        <c:crosses val="autoZero"/>
        <c:auto val="1"/>
        <c:lblAlgn val="ctr"/>
        <c:lblOffset val="100"/>
        <c:noMultiLvlLbl val="0"/>
      </c:catAx>
      <c:spPr>
        <a:noFill/>
        <a:ln>
          <a:solidFill>
            <a:srgbClr val="02AAEF"/>
          </a:solidFill>
        </a:ln>
      </c:spPr>
    </c:plotArea>
    <c:legend>
      <c:legendPos val="b"/>
      <c:overlay val="0"/>
      <c:txPr>
        <a:bodyPr/>
        <a:lstStyle/>
        <a:p>
          <a:pPr>
            <a:defRPr sz="600">
              <a:solidFill>
                <a:schemeClr val="tx1"/>
              </a:solidFill>
            </a:defRPr>
          </a:pPr>
          <a:endParaRPr lang="en-US"/>
        </a:p>
      </c:txPr>
    </c:legend>
    <c:plotVisOnly val="1"/>
    <c:dispBlanksAs val="gap"/>
    <c:showDLblsOverMax val="0"/>
  </c:chart>
  <c:spPr>
    <a:ln w="0">
      <a:noFill/>
    </a:ln>
  </c:spPr>
  <c:txPr>
    <a:bodyPr/>
    <a:lstStyle/>
    <a:p>
      <a:pPr>
        <a:defRPr sz="800">
          <a:solidFill>
            <a:srgbClr val="02AAEF"/>
          </a:solidFill>
          <a:latin typeface="Trebuchet MS"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30298463439565"/>
          <c:y val="0.10476439700183536"/>
          <c:w val="0.84795454058262143"/>
          <c:h val="0.69679447053765753"/>
        </c:manualLayout>
      </c:layout>
      <c:lineChart>
        <c:grouping val="standard"/>
        <c:varyColors val="0"/>
        <c:ser>
          <c:idx val="0"/>
          <c:order val="0"/>
          <c:tx>
            <c:strRef>
              <c:f>'Vehicle Qty &amp; heat graph'!$B$64</c:f>
              <c:strCache>
                <c:ptCount val="1"/>
                <c:pt idx="0">
                  <c:v>220kW Vehicle</c:v>
                </c:pt>
              </c:strCache>
            </c:strRef>
          </c:tx>
          <c:spPr>
            <a:ln>
              <a:solidFill>
                <a:srgbClr val="7030A0"/>
              </a:solidFill>
            </a:ln>
          </c:spPr>
          <c:marker>
            <c:spPr>
              <a:solidFill>
                <a:srgbClr val="7030A0"/>
              </a:solidFill>
              <a:ln>
                <a:solidFill>
                  <a:srgbClr val="7030A0"/>
                </a:solidFill>
              </a:ln>
            </c:spPr>
          </c:marker>
          <c:cat>
            <c:numRef>
              <c:f>'Vehicle Qty &amp; heat graph'!$C$40:$L$40</c:f>
              <c:numCache>
                <c:formatCode>General</c:formatCode>
                <c:ptCount val="10"/>
                <c:pt idx="0">
                  <c:v>50</c:v>
                </c:pt>
                <c:pt idx="1">
                  <c:v>100</c:v>
                </c:pt>
                <c:pt idx="2">
                  <c:v>150</c:v>
                </c:pt>
                <c:pt idx="3">
                  <c:v>200</c:v>
                </c:pt>
                <c:pt idx="4">
                  <c:v>250</c:v>
                </c:pt>
                <c:pt idx="5">
                  <c:v>300</c:v>
                </c:pt>
                <c:pt idx="6">
                  <c:v>350</c:v>
                </c:pt>
                <c:pt idx="7">
                  <c:v>400</c:v>
                </c:pt>
                <c:pt idx="8">
                  <c:v>450</c:v>
                </c:pt>
                <c:pt idx="9">
                  <c:v>500</c:v>
                </c:pt>
              </c:numCache>
            </c:numRef>
          </c:cat>
          <c:val>
            <c:numRef>
              <c:f>'Vehicle Qty &amp; heat graph'!$C$64:$L$64</c:f>
              <c:numCache>
                <c:formatCode>0.0</c:formatCode>
                <c:ptCount val="10"/>
                <c:pt idx="0">
                  <c:v>18.940835522759006</c:v>
                </c:pt>
                <c:pt idx="1">
                  <c:v>19.876185425117477</c:v>
                </c:pt>
                <c:pt idx="2">
                  <c:v>20.811535327475944</c:v>
                </c:pt>
                <c:pt idx="3">
                  <c:v>21.746885229834415</c:v>
                </c:pt>
                <c:pt idx="4">
                  <c:v>22.682235132192886</c:v>
                </c:pt>
                <c:pt idx="5">
                  <c:v>23.617585034551354</c:v>
                </c:pt>
                <c:pt idx="6">
                  <c:v>24.552934936909825</c:v>
                </c:pt>
                <c:pt idx="7">
                  <c:v>25.488284839268292</c:v>
                </c:pt>
                <c:pt idx="8">
                  <c:v>26.423634741626763</c:v>
                </c:pt>
                <c:pt idx="9">
                  <c:v>27.358984643985234</c:v>
                </c:pt>
              </c:numCache>
            </c:numRef>
          </c:val>
          <c:smooth val="0"/>
          <c:extLst>
            <c:ext xmlns:c16="http://schemas.microsoft.com/office/drawing/2014/chart" uri="{C3380CC4-5D6E-409C-BE32-E72D297353CC}">
              <c16:uniqueId val="{00000000-EC3F-4EA6-8663-C56A0066E31F}"/>
            </c:ext>
          </c:extLst>
        </c:ser>
        <c:ser>
          <c:idx val="1"/>
          <c:order val="1"/>
          <c:tx>
            <c:strRef>
              <c:f>'Vehicle Qty &amp; heat graph'!$B$65</c:f>
              <c:strCache>
                <c:ptCount val="1"/>
                <c:pt idx="0">
                  <c:v>250kW Vehicle</c:v>
                </c:pt>
              </c:strCache>
            </c:strRef>
          </c:tx>
          <c:spPr>
            <a:ln>
              <a:solidFill>
                <a:schemeClr val="accent3">
                  <a:lumMod val="50000"/>
                </a:schemeClr>
              </a:solidFill>
            </a:ln>
          </c:spPr>
          <c:marker>
            <c:spPr>
              <a:solidFill>
                <a:schemeClr val="accent3">
                  <a:lumMod val="50000"/>
                </a:schemeClr>
              </a:solidFill>
              <a:ln>
                <a:solidFill>
                  <a:schemeClr val="accent3">
                    <a:lumMod val="50000"/>
                  </a:schemeClr>
                </a:solidFill>
              </a:ln>
            </c:spPr>
          </c:marker>
          <c:cat>
            <c:numRef>
              <c:f>'Vehicle Qty &amp; heat graph'!$C$40:$L$40</c:f>
              <c:numCache>
                <c:formatCode>General</c:formatCode>
                <c:ptCount val="10"/>
                <c:pt idx="0">
                  <c:v>50</c:v>
                </c:pt>
                <c:pt idx="1">
                  <c:v>100</c:v>
                </c:pt>
                <c:pt idx="2">
                  <c:v>150</c:v>
                </c:pt>
                <c:pt idx="3">
                  <c:v>200</c:v>
                </c:pt>
                <c:pt idx="4">
                  <c:v>250</c:v>
                </c:pt>
                <c:pt idx="5">
                  <c:v>300</c:v>
                </c:pt>
                <c:pt idx="6">
                  <c:v>350</c:v>
                </c:pt>
                <c:pt idx="7">
                  <c:v>400</c:v>
                </c:pt>
                <c:pt idx="8">
                  <c:v>450</c:v>
                </c:pt>
                <c:pt idx="9">
                  <c:v>500</c:v>
                </c:pt>
              </c:numCache>
            </c:numRef>
          </c:cat>
          <c:val>
            <c:numRef>
              <c:f>'Vehicle Qty &amp; heat graph'!$C$65:$L$65</c:f>
              <c:numCache>
                <c:formatCode>0.0</c:formatCode>
                <c:ptCount val="10"/>
                <c:pt idx="0">
                  <c:v>21.045372803065565</c:v>
                </c:pt>
                <c:pt idx="1">
                  <c:v>21.980722705424032</c:v>
                </c:pt>
                <c:pt idx="2">
                  <c:v>22.9160726077825</c:v>
                </c:pt>
                <c:pt idx="3">
                  <c:v>23.851422510140971</c:v>
                </c:pt>
                <c:pt idx="4">
                  <c:v>24.786772412499438</c:v>
                </c:pt>
                <c:pt idx="5">
                  <c:v>25.722122314857909</c:v>
                </c:pt>
                <c:pt idx="6">
                  <c:v>26.65747221721638</c:v>
                </c:pt>
                <c:pt idx="7">
                  <c:v>27.592822119574851</c:v>
                </c:pt>
                <c:pt idx="8">
                  <c:v>28.528172021933322</c:v>
                </c:pt>
                <c:pt idx="9">
                  <c:v>29.463521924291793</c:v>
                </c:pt>
              </c:numCache>
            </c:numRef>
          </c:val>
          <c:smooth val="0"/>
          <c:extLst>
            <c:ext xmlns:c16="http://schemas.microsoft.com/office/drawing/2014/chart" uri="{C3380CC4-5D6E-409C-BE32-E72D297353CC}">
              <c16:uniqueId val="{00000001-EC3F-4EA6-8663-C56A0066E31F}"/>
            </c:ext>
          </c:extLst>
        </c:ser>
        <c:ser>
          <c:idx val="2"/>
          <c:order val="2"/>
          <c:tx>
            <c:strRef>
              <c:f>'Vehicle Qty &amp; heat graph'!$B$66</c:f>
              <c:strCache>
                <c:ptCount val="1"/>
                <c:pt idx="0">
                  <c:v>280kW Vehicle</c:v>
                </c:pt>
              </c:strCache>
            </c:strRef>
          </c:tx>
          <c:spPr>
            <a:ln>
              <a:solidFill>
                <a:schemeClr val="tx2">
                  <a:lumMod val="60000"/>
                  <a:lumOff val="40000"/>
                </a:schemeClr>
              </a:solidFill>
            </a:ln>
          </c:spPr>
          <c:marker>
            <c:symbol val="diamond"/>
            <c:size val="10"/>
            <c:spPr>
              <a:solidFill>
                <a:schemeClr val="tx2">
                  <a:lumMod val="60000"/>
                  <a:lumOff val="40000"/>
                </a:schemeClr>
              </a:solidFill>
              <a:ln>
                <a:solidFill>
                  <a:schemeClr val="tx2">
                    <a:lumMod val="60000"/>
                    <a:lumOff val="40000"/>
                  </a:schemeClr>
                </a:solidFill>
              </a:ln>
            </c:spPr>
          </c:marker>
          <c:cat>
            <c:numRef>
              <c:f>'Vehicle Qty &amp; heat graph'!$C$40:$L$40</c:f>
              <c:numCache>
                <c:formatCode>General</c:formatCode>
                <c:ptCount val="10"/>
                <c:pt idx="0">
                  <c:v>50</c:v>
                </c:pt>
                <c:pt idx="1">
                  <c:v>100</c:v>
                </c:pt>
                <c:pt idx="2">
                  <c:v>150</c:v>
                </c:pt>
                <c:pt idx="3">
                  <c:v>200</c:v>
                </c:pt>
                <c:pt idx="4">
                  <c:v>250</c:v>
                </c:pt>
                <c:pt idx="5">
                  <c:v>300</c:v>
                </c:pt>
                <c:pt idx="6">
                  <c:v>350</c:v>
                </c:pt>
                <c:pt idx="7">
                  <c:v>400</c:v>
                </c:pt>
                <c:pt idx="8">
                  <c:v>450</c:v>
                </c:pt>
                <c:pt idx="9">
                  <c:v>500</c:v>
                </c:pt>
              </c:numCache>
            </c:numRef>
          </c:cat>
          <c:val>
            <c:numRef>
              <c:f>'Vehicle Qty &amp; heat graph'!$C$66:$L$66</c:f>
              <c:numCache>
                <c:formatCode>0.0</c:formatCode>
                <c:ptCount val="10"/>
                <c:pt idx="0">
                  <c:v>23.14991008337212</c:v>
                </c:pt>
                <c:pt idx="1">
                  <c:v>24.085259985730591</c:v>
                </c:pt>
                <c:pt idx="2">
                  <c:v>25.020609888089059</c:v>
                </c:pt>
                <c:pt idx="3">
                  <c:v>25.955959790447526</c:v>
                </c:pt>
                <c:pt idx="4">
                  <c:v>26.891309692805997</c:v>
                </c:pt>
                <c:pt idx="5">
                  <c:v>27.826659595164468</c:v>
                </c:pt>
                <c:pt idx="6">
                  <c:v>28.762009497522939</c:v>
                </c:pt>
                <c:pt idx="7">
                  <c:v>29.697359399881403</c:v>
                </c:pt>
                <c:pt idx="8">
                  <c:v>30.632709302239874</c:v>
                </c:pt>
                <c:pt idx="9">
                  <c:v>31.568059204598345</c:v>
                </c:pt>
              </c:numCache>
            </c:numRef>
          </c:val>
          <c:smooth val="0"/>
          <c:extLst>
            <c:ext xmlns:c16="http://schemas.microsoft.com/office/drawing/2014/chart" uri="{C3380CC4-5D6E-409C-BE32-E72D297353CC}">
              <c16:uniqueId val="{00000002-EC3F-4EA6-8663-C56A0066E31F}"/>
            </c:ext>
          </c:extLst>
        </c:ser>
        <c:ser>
          <c:idx val="3"/>
          <c:order val="3"/>
          <c:tx>
            <c:strRef>
              <c:f>'Vehicle Qty &amp; heat graph'!$B$67</c:f>
              <c:strCache>
                <c:ptCount val="1"/>
                <c:pt idx="0">
                  <c:v>300kW Vehicle</c:v>
                </c:pt>
              </c:strCache>
            </c:strRef>
          </c:tx>
          <c:spPr>
            <a:ln>
              <a:solidFill>
                <a:srgbClr val="6DBDAA"/>
              </a:solidFill>
            </a:ln>
          </c:spPr>
          <c:marker>
            <c:spPr>
              <a:solidFill>
                <a:srgbClr val="6DBDAA"/>
              </a:solidFill>
              <a:ln>
                <a:solidFill>
                  <a:srgbClr val="6DBDAA"/>
                </a:solidFill>
              </a:ln>
            </c:spPr>
          </c:marker>
          <c:cat>
            <c:numRef>
              <c:f>'Vehicle Qty &amp; heat graph'!$C$40:$L$40</c:f>
              <c:numCache>
                <c:formatCode>General</c:formatCode>
                <c:ptCount val="10"/>
                <c:pt idx="0">
                  <c:v>50</c:v>
                </c:pt>
                <c:pt idx="1">
                  <c:v>100</c:v>
                </c:pt>
                <c:pt idx="2">
                  <c:v>150</c:v>
                </c:pt>
                <c:pt idx="3">
                  <c:v>200</c:v>
                </c:pt>
                <c:pt idx="4">
                  <c:v>250</c:v>
                </c:pt>
                <c:pt idx="5">
                  <c:v>300</c:v>
                </c:pt>
                <c:pt idx="6">
                  <c:v>350</c:v>
                </c:pt>
                <c:pt idx="7">
                  <c:v>400</c:v>
                </c:pt>
                <c:pt idx="8">
                  <c:v>450</c:v>
                </c:pt>
                <c:pt idx="9">
                  <c:v>500</c:v>
                </c:pt>
              </c:numCache>
            </c:numRef>
          </c:cat>
          <c:val>
            <c:numRef>
              <c:f>'Vehicle Qty &amp; heat graph'!$C$67:$L$67</c:f>
              <c:numCache>
                <c:formatCode>0.0</c:formatCode>
                <c:ptCount val="10"/>
                <c:pt idx="0">
                  <c:v>24.552934936909825</c:v>
                </c:pt>
                <c:pt idx="1">
                  <c:v>25.488284839268292</c:v>
                </c:pt>
                <c:pt idx="2">
                  <c:v>26.423634741626763</c:v>
                </c:pt>
                <c:pt idx="3">
                  <c:v>27.358984643985234</c:v>
                </c:pt>
                <c:pt idx="4">
                  <c:v>28.294334546343705</c:v>
                </c:pt>
                <c:pt idx="5">
                  <c:v>29.229684448702173</c:v>
                </c:pt>
                <c:pt idx="6">
                  <c:v>30.16503435106064</c:v>
                </c:pt>
                <c:pt idx="7">
                  <c:v>31.100384253419108</c:v>
                </c:pt>
                <c:pt idx="8">
                  <c:v>32.035734155777583</c:v>
                </c:pt>
                <c:pt idx="9">
                  <c:v>32.97108405813605</c:v>
                </c:pt>
              </c:numCache>
            </c:numRef>
          </c:val>
          <c:smooth val="0"/>
          <c:extLst>
            <c:ext xmlns:c16="http://schemas.microsoft.com/office/drawing/2014/chart" uri="{C3380CC4-5D6E-409C-BE32-E72D297353CC}">
              <c16:uniqueId val="{00000003-EC3F-4EA6-8663-C56A0066E31F}"/>
            </c:ext>
          </c:extLst>
        </c:ser>
        <c:ser>
          <c:idx val="4"/>
          <c:order val="4"/>
          <c:tx>
            <c:strRef>
              <c:f>'Vehicle Qty &amp; heat graph'!$B$68</c:f>
              <c:strCache>
                <c:ptCount val="1"/>
                <c:pt idx="0">
                  <c:v>330kW Vehicle</c:v>
                </c:pt>
              </c:strCache>
            </c:strRef>
          </c:tx>
          <c:spPr>
            <a:ln>
              <a:solidFill>
                <a:schemeClr val="accent6">
                  <a:lumMod val="75000"/>
                </a:schemeClr>
              </a:solidFill>
            </a:ln>
          </c:spPr>
          <c:marker>
            <c:symbol val="circle"/>
            <c:size val="5"/>
            <c:spPr>
              <a:solidFill>
                <a:schemeClr val="accent6">
                  <a:lumMod val="75000"/>
                </a:schemeClr>
              </a:solidFill>
              <a:ln>
                <a:solidFill>
                  <a:schemeClr val="accent6">
                    <a:lumMod val="75000"/>
                  </a:schemeClr>
                </a:solidFill>
              </a:ln>
            </c:spPr>
          </c:marker>
          <c:cat>
            <c:numRef>
              <c:f>'Vehicle Qty &amp; heat graph'!$C$40:$L$40</c:f>
              <c:numCache>
                <c:formatCode>General</c:formatCode>
                <c:ptCount val="10"/>
                <c:pt idx="0">
                  <c:v>50</c:v>
                </c:pt>
                <c:pt idx="1">
                  <c:v>100</c:v>
                </c:pt>
                <c:pt idx="2">
                  <c:v>150</c:v>
                </c:pt>
                <c:pt idx="3">
                  <c:v>200</c:v>
                </c:pt>
                <c:pt idx="4">
                  <c:v>250</c:v>
                </c:pt>
                <c:pt idx="5">
                  <c:v>300</c:v>
                </c:pt>
                <c:pt idx="6">
                  <c:v>350</c:v>
                </c:pt>
                <c:pt idx="7">
                  <c:v>400</c:v>
                </c:pt>
                <c:pt idx="8">
                  <c:v>450</c:v>
                </c:pt>
                <c:pt idx="9">
                  <c:v>500</c:v>
                </c:pt>
              </c:numCache>
            </c:numRef>
          </c:cat>
          <c:val>
            <c:numRef>
              <c:f>'Vehicle Qty &amp; heat graph'!$C$68:$L$68</c:f>
              <c:numCache>
                <c:formatCode>0.0</c:formatCode>
                <c:ptCount val="10"/>
                <c:pt idx="0">
                  <c:v>26.65747221721638</c:v>
                </c:pt>
                <c:pt idx="1">
                  <c:v>27.592822119574851</c:v>
                </c:pt>
                <c:pt idx="2">
                  <c:v>28.528172021933322</c:v>
                </c:pt>
                <c:pt idx="3">
                  <c:v>29.463521924291793</c:v>
                </c:pt>
                <c:pt idx="4">
                  <c:v>30.398871826650257</c:v>
                </c:pt>
                <c:pt idx="5">
                  <c:v>31.334221729008728</c:v>
                </c:pt>
                <c:pt idx="6">
                  <c:v>32.269571631367199</c:v>
                </c:pt>
                <c:pt idx="7">
                  <c:v>33.204921533725667</c:v>
                </c:pt>
                <c:pt idx="8">
                  <c:v>34.140271436084141</c:v>
                </c:pt>
                <c:pt idx="9">
                  <c:v>35.075621338442602</c:v>
                </c:pt>
              </c:numCache>
            </c:numRef>
          </c:val>
          <c:smooth val="0"/>
          <c:extLst>
            <c:ext xmlns:c16="http://schemas.microsoft.com/office/drawing/2014/chart" uri="{C3380CC4-5D6E-409C-BE32-E72D297353CC}">
              <c16:uniqueId val="{00000004-EC3F-4EA6-8663-C56A0066E31F}"/>
            </c:ext>
          </c:extLst>
        </c:ser>
        <c:ser>
          <c:idx val="5"/>
          <c:order val="5"/>
          <c:tx>
            <c:strRef>
              <c:f>'Vehicle Qty &amp; heat graph'!$B$69</c:f>
              <c:strCache>
                <c:ptCount val="1"/>
                <c:pt idx="0">
                  <c:v>350kW Vehicle</c:v>
                </c:pt>
              </c:strCache>
            </c:strRef>
          </c:tx>
          <c:spPr>
            <a:ln>
              <a:solidFill>
                <a:srgbClr val="00B0F0"/>
              </a:solidFill>
            </a:ln>
          </c:spPr>
          <c:marker>
            <c:symbol val="diamond"/>
            <c:size val="7"/>
            <c:spPr>
              <a:solidFill>
                <a:srgbClr val="00B0F0"/>
              </a:solidFill>
              <a:ln>
                <a:solidFill>
                  <a:srgbClr val="00B0F0"/>
                </a:solidFill>
              </a:ln>
            </c:spPr>
          </c:marker>
          <c:cat>
            <c:numRef>
              <c:f>'Vehicle Qty &amp; heat graph'!$C$40:$L$40</c:f>
              <c:numCache>
                <c:formatCode>General</c:formatCode>
                <c:ptCount val="10"/>
                <c:pt idx="0">
                  <c:v>50</c:v>
                </c:pt>
                <c:pt idx="1">
                  <c:v>100</c:v>
                </c:pt>
                <c:pt idx="2">
                  <c:v>150</c:v>
                </c:pt>
                <c:pt idx="3">
                  <c:v>200</c:v>
                </c:pt>
                <c:pt idx="4">
                  <c:v>250</c:v>
                </c:pt>
                <c:pt idx="5">
                  <c:v>300</c:v>
                </c:pt>
                <c:pt idx="6">
                  <c:v>350</c:v>
                </c:pt>
                <c:pt idx="7">
                  <c:v>400</c:v>
                </c:pt>
                <c:pt idx="8">
                  <c:v>450</c:v>
                </c:pt>
                <c:pt idx="9">
                  <c:v>500</c:v>
                </c:pt>
              </c:numCache>
            </c:numRef>
          </c:cat>
          <c:val>
            <c:numRef>
              <c:f>'Vehicle Qty &amp; heat graph'!$C$69:$L$69</c:f>
              <c:numCache>
                <c:formatCode>0.0</c:formatCode>
                <c:ptCount val="10"/>
                <c:pt idx="0">
                  <c:v>28.060497070754085</c:v>
                </c:pt>
                <c:pt idx="1">
                  <c:v>28.995846973112556</c:v>
                </c:pt>
                <c:pt idx="2">
                  <c:v>29.93119687547102</c:v>
                </c:pt>
                <c:pt idx="3">
                  <c:v>30.866546777829491</c:v>
                </c:pt>
                <c:pt idx="4">
                  <c:v>31.801896680187962</c:v>
                </c:pt>
                <c:pt idx="5">
                  <c:v>32.737246582546433</c:v>
                </c:pt>
                <c:pt idx="6">
                  <c:v>33.672596484904901</c:v>
                </c:pt>
                <c:pt idx="7">
                  <c:v>34.607946387263375</c:v>
                </c:pt>
                <c:pt idx="8">
                  <c:v>35.543296289621836</c:v>
                </c:pt>
                <c:pt idx="9">
                  <c:v>36.47864619198031</c:v>
                </c:pt>
              </c:numCache>
            </c:numRef>
          </c:val>
          <c:smooth val="0"/>
          <c:extLst>
            <c:ext xmlns:c16="http://schemas.microsoft.com/office/drawing/2014/chart" uri="{C3380CC4-5D6E-409C-BE32-E72D297353CC}">
              <c16:uniqueId val="{00000005-EC3F-4EA6-8663-C56A0066E31F}"/>
            </c:ext>
          </c:extLst>
        </c:ser>
        <c:ser>
          <c:idx val="6"/>
          <c:order val="6"/>
          <c:tx>
            <c:strRef>
              <c:f>'Vehicle Qty &amp; heat graph'!$B$70</c:f>
              <c:strCache>
                <c:ptCount val="1"/>
                <c:pt idx="0">
                  <c:v>375kW Vehicle</c:v>
                </c:pt>
              </c:strCache>
            </c:strRef>
          </c:tx>
          <c:spPr>
            <a:ln>
              <a:solidFill>
                <a:srgbClr val="996633"/>
              </a:solidFill>
            </a:ln>
          </c:spPr>
          <c:marker>
            <c:symbol val="star"/>
            <c:size val="7"/>
            <c:spPr>
              <a:solidFill>
                <a:srgbClr val="996633"/>
              </a:solidFill>
              <a:ln>
                <a:solidFill>
                  <a:srgbClr val="996633"/>
                </a:solidFill>
              </a:ln>
            </c:spPr>
          </c:marker>
          <c:cat>
            <c:numRef>
              <c:f>'Vehicle Qty &amp; heat graph'!$C$40:$L$40</c:f>
              <c:numCache>
                <c:formatCode>General</c:formatCode>
                <c:ptCount val="10"/>
                <c:pt idx="0">
                  <c:v>50</c:v>
                </c:pt>
                <c:pt idx="1">
                  <c:v>100</c:v>
                </c:pt>
                <c:pt idx="2">
                  <c:v>150</c:v>
                </c:pt>
                <c:pt idx="3">
                  <c:v>200</c:v>
                </c:pt>
                <c:pt idx="4">
                  <c:v>250</c:v>
                </c:pt>
                <c:pt idx="5">
                  <c:v>300</c:v>
                </c:pt>
                <c:pt idx="6">
                  <c:v>350</c:v>
                </c:pt>
                <c:pt idx="7">
                  <c:v>400</c:v>
                </c:pt>
                <c:pt idx="8">
                  <c:v>450</c:v>
                </c:pt>
                <c:pt idx="9">
                  <c:v>500</c:v>
                </c:pt>
              </c:numCache>
            </c:numRef>
          </c:cat>
          <c:val>
            <c:numRef>
              <c:f>'Vehicle Qty &amp; heat graph'!$C$70:$L$70</c:f>
              <c:numCache>
                <c:formatCode>0.0</c:formatCode>
                <c:ptCount val="10"/>
                <c:pt idx="0">
                  <c:v>29.814278137676215</c:v>
                </c:pt>
                <c:pt idx="1">
                  <c:v>30.749628040034686</c:v>
                </c:pt>
                <c:pt idx="2">
                  <c:v>31.684977942393157</c:v>
                </c:pt>
                <c:pt idx="3">
                  <c:v>32.620327844751621</c:v>
                </c:pt>
                <c:pt idx="4">
                  <c:v>33.555677747110089</c:v>
                </c:pt>
                <c:pt idx="5">
                  <c:v>34.491027649468563</c:v>
                </c:pt>
                <c:pt idx="6">
                  <c:v>35.426377551827031</c:v>
                </c:pt>
                <c:pt idx="7">
                  <c:v>36.361727454185505</c:v>
                </c:pt>
                <c:pt idx="8">
                  <c:v>37.297077356543973</c:v>
                </c:pt>
                <c:pt idx="9">
                  <c:v>38.23242725890244</c:v>
                </c:pt>
              </c:numCache>
            </c:numRef>
          </c:val>
          <c:smooth val="0"/>
          <c:extLst>
            <c:ext xmlns:c16="http://schemas.microsoft.com/office/drawing/2014/chart" uri="{C3380CC4-5D6E-409C-BE32-E72D297353CC}">
              <c16:uniqueId val="{00000006-EC3F-4EA6-8663-C56A0066E31F}"/>
            </c:ext>
          </c:extLst>
        </c:ser>
        <c:dLbls>
          <c:showLegendKey val="0"/>
          <c:showVal val="0"/>
          <c:showCatName val="0"/>
          <c:showSerName val="0"/>
          <c:showPercent val="0"/>
          <c:showBubbleSize val="0"/>
        </c:dLbls>
        <c:marker val="1"/>
        <c:smooth val="0"/>
        <c:axId val="138024064"/>
        <c:axId val="138025984"/>
      </c:lineChart>
      <c:catAx>
        <c:axId val="138024064"/>
        <c:scaling>
          <c:orientation val="minMax"/>
        </c:scaling>
        <c:delete val="0"/>
        <c:axPos val="b"/>
        <c:numFmt formatCode="General" sourceLinked="1"/>
        <c:majorTickMark val="out"/>
        <c:minorTickMark val="none"/>
        <c:tickLblPos val="nextTo"/>
        <c:txPr>
          <a:bodyPr/>
          <a:lstStyle/>
          <a:p>
            <a:pPr>
              <a:defRPr sz="1100"/>
            </a:pPr>
            <a:endParaRPr lang="en-US"/>
          </a:p>
        </c:txPr>
        <c:crossAx val="138025984"/>
        <c:crosses val="autoZero"/>
        <c:auto val="1"/>
        <c:lblAlgn val="ctr"/>
        <c:lblOffset val="100"/>
        <c:noMultiLvlLbl val="0"/>
      </c:catAx>
      <c:valAx>
        <c:axId val="138025984"/>
        <c:scaling>
          <c:orientation val="minMax"/>
          <c:max val="40"/>
          <c:min val="10"/>
        </c:scaling>
        <c:delete val="0"/>
        <c:axPos val="l"/>
        <c:majorGridlines>
          <c:spPr>
            <a:ln>
              <a:solidFill>
                <a:schemeClr val="tx1">
                  <a:alpha val="28000"/>
                </a:schemeClr>
              </a:solidFill>
            </a:ln>
          </c:spPr>
        </c:majorGridlines>
        <c:numFmt formatCode="0.0" sourceLinked="0"/>
        <c:majorTickMark val="out"/>
        <c:minorTickMark val="none"/>
        <c:tickLblPos val="nextTo"/>
        <c:txPr>
          <a:bodyPr/>
          <a:lstStyle/>
          <a:p>
            <a:pPr>
              <a:defRPr sz="1100"/>
            </a:pPr>
            <a:endParaRPr lang="en-US"/>
          </a:p>
        </c:txPr>
        <c:crossAx val="138024064"/>
        <c:crosses val="autoZero"/>
        <c:crossBetween val="between"/>
        <c:majorUnit val="1"/>
      </c:valAx>
      <c:spPr>
        <a:ln>
          <a:solidFill>
            <a:schemeClr val="tx1"/>
          </a:solidFill>
        </a:ln>
      </c:spPr>
    </c:plotArea>
    <c:legend>
      <c:legendPos val="b"/>
      <c:layout>
        <c:manualLayout>
          <c:xMode val="edge"/>
          <c:yMode val="edge"/>
          <c:x val="0.10213376951566341"/>
          <c:y val="0.88439223490141972"/>
          <c:w val="0.79743589743589749"/>
          <c:h val="8.1365258788218778E-2"/>
        </c:manualLayout>
      </c:layout>
      <c:overlay val="1"/>
      <c:txPr>
        <a:bodyPr/>
        <a:lstStyle/>
        <a:p>
          <a:pPr>
            <a:defRPr sz="1200"/>
          </a:pPr>
          <a:endParaRPr lang="en-US"/>
        </a:p>
      </c:txPr>
    </c:legend>
    <c:plotVisOnly val="1"/>
    <c:dispBlanksAs val="gap"/>
    <c:showDLblsOverMax val="0"/>
  </c:chart>
  <c:printSettings>
    <c:headerFooter/>
    <c:pageMargins b="0.75" l="0.7" r="0.7" t="0.75" header="0.3" footer="0.3"/>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19333462202997"/>
          <c:y val="0.10476439700183536"/>
          <c:w val="0.84679116699733881"/>
          <c:h val="0.69679447053765753"/>
        </c:manualLayout>
      </c:layout>
      <c:lineChart>
        <c:grouping val="standard"/>
        <c:varyColors val="0"/>
        <c:ser>
          <c:idx val="0"/>
          <c:order val="0"/>
          <c:tx>
            <c:strRef>
              <c:f>'Vehicle Qty &amp; heat graph'!$B$83</c:f>
              <c:strCache>
                <c:ptCount val="1"/>
                <c:pt idx="0">
                  <c:v>220kW Vehicle  (330kW)</c:v>
                </c:pt>
              </c:strCache>
            </c:strRef>
          </c:tx>
          <c:spPr>
            <a:ln>
              <a:solidFill>
                <a:srgbClr val="7030A0"/>
              </a:solidFill>
            </a:ln>
          </c:spPr>
          <c:marker>
            <c:spPr>
              <a:solidFill>
                <a:srgbClr val="7030A0"/>
              </a:solidFill>
              <a:ln>
                <a:solidFill>
                  <a:srgbClr val="7030A0"/>
                </a:solidFill>
              </a:ln>
            </c:spPr>
          </c:marker>
          <c:cat>
            <c:numRef>
              <c:f>'Vehicle Qty &amp; heat graph'!$C$81:$R$81</c:f>
              <c:numCache>
                <c:formatCode>General</c:formatCode>
                <c:ptCount val="16"/>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c:v>750</c:v>
                </c:pt>
                <c:pt idx="15">
                  <c:v>800</c:v>
                </c:pt>
              </c:numCache>
            </c:numRef>
          </c:cat>
          <c:val>
            <c:numRef>
              <c:f>'Vehicle Qty &amp; heat graph'!$C$83:$R$83</c:f>
              <c:numCache>
                <c:formatCode>0.0</c:formatCode>
                <c:ptCount val="16"/>
                <c:pt idx="0">
                  <c:v>27.5</c:v>
                </c:pt>
                <c:pt idx="1">
                  <c:v>27.74</c:v>
                </c:pt>
                <c:pt idx="2">
                  <c:v>27.98</c:v>
                </c:pt>
                <c:pt idx="3">
                  <c:v>28.22</c:v>
                </c:pt>
                <c:pt idx="4">
                  <c:v>28.46</c:v>
                </c:pt>
                <c:pt idx="5">
                  <c:v>28.7</c:v>
                </c:pt>
                <c:pt idx="6">
                  <c:v>28.925000000000001</c:v>
                </c:pt>
                <c:pt idx="7">
                  <c:v>29.15</c:v>
                </c:pt>
                <c:pt idx="8">
                  <c:v>29.375</c:v>
                </c:pt>
                <c:pt idx="9">
                  <c:v>29.6</c:v>
                </c:pt>
                <c:pt idx="10">
                  <c:v>29.8</c:v>
                </c:pt>
                <c:pt idx="11">
                  <c:v>30</c:v>
                </c:pt>
                <c:pt idx="12">
                  <c:v>30.200000000000003</c:v>
                </c:pt>
                <c:pt idx="13">
                  <c:v>30.400000000000002</c:v>
                </c:pt>
                <c:pt idx="14">
                  <c:v>30.6</c:v>
                </c:pt>
                <c:pt idx="15">
                  <c:v>30.8</c:v>
                </c:pt>
              </c:numCache>
            </c:numRef>
          </c:val>
          <c:smooth val="0"/>
          <c:extLst>
            <c:ext xmlns:c16="http://schemas.microsoft.com/office/drawing/2014/chart" uri="{C3380CC4-5D6E-409C-BE32-E72D297353CC}">
              <c16:uniqueId val="{00000000-7753-43B0-AF3E-ED132EC7DFE4}"/>
            </c:ext>
          </c:extLst>
        </c:ser>
        <c:ser>
          <c:idx val="1"/>
          <c:order val="1"/>
          <c:tx>
            <c:strRef>
              <c:f>'Vehicle Qty &amp; heat graph'!$B$84</c:f>
              <c:strCache>
                <c:ptCount val="1"/>
                <c:pt idx="0">
                  <c:v>250kW Vehicle  (375kW)</c:v>
                </c:pt>
              </c:strCache>
            </c:strRef>
          </c:tx>
          <c:spPr>
            <a:ln>
              <a:solidFill>
                <a:schemeClr val="accent3">
                  <a:lumMod val="50000"/>
                </a:schemeClr>
              </a:solidFill>
            </a:ln>
          </c:spPr>
          <c:marker>
            <c:spPr>
              <a:solidFill>
                <a:schemeClr val="accent3">
                  <a:lumMod val="50000"/>
                </a:schemeClr>
              </a:solidFill>
              <a:ln>
                <a:solidFill>
                  <a:schemeClr val="accent3">
                    <a:lumMod val="50000"/>
                  </a:schemeClr>
                </a:solidFill>
              </a:ln>
            </c:spPr>
          </c:marker>
          <c:cat>
            <c:numRef>
              <c:f>'Vehicle Qty &amp; heat graph'!$C$81:$R$81</c:f>
              <c:numCache>
                <c:formatCode>General</c:formatCode>
                <c:ptCount val="16"/>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c:v>750</c:v>
                </c:pt>
                <c:pt idx="15">
                  <c:v>800</c:v>
                </c:pt>
              </c:numCache>
            </c:numRef>
          </c:cat>
          <c:val>
            <c:numRef>
              <c:f>'Vehicle Qty &amp; heat graph'!$C$84:$R$84</c:f>
              <c:numCache>
                <c:formatCode>0.0</c:formatCode>
                <c:ptCount val="16"/>
                <c:pt idx="0">
                  <c:v>27.5</c:v>
                </c:pt>
                <c:pt idx="1">
                  <c:v>27.72</c:v>
                </c:pt>
                <c:pt idx="2">
                  <c:v>27.94</c:v>
                </c:pt>
                <c:pt idx="3">
                  <c:v>28.16</c:v>
                </c:pt>
                <c:pt idx="4">
                  <c:v>28.380000000000003</c:v>
                </c:pt>
                <c:pt idx="5">
                  <c:v>28.6</c:v>
                </c:pt>
                <c:pt idx="6">
                  <c:v>28.8</c:v>
                </c:pt>
                <c:pt idx="7">
                  <c:v>29</c:v>
                </c:pt>
                <c:pt idx="8">
                  <c:v>29.2</c:v>
                </c:pt>
                <c:pt idx="9">
                  <c:v>29.4</c:v>
                </c:pt>
                <c:pt idx="10">
                  <c:v>29.599999999999998</c:v>
                </c:pt>
                <c:pt idx="11">
                  <c:v>29.8</c:v>
                </c:pt>
                <c:pt idx="12">
                  <c:v>30</c:v>
                </c:pt>
                <c:pt idx="13">
                  <c:v>30.2</c:v>
                </c:pt>
                <c:pt idx="14">
                  <c:v>30.400000000000002</c:v>
                </c:pt>
                <c:pt idx="15">
                  <c:v>30.6</c:v>
                </c:pt>
              </c:numCache>
            </c:numRef>
          </c:val>
          <c:smooth val="0"/>
          <c:extLst>
            <c:ext xmlns:c16="http://schemas.microsoft.com/office/drawing/2014/chart" uri="{C3380CC4-5D6E-409C-BE32-E72D297353CC}">
              <c16:uniqueId val="{00000001-7753-43B0-AF3E-ED132EC7DFE4}"/>
            </c:ext>
          </c:extLst>
        </c:ser>
        <c:ser>
          <c:idx val="2"/>
          <c:order val="2"/>
          <c:tx>
            <c:strRef>
              <c:f>'Vehicle Qty &amp; heat graph'!$B$85</c:f>
              <c:strCache>
                <c:ptCount val="1"/>
                <c:pt idx="0">
                  <c:v>280kW Vehicle  (420kW)</c:v>
                </c:pt>
              </c:strCache>
            </c:strRef>
          </c:tx>
          <c:spPr>
            <a:ln>
              <a:solidFill>
                <a:schemeClr val="tx2">
                  <a:lumMod val="60000"/>
                  <a:lumOff val="40000"/>
                </a:schemeClr>
              </a:solidFill>
            </a:ln>
          </c:spPr>
          <c:marker>
            <c:symbol val="diamond"/>
            <c:size val="10"/>
            <c:spPr>
              <a:solidFill>
                <a:schemeClr val="tx2">
                  <a:lumMod val="60000"/>
                  <a:lumOff val="40000"/>
                </a:schemeClr>
              </a:solidFill>
              <a:ln>
                <a:solidFill>
                  <a:schemeClr val="tx2">
                    <a:lumMod val="60000"/>
                    <a:lumOff val="40000"/>
                  </a:schemeClr>
                </a:solidFill>
              </a:ln>
            </c:spPr>
          </c:marker>
          <c:cat>
            <c:numRef>
              <c:f>'Vehicle Qty &amp; heat graph'!$C$81:$R$81</c:f>
              <c:numCache>
                <c:formatCode>General</c:formatCode>
                <c:ptCount val="16"/>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c:v>750</c:v>
                </c:pt>
                <c:pt idx="15">
                  <c:v>800</c:v>
                </c:pt>
              </c:numCache>
            </c:numRef>
          </c:cat>
          <c:val>
            <c:numRef>
              <c:f>'Vehicle Qty &amp; heat graph'!$C$85:$R$85</c:f>
              <c:numCache>
                <c:formatCode>0.0</c:formatCode>
                <c:ptCount val="16"/>
                <c:pt idx="0">
                  <c:v>27.5</c:v>
                </c:pt>
                <c:pt idx="1">
                  <c:v>27.72</c:v>
                </c:pt>
                <c:pt idx="2">
                  <c:v>27.94</c:v>
                </c:pt>
                <c:pt idx="3">
                  <c:v>28.16</c:v>
                </c:pt>
                <c:pt idx="4">
                  <c:v>28.380000000000003</c:v>
                </c:pt>
                <c:pt idx="5">
                  <c:v>28.6</c:v>
                </c:pt>
                <c:pt idx="6">
                  <c:v>28.775000000000002</c:v>
                </c:pt>
                <c:pt idx="7">
                  <c:v>28.950000000000003</c:v>
                </c:pt>
                <c:pt idx="8">
                  <c:v>29.125</c:v>
                </c:pt>
                <c:pt idx="9">
                  <c:v>29.3</c:v>
                </c:pt>
                <c:pt idx="10">
                  <c:v>29.466666666666669</c:v>
                </c:pt>
                <c:pt idx="11">
                  <c:v>29.633333333333333</c:v>
                </c:pt>
                <c:pt idx="12">
                  <c:v>29.8</c:v>
                </c:pt>
                <c:pt idx="13">
                  <c:v>29.966666666666669</c:v>
                </c:pt>
                <c:pt idx="14">
                  <c:v>30.133333333333333</c:v>
                </c:pt>
                <c:pt idx="15">
                  <c:v>30.3</c:v>
                </c:pt>
              </c:numCache>
            </c:numRef>
          </c:val>
          <c:smooth val="0"/>
          <c:extLst>
            <c:ext xmlns:c16="http://schemas.microsoft.com/office/drawing/2014/chart" uri="{C3380CC4-5D6E-409C-BE32-E72D297353CC}">
              <c16:uniqueId val="{00000002-7753-43B0-AF3E-ED132EC7DFE4}"/>
            </c:ext>
          </c:extLst>
        </c:ser>
        <c:ser>
          <c:idx val="3"/>
          <c:order val="3"/>
          <c:tx>
            <c:strRef>
              <c:f>'Vehicle Qty &amp; heat graph'!$B$86</c:f>
              <c:strCache>
                <c:ptCount val="1"/>
                <c:pt idx="0">
                  <c:v>300kW Vehicle  (450kW)</c:v>
                </c:pt>
              </c:strCache>
            </c:strRef>
          </c:tx>
          <c:spPr>
            <a:ln>
              <a:solidFill>
                <a:srgbClr val="6DBDAA"/>
              </a:solidFill>
            </a:ln>
          </c:spPr>
          <c:marker>
            <c:spPr>
              <a:solidFill>
                <a:srgbClr val="6DBDAA"/>
              </a:solidFill>
              <a:ln>
                <a:solidFill>
                  <a:srgbClr val="6DBDAA"/>
                </a:solidFill>
              </a:ln>
            </c:spPr>
          </c:marker>
          <c:cat>
            <c:numRef>
              <c:f>'Vehicle Qty &amp; heat graph'!$C$81:$R$81</c:f>
              <c:numCache>
                <c:formatCode>General</c:formatCode>
                <c:ptCount val="16"/>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c:v>750</c:v>
                </c:pt>
                <c:pt idx="15">
                  <c:v>800</c:v>
                </c:pt>
              </c:numCache>
            </c:numRef>
          </c:cat>
          <c:val>
            <c:numRef>
              <c:f>'Vehicle Qty &amp; heat graph'!$C$86:$R$86</c:f>
              <c:numCache>
                <c:formatCode>0.0</c:formatCode>
                <c:ptCount val="16"/>
                <c:pt idx="0">
                  <c:v>27.5</c:v>
                </c:pt>
                <c:pt idx="1">
                  <c:v>27.7</c:v>
                </c:pt>
                <c:pt idx="2">
                  <c:v>27.9</c:v>
                </c:pt>
                <c:pt idx="3">
                  <c:v>28.1</c:v>
                </c:pt>
                <c:pt idx="4">
                  <c:v>28.3</c:v>
                </c:pt>
                <c:pt idx="5">
                  <c:v>28.5</c:v>
                </c:pt>
                <c:pt idx="6">
                  <c:v>28.675000000000001</c:v>
                </c:pt>
                <c:pt idx="7">
                  <c:v>28.85</c:v>
                </c:pt>
                <c:pt idx="8">
                  <c:v>29.024999999999999</c:v>
                </c:pt>
                <c:pt idx="9">
                  <c:v>29.2</c:v>
                </c:pt>
                <c:pt idx="10">
                  <c:v>29.366666666666667</c:v>
                </c:pt>
                <c:pt idx="11">
                  <c:v>29.533333333333331</c:v>
                </c:pt>
                <c:pt idx="12">
                  <c:v>29.7</c:v>
                </c:pt>
                <c:pt idx="13">
                  <c:v>29.866666666666667</c:v>
                </c:pt>
                <c:pt idx="14">
                  <c:v>30.033333333333331</c:v>
                </c:pt>
                <c:pt idx="15">
                  <c:v>30.2</c:v>
                </c:pt>
              </c:numCache>
            </c:numRef>
          </c:val>
          <c:smooth val="0"/>
          <c:extLst>
            <c:ext xmlns:c16="http://schemas.microsoft.com/office/drawing/2014/chart" uri="{C3380CC4-5D6E-409C-BE32-E72D297353CC}">
              <c16:uniqueId val="{00000003-7753-43B0-AF3E-ED132EC7DFE4}"/>
            </c:ext>
          </c:extLst>
        </c:ser>
        <c:ser>
          <c:idx val="4"/>
          <c:order val="4"/>
          <c:tx>
            <c:strRef>
              <c:f>'Vehicle Qty &amp; heat graph'!$B$87</c:f>
              <c:strCache>
                <c:ptCount val="1"/>
                <c:pt idx="0">
                  <c:v>330kW Vehicle  (495kW)</c:v>
                </c:pt>
              </c:strCache>
            </c:strRef>
          </c:tx>
          <c:spPr>
            <a:ln>
              <a:solidFill>
                <a:schemeClr val="accent6">
                  <a:lumMod val="75000"/>
                </a:schemeClr>
              </a:solidFill>
            </a:ln>
          </c:spPr>
          <c:marker>
            <c:symbol val="circle"/>
            <c:size val="5"/>
            <c:spPr>
              <a:solidFill>
                <a:schemeClr val="accent6">
                  <a:lumMod val="75000"/>
                </a:schemeClr>
              </a:solidFill>
              <a:ln>
                <a:solidFill>
                  <a:schemeClr val="accent6">
                    <a:lumMod val="75000"/>
                  </a:schemeClr>
                </a:solidFill>
              </a:ln>
            </c:spPr>
          </c:marker>
          <c:cat>
            <c:numRef>
              <c:f>'Vehicle Qty &amp; heat graph'!$C$81:$R$81</c:f>
              <c:numCache>
                <c:formatCode>General</c:formatCode>
                <c:ptCount val="16"/>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c:v>750</c:v>
                </c:pt>
                <c:pt idx="15">
                  <c:v>800</c:v>
                </c:pt>
              </c:numCache>
            </c:numRef>
          </c:cat>
          <c:val>
            <c:numRef>
              <c:f>'Vehicle Qty &amp; heat graph'!$C$87:$R$87</c:f>
              <c:numCache>
                <c:formatCode>0.0</c:formatCode>
                <c:ptCount val="16"/>
                <c:pt idx="0">
                  <c:v>27.5</c:v>
                </c:pt>
                <c:pt idx="1">
                  <c:v>27.68</c:v>
                </c:pt>
                <c:pt idx="2">
                  <c:v>27.86</c:v>
                </c:pt>
                <c:pt idx="3">
                  <c:v>28.04</c:v>
                </c:pt>
                <c:pt idx="4">
                  <c:v>28.22</c:v>
                </c:pt>
                <c:pt idx="5">
                  <c:v>28.4</c:v>
                </c:pt>
                <c:pt idx="6">
                  <c:v>28.549999999999997</c:v>
                </c:pt>
                <c:pt idx="7">
                  <c:v>28.7</c:v>
                </c:pt>
                <c:pt idx="8">
                  <c:v>28.85</c:v>
                </c:pt>
                <c:pt idx="9">
                  <c:v>29</c:v>
                </c:pt>
                <c:pt idx="10">
                  <c:v>29.166666666666668</c:v>
                </c:pt>
                <c:pt idx="11">
                  <c:v>29.333333333333332</c:v>
                </c:pt>
                <c:pt idx="12">
                  <c:v>29.5</c:v>
                </c:pt>
                <c:pt idx="13">
                  <c:v>29.666666666666668</c:v>
                </c:pt>
                <c:pt idx="14">
                  <c:v>29.833333333333332</c:v>
                </c:pt>
                <c:pt idx="15">
                  <c:v>30</c:v>
                </c:pt>
              </c:numCache>
            </c:numRef>
          </c:val>
          <c:smooth val="0"/>
          <c:extLst>
            <c:ext xmlns:c16="http://schemas.microsoft.com/office/drawing/2014/chart" uri="{C3380CC4-5D6E-409C-BE32-E72D297353CC}">
              <c16:uniqueId val="{00000004-7753-43B0-AF3E-ED132EC7DFE4}"/>
            </c:ext>
          </c:extLst>
        </c:ser>
        <c:ser>
          <c:idx val="5"/>
          <c:order val="5"/>
          <c:tx>
            <c:strRef>
              <c:f>'Vehicle Qty &amp; heat graph'!$B$88</c:f>
              <c:strCache>
                <c:ptCount val="1"/>
                <c:pt idx="0">
                  <c:v>350kW Vehicle  (525kW)</c:v>
                </c:pt>
              </c:strCache>
            </c:strRef>
          </c:tx>
          <c:spPr>
            <a:ln>
              <a:solidFill>
                <a:srgbClr val="00B0F0"/>
              </a:solidFill>
            </a:ln>
          </c:spPr>
          <c:marker>
            <c:symbol val="diamond"/>
            <c:size val="7"/>
            <c:spPr>
              <a:solidFill>
                <a:srgbClr val="00B0F0"/>
              </a:solidFill>
              <a:ln>
                <a:solidFill>
                  <a:srgbClr val="00B0F0"/>
                </a:solidFill>
              </a:ln>
            </c:spPr>
          </c:marker>
          <c:cat>
            <c:numRef>
              <c:f>'Vehicle Qty &amp; heat graph'!$C$81:$R$81</c:f>
              <c:numCache>
                <c:formatCode>General</c:formatCode>
                <c:ptCount val="16"/>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c:v>750</c:v>
                </c:pt>
                <c:pt idx="15">
                  <c:v>800</c:v>
                </c:pt>
              </c:numCache>
            </c:numRef>
          </c:cat>
          <c:val>
            <c:numRef>
              <c:f>'Vehicle Qty &amp; heat graph'!$C$88:$R$88</c:f>
              <c:numCache>
                <c:formatCode>0.0</c:formatCode>
                <c:ptCount val="16"/>
                <c:pt idx="0">
                  <c:v>27.5</c:v>
                </c:pt>
                <c:pt idx="1">
                  <c:v>27.66</c:v>
                </c:pt>
                <c:pt idx="2">
                  <c:v>27.82</c:v>
                </c:pt>
                <c:pt idx="3">
                  <c:v>27.98</c:v>
                </c:pt>
                <c:pt idx="4">
                  <c:v>28.14</c:v>
                </c:pt>
                <c:pt idx="5">
                  <c:v>28.3</c:v>
                </c:pt>
                <c:pt idx="6">
                  <c:v>28.475000000000001</c:v>
                </c:pt>
                <c:pt idx="7">
                  <c:v>28.65</c:v>
                </c:pt>
                <c:pt idx="8">
                  <c:v>28.824999999999999</c:v>
                </c:pt>
                <c:pt idx="9">
                  <c:v>29</c:v>
                </c:pt>
                <c:pt idx="10">
                  <c:v>29.15</c:v>
                </c:pt>
                <c:pt idx="11">
                  <c:v>29.3</c:v>
                </c:pt>
                <c:pt idx="12">
                  <c:v>29.45</c:v>
                </c:pt>
                <c:pt idx="13">
                  <c:v>29.599999999999998</c:v>
                </c:pt>
                <c:pt idx="14">
                  <c:v>29.75</c:v>
                </c:pt>
                <c:pt idx="15">
                  <c:v>29.9</c:v>
                </c:pt>
              </c:numCache>
            </c:numRef>
          </c:val>
          <c:smooth val="0"/>
          <c:extLst>
            <c:ext xmlns:c16="http://schemas.microsoft.com/office/drawing/2014/chart" uri="{C3380CC4-5D6E-409C-BE32-E72D297353CC}">
              <c16:uniqueId val="{00000005-7753-43B0-AF3E-ED132EC7DFE4}"/>
            </c:ext>
          </c:extLst>
        </c:ser>
        <c:ser>
          <c:idx val="6"/>
          <c:order val="6"/>
          <c:tx>
            <c:strRef>
              <c:f>'Vehicle Qty &amp; heat graph'!$B$89</c:f>
              <c:strCache>
                <c:ptCount val="1"/>
                <c:pt idx="0">
                  <c:v>375kW Vehicle  (563kW)</c:v>
                </c:pt>
              </c:strCache>
            </c:strRef>
          </c:tx>
          <c:spPr>
            <a:ln>
              <a:solidFill>
                <a:srgbClr val="996633"/>
              </a:solidFill>
            </a:ln>
          </c:spPr>
          <c:marker>
            <c:symbol val="star"/>
            <c:size val="7"/>
            <c:spPr>
              <a:solidFill>
                <a:srgbClr val="996633"/>
              </a:solidFill>
              <a:ln>
                <a:solidFill>
                  <a:srgbClr val="996633"/>
                </a:solidFill>
              </a:ln>
            </c:spPr>
          </c:marker>
          <c:cat>
            <c:numRef>
              <c:f>'Vehicle Qty &amp; heat graph'!$C$81:$R$81</c:f>
              <c:numCache>
                <c:formatCode>General</c:formatCode>
                <c:ptCount val="16"/>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c:v>750</c:v>
                </c:pt>
                <c:pt idx="15">
                  <c:v>800</c:v>
                </c:pt>
              </c:numCache>
            </c:numRef>
          </c:cat>
          <c:val>
            <c:numRef>
              <c:f>'Vehicle Qty &amp; heat graph'!$C$89:$R$89</c:f>
              <c:numCache>
                <c:formatCode>0.0</c:formatCode>
                <c:ptCount val="16"/>
                <c:pt idx="0">
                  <c:v>27.5</c:v>
                </c:pt>
                <c:pt idx="1">
                  <c:v>27.66</c:v>
                </c:pt>
                <c:pt idx="2">
                  <c:v>27.82</c:v>
                </c:pt>
                <c:pt idx="3">
                  <c:v>27.98</c:v>
                </c:pt>
                <c:pt idx="4">
                  <c:v>28.14</c:v>
                </c:pt>
                <c:pt idx="5">
                  <c:v>28.3</c:v>
                </c:pt>
                <c:pt idx="6">
                  <c:v>28.45</c:v>
                </c:pt>
                <c:pt idx="7">
                  <c:v>28.6</c:v>
                </c:pt>
                <c:pt idx="8">
                  <c:v>28.75</c:v>
                </c:pt>
                <c:pt idx="9">
                  <c:v>28.9</c:v>
                </c:pt>
                <c:pt idx="10">
                  <c:v>29.033333333333331</c:v>
                </c:pt>
                <c:pt idx="11">
                  <c:v>29.166666666666664</c:v>
                </c:pt>
                <c:pt idx="12">
                  <c:v>29.299999999999997</c:v>
                </c:pt>
                <c:pt idx="13">
                  <c:v>29.433333333333334</c:v>
                </c:pt>
                <c:pt idx="14">
                  <c:v>29.566666666666666</c:v>
                </c:pt>
                <c:pt idx="15">
                  <c:v>29.7</c:v>
                </c:pt>
              </c:numCache>
            </c:numRef>
          </c:val>
          <c:smooth val="0"/>
          <c:extLst>
            <c:ext xmlns:c16="http://schemas.microsoft.com/office/drawing/2014/chart" uri="{C3380CC4-5D6E-409C-BE32-E72D297353CC}">
              <c16:uniqueId val="{00000006-7753-43B0-AF3E-ED132EC7DFE4}"/>
            </c:ext>
          </c:extLst>
        </c:ser>
        <c:dLbls>
          <c:showLegendKey val="0"/>
          <c:showVal val="0"/>
          <c:showCatName val="0"/>
          <c:showSerName val="0"/>
          <c:showPercent val="0"/>
          <c:showBubbleSize val="0"/>
        </c:dLbls>
        <c:marker val="1"/>
        <c:smooth val="0"/>
        <c:axId val="136946432"/>
        <c:axId val="136948352"/>
      </c:lineChart>
      <c:catAx>
        <c:axId val="136946432"/>
        <c:scaling>
          <c:orientation val="minMax"/>
        </c:scaling>
        <c:delete val="0"/>
        <c:axPos val="b"/>
        <c:numFmt formatCode="General" sourceLinked="1"/>
        <c:majorTickMark val="out"/>
        <c:minorTickMark val="none"/>
        <c:tickLblPos val="nextTo"/>
        <c:txPr>
          <a:bodyPr/>
          <a:lstStyle/>
          <a:p>
            <a:pPr>
              <a:defRPr sz="1100"/>
            </a:pPr>
            <a:endParaRPr lang="en-US"/>
          </a:p>
        </c:txPr>
        <c:crossAx val="136948352"/>
        <c:crosses val="autoZero"/>
        <c:auto val="1"/>
        <c:lblAlgn val="ctr"/>
        <c:lblOffset val="100"/>
        <c:noMultiLvlLbl val="0"/>
      </c:catAx>
      <c:valAx>
        <c:axId val="136948352"/>
        <c:scaling>
          <c:orientation val="minMax"/>
          <c:max val="32.5"/>
          <c:min val="25"/>
        </c:scaling>
        <c:delete val="0"/>
        <c:axPos val="l"/>
        <c:majorGridlines/>
        <c:numFmt formatCode="0.0" sourceLinked="0"/>
        <c:majorTickMark val="out"/>
        <c:minorTickMark val="none"/>
        <c:tickLblPos val="nextTo"/>
        <c:txPr>
          <a:bodyPr/>
          <a:lstStyle/>
          <a:p>
            <a:pPr>
              <a:defRPr sz="1100"/>
            </a:pPr>
            <a:endParaRPr lang="en-US"/>
          </a:p>
        </c:txPr>
        <c:crossAx val="136946432"/>
        <c:crosses val="autoZero"/>
        <c:crossBetween val="between"/>
        <c:majorUnit val="0.5"/>
      </c:valAx>
      <c:spPr>
        <a:ln>
          <a:solidFill>
            <a:schemeClr val="tx1"/>
          </a:solidFill>
        </a:ln>
      </c:spPr>
    </c:plotArea>
    <c:legend>
      <c:legendPos val="b"/>
      <c:layout>
        <c:manualLayout>
          <c:xMode val="edge"/>
          <c:yMode val="edge"/>
          <c:x val="0.13493589743589743"/>
          <c:y val="0.87437922982119942"/>
          <c:w val="0.79743589743589749"/>
          <c:h val="9.6384766408549288E-2"/>
        </c:manualLayout>
      </c:layout>
      <c:overlay val="1"/>
      <c:txPr>
        <a:bodyPr/>
        <a:lstStyle/>
        <a:p>
          <a:pPr>
            <a:defRPr sz="1200"/>
          </a:pPr>
          <a:endParaRPr lang="en-US"/>
        </a:p>
      </c:txPr>
    </c:legend>
    <c:plotVisOnly val="1"/>
    <c:dispBlanksAs val="gap"/>
    <c:showDLblsOverMax val="0"/>
  </c:chart>
  <c:printSettings>
    <c:headerFooter/>
    <c:pageMargins b="0.75" l="0.7" r="0.7" t="0.75" header="0.3" footer="0.3"/>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907101756511212E-2"/>
          <c:y val="0.10476439700183536"/>
          <c:w val="0.87207740258429234"/>
          <c:h val="0.69679447053765753"/>
        </c:manualLayout>
      </c:layout>
      <c:lineChart>
        <c:grouping val="standard"/>
        <c:varyColors val="0"/>
        <c:ser>
          <c:idx val="0"/>
          <c:order val="0"/>
          <c:tx>
            <c:strRef>
              <c:f>'Vehicle Qty &amp; heat graph'!$B$64</c:f>
              <c:strCache>
                <c:ptCount val="1"/>
                <c:pt idx="0">
                  <c:v>220kW Vehicle</c:v>
                </c:pt>
              </c:strCache>
            </c:strRef>
          </c:tx>
          <c:spPr>
            <a:ln>
              <a:solidFill>
                <a:srgbClr val="7030A0"/>
              </a:solidFill>
            </a:ln>
          </c:spPr>
          <c:marker>
            <c:spPr>
              <a:solidFill>
                <a:srgbClr val="7030A0"/>
              </a:solidFill>
              <a:ln>
                <a:solidFill>
                  <a:srgbClr val="7030A0"/>
                </a:solidFill>
              </a:ln>
            </c:spPr>
          </c:marker>
          <c:cat>
            <c:numRef>
              <c:f>'Vehicle Qty &amp; heat graph'!$C$40:$R$40</c:f>
              <c:numCache>
                <c:formatCode>General</c:formatCode>
                <c:ptCount val="16"/>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c:v>750</c:v>
                </c:pt>
                <c:pt idx="15">
                  <c:v>800</c:v>
                </c:pt>
              </c:numCache>
            </c:numRef>
          </c:cat>
          <c:val>
            <c:numRef>
              <c:f>'Vehicle Qty &amp; heat graph'!$C$64:$R$64</c:f>
              <c:numCache>
                <c:formatCode>0.0</c:formatCode>
                <c:ptCount val="16"/>
                <c:pt idx="0">
                  <c:v>18.940835522759006</c:v>
                </c:pt>
                <c:pt idx="1">
                  <c:v>19.876185425117477</c:v>
                </c:pt>
                <c:pt idx="2">
                  <c:v>20.811535327475944</c:v>
                </c:pt>
                <c:pt idx="3">
                  <c:v>21.746885229834415</c:v>
                </c:pt>
                <c:pt idx="4">
                  <c:v>22.682235132192886</c:v>
                </c:pt>
                <c:pt idx="5">
                  <c:v>23.617585034551354</c:v>
                </c:pt>
                <c:pt idx="6">
                  <c:v>24.552934936909825</c:v>
                </c:pt>
                <c:pt idx="7">
                  <c:v>25.488284839268292</c:v>
                </c:pt>
                <c:pt idx="8">
                  <c:v>26.423634741626763</c:v>
                </c:pt>
                <c:pt idx="9">
                  <c:v>27.358984643985234</c:v>
                </c:pt>
                <c:pt idx="10">
                  <c:v>28.294334546343705</c:v>
                </c:pt>
                <c:pt idx="11">
                  <c:v>29.229684448702173</c:v>
                </c:pt>
                <c:pt idx="12">
                  <c:v>30.16503435106064</c:v>
                </c:pt>
                <c:pt idx="13">
                  <c:v>31.100384253419108</c:v>
                </c:pt>
                <c:pt idx="14">
                  <c:v>32.035734155777583</c:v>
                </c:pt>
                <c:pt idx="15">
                  <c:v>32.97108405813605</c:v>
                </c:pt>
              </c:numCache>
            </c:numRef>
          </c:val>
          <c:smooth val="0"/>
          <c:extLst>
            <c:ext xmlns:c16="http://schemas.microsoft.com/office/drawing/2014/chart" uri="{C3380CC4-5D6E-409C-BE32-E72D297353CC}">
              <c16:uniqueId val="{00000000-FFB8-455F-908E-03CB7FA3FD3B}"/>
            </c:ext>
          </c:extLst>
        </c:ser>
        <c:ser>
          <c:idx val="1"/>
          <c:order val="1"/>
          <c:tx>
            <c:strRef>
              <c:f>'Vehicle Qty &amp; heat graph'!$B$65</c:f>
              <c:strCache>
                <c:ptCount val="1"/>
                <c:pt idx="0">
                  <c:v>250kW Vehicle</c:v>
                </c:pt>
              </c:strCache>
            </c:strRef>
          </c:tx>
          <c:spPr>
            <a:ln>
              <a:solidFill>
                <a:schemeClr val="accent3">
                  <a:lumMod val="50000"/>
                </a:schemeClr>
              </a:solidFill>
            </a:ln>
          </c:spPr>
          <c:marker>
            <c:spPr>
              <a:solidFill>
                <a:schemeClr val="accent3">
                  <a:lumMod val="50000"/>
                </a:schemeClr>
              </a:solidFill>
              <a:ln>
                <a:solidFill>
                  <a:schemeClr val="accent3">
                    <a:lumMod val="50000"/>
                  </a:schemeClr>
                </a:solidFill>
              </a:ln>
            </c:spPr>
          </c:marker>
          <c:cat>
            <c:numRef>
              <c:f>'Vehicle Qty &amp; heat graph'!$C$40:$R$40</c:f>
              <c:numCache>
                <c:formatCode>General</c:formatCode>
                <c:ptCount val="16"/>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c:v>750</c:v>
                </c:pt>
                <c:pt idx="15">
                  <c:v>800</c:v>
                </c:pt>
              </c:numCache>
            </c:numRef>
          </c:cat>
          <c:val>
            <c:numRef>
              <c:f>'Vehicle Qty &amp; heat graph'!$C$65:$R$65</c:f>
              <c:numCache>
                <c:formatCode>0.0</c:formatCode>
                <c:ptCount val="16"/>
                <c:pt idx="0">
                  <c:v>21.045372803065565</c:v>
                </c:pt>
                <c:pt idx="1">
                  <c:v>21.980722705424032</c:v>
                </c:pt>
                <c:pt idx="2">
                  <c:v>22.9160726077825</c:v>
                </c:pt>
                <c:pt idx="3">
                  <c:v>23.851422510140971</c:v>
                </c:pt>
                <c:pt idx="4">
                  <c:v>24.786772412499438</c:v>
                </c:pt>
                <c:pt idx="5">
                  <c:v>25.722122314857909</c:v>
                </c:pt>
                <c:pt idx="6">
                  <c:v>26.65747221721638</c:v>
                </c:pt>
                <c:pt idx="7">
                  <c:v>27.592822119574851</c:v>
                </c:pt>
                <c:pt idx="8">
                  <c:v>28.528172021933322</c:v>
                </c:pt>
                <c:pt idx="9">
                  <c:v>29.463521924291793</c:v>
                </c:pt>
                <c:pt idx="10">
                  <c:v>30.398871826650257</c:v>
                </c:pt>
                <c:pt idx="11">
                  <c:v>31.334221729008728</c:v>
                </c:pt>
                <c:pt idx="12">
                  <c:v>32.269571631367199</c:v>
                </c:pt>
                <c:pt idx="13">
                  <c:v>33.204921533725667</c:v>
                </c:pt>
                <c:pt idx="14">
                  <c:v>34.140271436084141</c:v>
                </c:pt>
                <c:pt idx="15">
                  <c:v>35.075621338442602</c:v>
                </c:pt>
              </c:numCache>
            </c:numRef>
          </c:val>
          <c:smooth val="0"/>
          <c:extLst>
            <c:ext xmlns:c16="http://schemas.microsoft.com/office/drawing/2014/chart" uri="{C3380CC4-5D6E-409C-BE32-E72D297353CC}">
              <c16:uniqueId val="{00000001-FFB8-455F-908E-03CB7FA3FD3B}"/>
            </c:ext>
          </c:extLst>
        </c:ser>
        <c:ser>
          <c:idx val="2"/>
          <c:order val="2"/>
          <c:tx>
            <c:strRef>
              <c:f>'Vehicle Qty &amp; heat graph'!$B$66</c:f>
              <c:strCache>
                <c:ptCount val="1"/>
                <c:pt idx="0">
                  <c:v>280kW Vehicle</c:v>
                </c:pt>
              </c:strCache>
            </c:strRef>
          </c:tx>
          <c:spPr>
            <a:ln>
              <a:solidFill>
                <a:schemeClr val="tx2">
                  <a:lumMod val="60000"/>
                  <a:lumOff val="40000"/>
                </a:schemeClr>
              </a:solidFill>
            </a:ln>
          </c:spPr>
          <c:marker>
            <c:symbol val="diamond"/>
            <c:size val="10"/>
            <c:spPr>
              <a:solidFill>
                <a:schemeClr val="tx2">
                  <a:lumMod val="60000"/>
                  <a:lumOff val="40000"/>
                </a:schemeClr>
              </a:solidFill>
              <a:ln>
                <a:solidFill>
                  <a:schemeClr val="tx2">
                    <a:lumMod val="60000"/>
                    <a:lumOff val="40000"/>
                  </a:schemeClr>
                </a:solidFill>
              </a:ln>
            </c:spPr>
          </c:marker>
          <c:val>
            <c:numRef>
              <c:f>'Vehicle Qty &amp; heat graph'!$C$66:$R$66</c:f>
              <c:numCache>
                <c:formatCode>0.0</c:formatCode>
                <c:ptCount val="16"/>
                <c:pt idx="0">
                  <c:v>23.14991008337212</c:v>
                </c:pt>
                <c:pt idx="1">
                  <c:v>24.085259985730591</c:v>
                </c:pt>
                <c:pt idx="2">
                  <c:v>25.020609888089059</c:v>
                </c:pt>
                <c:pt idx="3">
                  <c:v>25.955959790447526</c:v>
                </c:pt>
                <c:pt idx="4">
                  <c:v>26.891309692805997</c:v>
                </c:pt>
                <c:pt idx="5">
                  <c:v>27.826659595164468</c:v>
                </c:pt>
                <c:pt idx="6">
                  <c:v>28.762009497522939</c:v>
                </c:pt>
                <c:pt idx="7">
                  <c:v>29.697359399881403</c:v>
                </c:pt>
                <c:pt idx="8">
                  <c:v>30.632709302239874</c:v>
                </c:pt>
                <c:pt idx="9">
                  <c:v>31.568059204598345</c:v>
                </c:pt>
                <c:pt idx="10">
                  <c:v>32.503409106956816</c:v>
                </c:pt>
                <c:pt idx="11">
                  <c:v>33.438759009315284</c:v>
                </c:pt>
                <c:pt idx="12">
                  <c:v>34.374108911673758</c:v>
                </c:pt>
                <c:pt idx="13">
                  <c:v>35.309458814032219</c:v>
                </c:pt>
                <c:pt idx="14">
                  <c:v>36.244808716390693</c:v>
                </c:pt>
                <c:pt idx="15">
                  <c:v>37.180158618749161</c:v>
                </c:pt>
              </c:numCache>
            </c:numRef>
          </c:val>
          <c:smooth val="0"/>
          <c:extLst>
            <c:ext xmlns:c16="http://schemas.microsoft.com/office/drawing/2014/chart" uri="{C3380CC4-5D6E-409C-BE32-E72D297353CC}">
              <c16:uniqueId val="{00000002-FFB8-455F-908E-03CB7FA3FD3B}"/>
            </c:ext>
          </c:extLst>
        </c:ser>
        <c:ser>
          <c:idx val="3"/>
          <c:order val="3"/>
          <c:tx>
            <c:strRef>
              <c:f>'Vehicle Qty &amp; heat graph'!$B$67</c:f>
              <c:strCache>
                <c:ptCount val="1"/>
                <c:pt idx="0">
                  <c:v>300kW Vehicle</c:v>
                </c:pt>
              </c:strCache>
            </c:strRef>
          </c:tx>
          <c:spPr>
            <a:ln>
              <a:solidFill>
                <a:srgbClr val="6DBDAA"/>
              </a:solidFill>
            </a:ln>
          </c:spPr>
          <c:marker>
            <c:spPr>
              <a:solidFill>
                <a:srgbClr val="6DBDAA"/>
              </a:solidFill>
              <a:ln>
                <a:solidFill>
                  <a:srgbClr val="6DBDAA"/>
                </a:solidFill>
              </a:ln>
            </c:spPr>
          </c:marker>
          <c:val>
            <c:numRef>
              <c:f>'Vehicle Qty &amp; heat graph'!$C$67:$R$67</c:f>
              <c:numCache>
                <c:formatCode>0.0</c:formatCode>
                <c:ptCount val="16"/>
                <c:pt idx="0">
                  <c:v>24.552934936909825</c:v>
                </c:pt>
                <c:pt idx="1">
                  <c:v>25.488284839268292</c:v>
                </c:pt>
                <c:pt idx="2">
                  <c:v>26.423634741626763</c:v>
                </c:pt>
                <c:pt idx="3">
                  <c:v>27.358984643985234</c:v>
                </c:pt>
                <c:pt idx="4">
                  <c:v>28.294334546343705</c:v>
                </c:pt>
                <c:pt idx="5">
                  <c:v>29.229684448702173</c:v>
                </c:pt>
                <c:pt idx="6">
                  <c:v>30.16503435106064</c:v>
                </c:pt>
                <c:pt idx="7">
                  <c:v>31.100384253419108</c:v>
                </c:pt>
                <c:pt idx="8">
                  <c:v>32.035734155777583</c:v>
                </c:pt>
                <c:pt idx="9">
                  <c:v>32.97108405813605</c:v>
                </c:pt>
                <c:pt idx="10">
                  <c:v>33.906433960494518</c:v>
                </c:pt>
                <c:pt idx="11">
                  <c:v>34.841783862852992</c:v>
                </c:pt>
                <c:pt idx="12">
                  <c:v>35.77713376521146</c:v>
                </c:pt>
                <c:pt idx="13">
                  <c:v>36.712483667569927</c:v>
                </c:pt>
                <c:pt idx="14">
                  <c:v>37.647833569928395</c:v>
                </c:pt>
                <c:pt idx="15">
                  <c:v>38.583183472286869</c:v>
                </c:pt>
              </c:numCache>
            </c:numRef>
          </c:val>
          <c:smooth val="0"/>
          <c:extLst>
            <c:ext xmlns:c16="http://schemas.microsoft.com/office/drawing/2014/chart" uri="{C3380CC4-5D6E-409C-BE32-E72D297353CC}">
              <c16:uniqueId val="{00000003-FFB8-455F-908E-03CB7FA3FD3B}"/>
            </c:ext>
          </c:extLst>
        </c:ser>
        <c:ser>
          <c:idx val="4"/>
          <c:order val="4"/>
          <c:tx>
            <c:strRef>
              <c:f>'Vehicle Qty &amp; heat graph'!$B$68</c:f>
              <c:strCache>
                <c:ptCount val="1"/>
                <c:pt idx="0">
                  <c:v>330kW Vehicle</c:v>
                </c:pt>
              </c:strCache>
            </c:strRef>
          </c:tx>
          <c:spPr>
            <a:ln>
              <a:solidFill>
                <a:schemeClr val="accent6">
                  <a:lumMod val="75000"/>
                </a:schemeClr>
              </a:solidFill>
            </a:ln>
          </c:spPr>
          <c:marker>
            <c:symbol val="circle"/>
            <c:size val="5"/>
            <c:spPr>
              <a:solidFill>
                <a:schemeClr val="accent6">
                  <a:lumMod val="75000"/>
                </a:schemeClr>
              </a:solidFill>
              <a:ln>
                <a:solidFill>
                  <a:schemeClr val="accent6">
                    <a:lumMod val="75000"/>
                  </a:schemeClr>
                </a:solidFill>
              </a:ln>
            </c:spPr>
          </c:marker>
          <c:val>
            <c:numRef>
              <c:f>'Vehicle Qty &amp; heat graph'!$C$68:$R$68</c:f>
              <c:numCache>
                <c:formatCode>0.0</c:formatCode>
                <c:ptCount val="16"/>
                <c:pt idx="0">
                  <c:v>26.65747221721638</c:v>
                </c:pt>
                <c:pt idx="1">
                  <c:v>27.592822119574851</c:v>
                </c:pt>
                <c:pt idx="2">
                  <c:v>28.528172021933322</c:v>
                </c:pt>
                <c:pt idx="3">
                  <c:v>29.463521924291793</c:v>
                </c:pt>
                <c:pt idx="4">
                  <c:v>30.398871826650257</c:v>
                </c:pt>
                <c:pt idx="5">
                  <c:v>31.334221729008728</c:v>
                </c:pt>
                <c:pt idx="6">
                  <c:v>32.269571631367199</c:v>
                </c:pt>
                <c:pt idx="7">
                  <c:v>33.204921533725667</c:v>
                </c:pt>
                <c:pt idx="8">
                  <c:v>34.140271436084141</c:v>
                </c:pt>
                <c:pt idx="9">
                  <c:v>35.075621338442602</c:v>
                </c:pt>
                <c:pt idx="10">
                  <c:v>36.010971240801076</c:v>
                </c:pt>
                <c:pt idx="11">
                  <c:v>36.946321143159544</c:v>
                </c:pt>
                <c:pt idx="12">
                  <c:v>37.881671045518011</c:v>
                </c:pt>
                <c:pt idx="13">
                  <c:v>38.817020947876486</c:v>
                </c:pt>
                <c:pt idx="14">
                  <c:v>39.752370850234954</c:v>
                </c:pt>
                <c:pt idx="15">
                  <c:v>40.687720752593421</c:v>
                </c:pt>
              </c:numCache>
            </c:numRef>
          </c:val>
          <c:smooth val="0"/>
          <c:extLst>
            <c:ext xmlns:c16="http://schemas.microsoft.com/office/drawing/2014/chart" uri="{C3380CC4-5D6E-409C-BE32-E72D297353CC}">
              <c16:uniqueId val="{00000004-FFB8-455F-908E-03CB7FA3FD3B}"/>
            </c:ext>
          </c:extLst>
        </c:ser>
        <c:ser>
          <c:idx val="5"/>
          <c:order val="5"/>
          <c:tx>
            <c:strRef>
              <c:f>'Vehicle Qty &amp; heat graph'!$B$69</c:f>
              <c:strCache>
                <c:ptCount val="1"/>
                <c:pt idx="0">
                  <c:v>350kW Vehicle</c:v>
                </c:pt>
              </c:strCache>
            </c:strRef>
          </c:tx>
          <c:spPr>
            <a:ln>
              <a:solidFill>
                <a:srgbClr val="00B0F0"/>
              </a:solidFill>
            </a:ln>
          </c:spPr>
          <c:marker>
            <c:symbol val="diamond"/>
            <c:size val="7"/>
            <c:spPr>
              <a:solidFill>
                <a:srgbClr val="00B0F0"/>
              </a:solidFill>
              <a:ln>
                <a:solidFill>
                  <a:srgbClr val="00B0F0"/>
                </a:solidFill>
              </a:ln>
            </c:spPr>
          </c:marker>
          <c:val>
            <c:numRef>
              <c:f>'Vehicle Qty &amp; heat graph'!$C$69:$R$69</c:f>
              <c:numCache>
                <c:formatCode>0.0</c:formatCode>
                <c:ptCount val="16"/>
                <c:pt idx="0">
                  <c:v>28.060497070754085</c:v>
                </c:pt>
                <c:pt idx="1">
                  <c:v>28.995846973112556</c:v>
                </c:pt>
                <c:pt idx="2">
                  <c:v>29.93119687547102</c:v>
                </c:pt>
                <c:pt idx="3">
                  <c:v>30.866546777829491</c:v>
                </c:pt>
                <c:pt idx="4">
                  <c:v>31.801896680187962</c:v>
                </c:pt>
                <c:pt idx="5">
                  <c:v>32.737246582546433</c:v>
                </c:pt>
                <c:pt idx="6">
                  <c:v>33.672596484904901</c:v>
                </c:pt>
                <c:pt idx="7">
                  <c:v>34.607946387263375</c:v>
                </c:pt>
                <c:pt idx="8">
                  <c:v>35.543296289621836</c:v>
                </c:pt>
                <c:pt idx="9">
                  <c:v>36.47864619198031</c:v>
                </c:pt>
                <c:pt idx="10">
                  <c:v>37.413996094338778</c:v>
                </c:pt>
                <c:pt idx="11">
                  <c:v>38.349345996697252</c:v>
                </c:pt>
                <c:pt idx="12">
                  <c:v>39.28469589905572</c:v>
                </c:pt>
                <c:pt idx="13">
                  <c:v>40.220045801414194</c:v>
                </c:pt>
                <c:pt idx="14">
                  <c:v>41.155395703772655</c:v>
                </c:pt>
                <c:pt idx="15">
                  <c:v>42.090745606131129</c:v>
                </c:pt>
              </c:numCache>
            </c:numRef>
          </c:val>
          <c:smooth val="0"/>
          <c:extLst>
            <c:ext xmlns:c16="http://schemas.microsoft.com/office/drawing/2014/chart" uri="{C3380CC4-5D6E-409C-BE32-E72D297353CC}">
              <c16:uniqueId val="{00000005-FFB8-455F-908E-03CB7FA3FD3B}"/>
            </c:ext>
          </c:extLst>
        </c:ser>
        <c:ser>
          <c:idx val="6"/>
          <c:order val="6"/>
          <c:tx>
            <c:strRef>
              <c:f>'Vehicle Qty &amp; heat graph'!$B$70</c:f>
              <c:strCache>
                <c:ptCount val="1"/>
                <c:pt idx="0">
                  <c:v>375kW Vehicle</c:v>
                </c:pt>
              </c:strCache>
            </c:strRef>
          </c:tx>
          <c:spPr>
            <a:ln>
              <a:solidFill>
                <a:srgbClr val="996633"/>
              </a:solidFill>
            </a:ln>
          </c:spPr>
          <c:marker>
            <c:symbol val="star"/>
            <c:size val="7"/>
            <c:spPr>
              <a:solidFill>
                <a:srgbClr val="996633"/>
              </a:solidFill>
              <a:ln>
                <a:solidFill>
                  <a:srgbClr val="996633"/>
                </a:solidFill>
              </a:ln>
            </c:spPr>
          </c:marker>
          <c:val>
            <c:numRef>
              <c:f>'Vehicle Qty &amp; heat graph'!$C$70:$R$70</c:f>
              <c:numCache>
                <c:formatCode>0.0</c:formatCode>
                <c:ptCount val="16"/>
                <c:pt idx="0">
                  <c:v>29.814278137676215</c:v>
                </c:pt>
                <c:pt idx="1">
                  <c:v>30.749628040034686</c:v>
                </c:pt>
                <c:pt idx="2">
                  <c:v>31.684977942393157</c:v>
                </c:pt>
                <c:pt idx="3">
                  <c:v>32.620327844751621</c:v>
                </c:pt>
                <c:pt idx="4">
                  <c:v>33.555677747110089</c:v>
                </c:pt>
                <c:pt idx="5">
                  <c:v>34.491027649468563</c:v>
                </c:pt>
                <c:pt idx="6">
                  <c:v>35.426377551827031</c:v>
                </c:pt>
                <c:pt idx="7">
                  <c:v>36.361727454185505</c:v>
                </c:pt>
                <c:pt idx="8">
                  <c:v>37.297077356543973</c:v>
                </c:pt>
                <c:pt idx="9">
                  <c:v>38.23242725890244</c:v>
                </c:pt>
                <c:pt idx="10">
                  <c:v>39.167777161260908</c:v>
                </c:pt>
                <c:pt idx="11">
                  <c:v>40.103127063619382</c:v>
                </c:pt>
                <c:pt idx="12">
                  <c:v>41.03847696597785</c:v>
                </c:pt>
                <c:pt idx="13">
                  <c:v>41.973826868336317</c:v>
                </c:pt>
                <c:pt idx="14">
                  <c:v>42.909176770694792</c:v>
                </c:pt>
                <c:pt idx="15">
                  <c:v>43.844526673053252</c:v>
                </c:pt>
              </c:numCache>
            </c:numRef>
          </c:val>
          <c:smooth val="0"/>
          <c:extLst>
            <c:ext xmlns:c16="http://schemas.microsoft.com/office/drawing/2014/chart" uri="{C3380CC4-5D6E-409C-BE32-E72D297353CC}">
              <c16:uniqueId val="{00000006-FFB8-455F-908E-03CB7FA3FD3B}"/>
            </c:ext>
          </c:extLst>
        </c:ser>
        <c:dLbls>
          <c:showLegendKey val="0"/>
          <c:showVal val="0"/>
          <c:showCatName val="0"/>
          <c:showSerName val="0"/>
          <c:showPercent val="0"/>
          <c:showBubbleSize val="0"/>
        </c:dLbls>
        <c:marker val="1"/>
        <c:smooth val="0"/>
        <c:axId val="137015296"/>
        <c:axId val="137017216"/>
      </c:lineChart>
      <c:catAx>
        <c:axId val="137015296"/>
        <c:scaling>
          <c:orientation val="minMax"/>
        </c:scaling>
        <c:delete val="0"/>
        <c:axPos val="b"/>
        <c:numFmt formatCode="General" sourceLinked="1"/>
        <c:majorTickMark val="out"/>
        <c:minorTickMark val="none"/>
        <c:tickLblPos val="nextTo"/>
        <c:txPr>
          <a:bodyPr/>
          <a:lstStyle/>
          <a:p>
            <a:pPr>
              <a:defRPr sz="1100"/>
            </a:pPr>
            <a:endParaRPr lang="en-US"/>
          </a:p>
        </c:txPr>
        <c:crossAx val="137017216"/>
        <c:crosses val="autoZero"/>
        <c:auto val="1"/>
        <c:lblAlgn val="ctr"/>
        <c:lblOffset val="100"/>
        <c:noMultiLvlLbl val="0"/>
      </c:catAx>
      <c:valAx>
        <c:axId val="137017216"/>
        <c:scaling>
          <c:orientation val="minMax"/>
          <c:max val="40"/>
          <c:min val="10"/>
        </c:scaling>
        <c:delete val="0"/>
        <c:axPos val="l"/>
        <c:majorGridlines>
          <c:spPr>
            <a:ln>
              <a:solidFill>
                <a:schemeClr val="tx1">
                  <a:alpha val="28000"/>
                </a:schemeClr>
              </a:solidFill>
            </a:ln>
          </c:spPr>
        </c:majorGridlines>
        <c:numFmt formatCode="0.0" sourceLinked="0"/>
        <c:majorTickMark val="out"/>
        <c:minorTickMark val="none"/>
        <c:tickLblPos val="nextTo"/>
        <c:txPr>
          <a:bodyPr/>
          <a:lstStyle/>
          <a:p>
            <a:pPr>
              <a:defRPr sz="1100"/>
            </a:pPr>
            <a:endParaRPr lang="en-US"/>
          </a:p>
        </c:txPr>
        <c:crossAx val="137015296"/>
        <c:crosses val="autoZero"/>
        <c:crossBetween val="between"/>
        <c:majorUnit val="1"/>
      </c:valAx>
      <c:spPr>
        <a:ln>
          <a:solidFill>
            <a:schemeClr val="tx1"/>
          </a:solidFill>
        </a:ln>
      </c:spPr>
    </c:plotArea>
    <c:legend>
      <c:legendPos val="b"/>
      <c:layout>
        <c:manualLayout>
          <c:xMode val="edge"/>
          <c:yMode val="edge"/>
          <c:x val="0.11074901986482882"/>
          <c:y val="0.87604806400123614"/>
          <c:w val="0.79743589743589749"/>
          <c:h val="8.1365258788218778E-2"/>
        </c:manualLayout>
      </c:layout>
      <c:overlay val="1"/>
      <c:txPr>
        <a:bodyPr/>
        <a:lstStyle/>
        <a:p>
          <a:pPr>
            <a:defRPr sz="1200"/>
          </a:pPr>
          <a:endParaRPr lang="en-US"/>
        </a:p>
      </c:txPr>
    </c:legend>
    <c:plotVisOnly val="1"/>
    <c:dispBlanksAs val="gap"/>
    <c:showDLblsOverMax val="0"/>
  </c:chart>
  <c:printSettings>
    <c:headerFooter/>
    <c:pageMargins b="0.75" l="0.7" r="0.7" t="0.75" header="0.3" footer="0.3"/>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19333462202997"/>
          <c:y val="0.10476439700183536"/>
          <c:w val="0.84679116699733881"/>
          <c:h val="0.69679447053765753"/>
        </c:manualLayout>
      </c:layout>
      <c:lineChart>
        <c:grouping val="standard"/>
        <c:varyColors val="0"/>
        <c:ser>
          <c:idx val="0"/>
          <c:order val="0"/>
          <c:tx>
            <c:strRef>
              <c:f>'Vehicle Qty &amp; heat graph'!$B$83</c:f>
              <c:strCache>
                <c:ptCount val="1"/>
                <c:pt idx="0">
                  <c:v>220kW Vehicle  (330kW)</c:v>
                </c:pt>
              </c:strCache>
            </c:strRef>
          </c:tx>
          <c:spPr>
            <a:ln>
              <a:solidFill>
                <a:srgbClr val="7030A0"/>
              </a:solidFill>
            </a:ln>
          </c:spPr>
          <c:marker>
            <c:spPr>
              <a:solidFill>
                <a:srgbClr val="7030A0"/>
              </a:solidFill>
              <a:ln>
                <a:solidFill>
                  <a:srgbClr val="7030A0"/>
                </a:solidFill>
              </a:ln>
            </c:spPr>
          </c:marker>
          <c:cat>
            <c:numRef>
              <c:f>'Vehicle Qty &amp; heat graph'!$C$81:$L$81</c:f>
              <c:numCache>
                <c:formatCode>General</c:formatCode>
                <c:ptCount val="10"/>
                <c:pt idx="0">
                  <c:v>50</c:v>
                </c:pt>
                <c:pt idx="1">
                  <c:v>100</c:v>
                </c:pt>
                <c:pt idx="2">
                  <c:v>150</c:v>
                </c:pt>
                <c:pt idx="3">
                  <c:v>200</c:v>
                </c:pt>
                <c:pt idx="4">
                  <c:v>250</c:v>
                </c:pt>
                <c:pt idx="5">
                  <c:v>300</c:v>
                </c:pt>
                <c:pt idx="6">
                  <c:v>350</c:v>
                </c:pt>
                <c:pt idx="7">
                  <c:v>400</c:v>
                </c:pt>
                <c:pt idx="8">
                  <c:v>450</c:v>
                </c:pt>
                <c:pt idx="9">
                  <c:v>500</c:v>
                </c:pt>
              </c:numCache>
            </c:numRef>
          </c:cat>
          <c:val>
            <c:numRef>
              <c:f>'Vehicle Qty &amp; heat graph'!$C$83:$L$83</c:f>
              <c:numCache>
                <c:formatCode>0.0</c:formatCode>
                <c:ptCount val="10"/>
                <c:pt idx="0">
                  <c:v>27.5</c:v>
                </c:pt>
                <c:pt idx="1">
                  <c:v>27.74</c:v>
                </c:pt>
                <c:pt idx="2">
                  <c:v>27.98</c:v>
                </c:pt>
                <c:pt idx="3">
                  <c:v>28.22</c:v>
                </c:pt>
                <c:pt idx="4">
                  <c:v>28.46</c:v>
                </c:pt>
                <c:pt idx="5">
                  <c:v>28.7</c:v>
                </c:pt>
                <c:pt idx="6">
                  <c:v>28.925000000000001</c:v>
                </c:pt>
                <c:pt idx="7">
                  <c:v>29.15</c:v>
                </c:pt>
                <c:pt idx="8">
                  <c:v>29.375</c:v>
                </c:pt>
                <c:pt idx="9">
                  <c:v>29.6</c:v>
                </c:pt>
              </c:numCache>
            </c:numRef>
          </c:val>
          <c:smooth val="0"/>
          <c:extLst>
            <c:ext xmlns:c16="http://schemas.microsoft.com/office/drawing/2014/chart" uri="{C3380CC4-5D6E-409C-BE32-E72D297353CC}">
              <c16:uniqueId val="{00000000-0100-4EC9-A09A-7CE5558743A3}"/>
            </c:ext>
          </c:extLst>
        </c:ser>
        <c:ser>
          <c:idx val="1"/>
          <c:order val="1"/>
          <c:tx>
            <c:strRef>
              <c:f>'Vehicle Qty &amp; heat graph'!$B$84</c:f>
              <c:strCache>
                <c:ptCount val="1"/>
                <c:pt idx="0">
                  <c:v>250kW Vehicle  (375kW)</c:v>
                </c:pt>
              </c:strCache>
            </c:strRef>
          </c:tx>
          <c:spPr>
            <a:ln>
              <a:solidFill>
                <a:schemeClr val="accent3">
                  <a:lumMod val="50000"/>
                </a:schemeClr>
              </a:solidFill>
            </a:ln>
          </c:spPr>
          <c:marker>
            <c:spPr>
              <a:solidFill>
                <a:schemeClr val="accent3">
                  <a:lumMod val="50000"/>
                </a:schemeClr>
              </a:solidFill>
              <a:ln>
                <a:solidFill>
                  <a:schemeClr val="accent3">
                    <a:lumMod val="50000"/>
                  </a:schemeClr>
                </a:solidFill>
              </a:ln>
            </c:spPr>
          </c:marker>
          <c:cat>
            <c:numRef>
              <c:f>'Vehicle Qty &amp; heat graph'!$C$81:$L$81</c:f>
              <c:numCache>
                <c:formatCode>General</c:formatCode>
                <c:ptCount val="10"/>
                <c:pt idx="0">
                  <c:v>50</c:v>
                </c:pt>
                <c:pt idx="1">
                  <c:v>100</c:v>
                </c:pt>
                <c:pt idx="2">
                  <c:v>150</c:v>
                </c:pt>
                <c:pt idx="3">
                  <c:v>200</c:v>
                </c:pt>
                <c:pt idx="4">
                  <c:v>250</c:v>
                </c:pt>
                <c:pt idx="5">
                  <c:v>300</c:v>
                </c:pt>
                <c:pt idx="6">
                  <c:v>350</c:v>
                </c:pt>
                <c:pt idx="7">
                  <c:v>400</c:v>
                </c:pt>
                <c:pt idx="8">
                  <c:v>450</c:v>
                </c:pt>
                <c:pt idx="9">
                  <c:v>500</c:v>
                </c:pt>
              </c:numCache>
            </c:numRef>
          </c:cat>
          <c:val>
            <c:numRef>
              <c:f>'Vehicle Qty &amp; heat graph'!$C$84:$L$84</c:f>
              <c:numCache>
                <c:formatCode>0.0</c:formatCode>
                <c:ptCount val="10"/>
                <c:pt idx="0">
                  <c:v>27.5</c:v>
                </c:pt>
                <c:pt idx="1">
                  <c:v>27.72</c:v>
                </c:pt>
                <c:pt idx="2">
                  <c:v>27.94</c:v>
                </c:pt>
                <c:pt idx="3">
                  <c:v>28.16</c:v>
                </c:pt>
                <c:pt idx="4">
                  <c:v>28.380000000000003</c:v>
                </c:pt>
                <c:pt idx="5">
                  <c:v>28.6</c:v>
                </c:pt>
                <c:pt idx="6">
                  <c:v>28.8</c:v>
                </c:pt>
                <c:pt idx="7">
                  <c:v>29</c:v>
                </c:pt>
                <c:pt idx="8">
                  <c:v>29.2</c:v>
                </c:pt>
                <c:pt idx="9">
                  <c:v>29.4</c:v>
                </c:pt>
              </c:numCache>
            </c:numRef>
          </c:val>
          <c:smooth val="0"/>
          <c:extLst>
            <c:ext xmlns:c16="http://schemas.microsoft.com/office/drawing/2014/chart" uri="{C3380CC4-5D6E-409C-BE32-E72D297353CC}">
              <c16:uniqueId val="{00000001-0100-4EC9-A09A-7CE5558743A3}"/>
            </c:ext>
          </c:extLst>
        </c:ser>
        <c:ser>
          <c:idx val="2"/>
          <c:order val="2"/>
          <c:tx>
            <c:strRef>
              <c:f>'Vehicle Qty &amp; heat graph'!$B$85</c:f>
              <c:strCache>
                <c:ptCount val="1"/>
                <c:pt idx="0">
                  <c:v>280kW Vehicle  (420kW)</c:v>
                </c:pt>
              </c:strCache>
            </c:strRef>
          </c:tx>
          <c:spPr>
            <a:ln>
              <a:solidFill>
                <a:schemeClr val="tx2">
                  <a:lumMod val="60000"/>
                  <a:lumOff val="40000"/>
                </a:schemeClr>
              </a:solidFill>
            </a:ln>
          </c:spPr>
          <c:marker>
            <c:symbol val="diamond"/>
            <c:size val="10"/>
            <c:spPr>
              <a:solidFill>
                <a:schemeClr val="tx2">
                  <a:lumMod val="60000"/>
                  <a:lumOff val="40000"/>
                </a:schemeClr>
              </a:solidFill>
              <a:ln>
                <a:solidFill>
                  <a:schemeClr val="tx2">
                    <a:lumMod val="60000"/>
                    <a:lumOff val="40000"/>
                  </a:schemeClr>
                </a:solidFill>
              </a:ln>
            </c:spPr>
          </c:marker>
          <c:cat>
            <c:numRef>
              <c:f>'Vehicle Qty &amp; heat graph'!$C$81:$L$81</c:f>
              <c:numCache>
                <c:formatCode>General</c:formatCode>
                <c:ptCount val="10"/>
                <c:pt idx="0">
                  <c:v>50</c:v>
                </c:pt>
                <c:pt idx="1">
                  <c:v>100</c:v>
                </c:pt>
                <c:pt idx="2">
                  <c:v>150</c:v>
                </c:pt>
                <c:pt idx="3">
                  <c:v>200</c:v>
                </c:pt>
                <c:pt idx="4">
                  <c:v>250</c:v>
                </c:pt>
                <c:pt idx="5">
                  <c:v>300</c:v>
                </c:pt>
                <c:pt idx="6">
                  <c:v>350</c:v>
                </c:pt>
                <c:pt idx="7">
                  <c:v>400</c:v>
                </c:pt>
                <c:pt idx="8">
                  <c:v>450</c:v>
                </c:pt>
                <c:pt idx="9">
                  <c:v>500</c:v>
                </c:pt>
              </c:numCache>
            </c:numRef>
          </c:cat>
          <c:val>
            <c:numRef>
              <c:f>'Vehicle Qty &amp; heat graph'!$C$85:$L$85</c:f>
              <c:numCache>
                <c:formatCode>0.0</c:formatCode>
                <c:ptCount val="10"/>
                <c:pt idx="0">
                  <c:v>27.5</c:v>
                </c:pt>
                <c:pt idx="1">
                  <c:v>27.72</c:v>
                </c:pt>
                <c:pt idx="2">
                  <c:v>27.94</c:v>
                </c:pt>
                <c:pt idx="3">
                  <c:v>28.16</c:v>
                </c:pt>
                <c:pt idx="4">
                  <c:v>28.380000000000003</c:v>
                </c:pt>
                <c:pt idx="5">
                  <c:v>28.6</c:v>
                </c:pt>
                <c:pt idx="6">
                  <c:v>28.775000000000002</c:v>
                </c:pt>
                <c:pt idx="7">
                  <c:v>28.950000000000003</c:v>
                </c:pt>
                <c:pt idx="8">
                  <c:v>29.125</c:v>
                </c:pt>
                <c:pt idx="9">
                  <c:v>29.3</c:v>
                </c:pt>
              </c:numCache>
            </c:numRef>
          </c:val>
          <c:smooth val="0"/>
          <c:extLst>
            <c:ext xmlns:c16="http://schemas.microsoft.com/office/drawing/2014/chart" uri="{C3380CC4-5D6E-409C-BE32-E72D297353CC}">
              <c16:uniqueId val="{00000002-0100-4EC9-A09A-7CE5558743A3}"/>
            </c:ext>
          </c:extLst>
        </c:ser>
        <c:ser>
          <c:idx val="3"/>
          <c:order val="3"/>
          <c:tx>
            <c:strRef>
              <c:f>'Vehicle Qty &amp; heat graph'!$B$86</c:f>
              <c:strCache>
                <c:ptCount val="1"/>
                <c:pt idx="0">
                  <c:v>300kW Vehicle  (450kW)</c:v>
                </c:pt>
              </c:strCache>
            </c:strRef>
          </c:tx>
          <c:spPr>
            <a:ln>
              <a:solidFill>
                <a:srgbClr val="6DBDAA"/>
              </a:solidFill>
            </a:ln>
          </c:spPr>
          <c:marker>
            <c:spPr>
              <a:solidFill>
                <a:srgbClr val="6DBDAA"/>
              </a:solidFill>
              <a:ln>
                <a:solidFill>
                  <a:srgbClr val="6DBDAA"/>
                </a:solidFill>
              </a:ln>
            </c:spPr>
          </c:marker>
          <c:cat>
            <c:numRef>
              <c:f>'Vehicle Qty &amp; heat graph'!$C$81:$L$81</c:f>
              <c:numCache>
                <c:formatCode>General</c:formatCode>
                <c:ptCount val="10"/>
                <c:pt idx="0">
                  <c:v>50</c:v>
                </c:pt>
                <c:pt idx="1">
                  <c:v>100</c:v>
                </c:pt>
                <c:pt idx="2">
                  <c:v>150</c:v>
                </c:pt>
                <c:pt idx="3">
                  <c:v>200</c:v>
                </c:pt>
                <c:pt idx="4">
                  <c:v>250</c:v>
                </c:pt>
                <c:pt idx="5">
                  <c:v>300</c:v>
                </c:pt>
                <c:pt idx="6">
                  <c:v>350</c:v>
                </c:pt>
                <c:pt idx="7">
                  <c:v>400</c:v>
                </c:pt>
                <c:pt idx="8">
                  <c:v>450</c:v>
                </c:pt>
                <c:pt idx="9">
                  <c:v>500</c:v>
                </c:pt>
              </c:numCache>
            </c:numRef>
          </c:cat>
          <c:val>
            <c:numRef>
              <c:f>'Vehicle Qty &amp; heat graph'!$C$86:$L$86</c:f>
              <c:numCache>
                <c:formatCode>0.0</c:formatCode>
                <c:ptCount val="10"/>
                <c:pt idx="0">
                  <c:v>27.5</c:v>
                </c:pt>
                <c:pt idx="1">
                  <c:v>27.7</c:v>
                </c:pt>
                <c:pt idx="2">
                  <c:v>27.9</c:v>
                </c:pt>
                <c:pt idx="3">
                  <c:v>28.1</c:v>
                </c:pt>
                <c:pt idx="4">
                  <c:v>28.3</c:v>
                </c:pt>
                <c:pt idx="5">
                  <c:v>28.5</c:v>
                </c:pt>
                <c:pt idx="6">
                  <c:v>28.675000000000001</c:v>
                </c:pt>
                <c:pt idx="7">
                  <c:v>28.85</c:v>
                </c:pt>
                <c:pt idx="8">
                  <c:v>29.024999999999999</c:v>
                </c:pt>
                <c:pt idx="9">
                  <c:v>29.2</c:v>
                </c:pt>
              </c:numCache>
            </c:numRef>
          </c:val>
          <c:smooth val="0"/>
          <c:extLst>
            <c:ext xmlns:c16="http://schemas.microsoft.com/office/drawing/2014/chart" uri="{C3380CC4-5D6E-409C-BE32-E72D297353CC}">
              <c16:uniqueId val="{00000003-0100-4EC9-A09A-7CE5558743A3}"/>
            </c:ext>
          </c:extLst>
        </c:ser>
        <c:ser>
          <c:idx val="4"/>
          <c:order val="4"/>
          <c:tx>
            <c:strRef>
              <c:f>'Vehicle Qty &amp; heat graph'!$B$87</c:f>
              <c:strCache>
                <c:ptCount val="1"/>
                <c:pt idx="0">
                  <c:v>330kW Vehicle  (495kW)</c:v>
                </c:pt>
              </c:strCache>
            </c:strRef>
          </c:tx>
          <c:spPr>
            <a:ln>
              <a:solidFill>
                <a:schemeClr val="accent6">
                  <a:lumMod val="75000"/>
                </a:schemeClr>
              </a:solidFill>
            </a:ln>
          </c:spPr>
          <c:marker>
            <c:symbol val="circle"/>
            <c:size val="5"/>
            <c:spPr>
              <a:solidFill>
                <a:schemeClr val="accent6">
                  <a:lumMod val="75000"/>
                </a:schemeClr>
              </a:solidFill>
              <a:ln>
                <a:solidFill>
                  <a:schemeClr val="accent6">
                    <a:lumMod val="75000"/>
                  </a:schemeClr>
                </a:solidFill>
              </a:ln>
            </c:spPr>
          </c:marker>
          <c:cat>
            <c:numRef>
              <c:f>'Vehicle Qty &amp; heat graph'!$C$81:$L$81</c:f>
              <c:numCache>
                <c:formatCode>General</c:formatCode>
                <c:ptCount val="10"/>
                <c:pt idx="0">
                  <c:v>50</c:v>
                </c:pt>
                <c:pt idx="1">
                  <c:v>100</c:v>
                </c:pt>
                <c:pt idx="2">
                  <c:v>150</c:v>
                </c:pt>
                <c:pt idx="3">
                  <c:v>200</c:v>
                </c:pt>
                <c:pt idx="4">
                  <c:v>250</c:v>
                </c:pt>
                <c:pt idx="5">
                  <c:v>300</c:v>
                </c:pt>
                <c:pt idx="6">
                  <c:v>350</c:v>
                </c:pt>
                <c:pt idx="7">
                  <c:v>400</c:v>
                </c:pt>
                <c:pt idx="8">
                  <c:v>450</c:v>
                </c:pt>
                <c:pt idx="9">
                  <c:v>500</c:v>
                </c:pt>
              </c:numCache>
            </c:numRef>
          </c:cat>
          <c:val>
            <c:numRef>
              <c:f>'Vehicle Qty &amp; heat graph'!$C$87:$L$87</c:f>
              <c:numCache>
                <c:formatCode>0.0</c:formatCode>
                <c:ptCount val="10"/>
                <c:pt idx="0">
                  <c:v>27.5</c:v>
                </c:pt>
                <c:pt idx="1">
                  <c:v>27.68</c:v>
                </c:pt>
                <c:pt idx="2">
                  <c:v>27.86</c:v>
                </c:pt>
                <c:pt idx="3">
                  <c:v>28.04</c:v>
                </c:pt>
                <c:pt idx="4">
                  <c:v>28.22</c:v>
                </c:pt>
                <c:pt idx="5">
                  <c:v>28.4</c:v>
                </c:pt>
                <c:pt idx="6">
                  <c:v>28.549999999999997</c:v>
                </c:pt>
                <c:pt idx="7">
                  <c:v>28.7</c:v>
                </c:pt>
                <c:pt idx="8">
                  <c:v>28.85</c:v>
                </c:pt>
                <c:pt idx="9">
                  <c:v>29</c:v>
                </c:pt>
              </c:numCache>
            </c:numRef>
          </c:val>
          <c:smooth val="0"/>
          <c:extLst>
            <c:ext xmlns:c16="http://schemas.microsoft.com/office/drawing/2014/chart" uri="{C3380CC4-5D6E-409C-BE32-E72D297353CC}">
              <c16:uniqueId val="{00000004-0100-4EC9-A09A-7CE5558743A3}"/>
            </c:ext>
          </c:extLst>
        </c:ser>
        <c:ser>
          <c:idx val="5"/>
          <c:order val="5"/>
          <c:tx>
            <c:strRef>
              <c:f>'Vehicle Qty &amp; heat graph'!$B$88</c:f>
              <c:strCache>
                <c:ptCount val="1"/>
                <c:pt idx="0">
                  <c:v>350kW Vehicle  (525kW)</c:v>
                </c:pt>
              </c:strCache>
            </c:strRef>
          </c:tx>
          <c:spPr>
            <a:ln>
              <a:solidFill>
                <a:srgbClr val="00B0F0"/>
              </a:solidFill>
            </a:ln>
          </c:spPr>
          <c:marker>
            <c:symbol val="diamond"/>
            <c:size val="7"/>
            <c:spPr>
              <a:solidFill>
                <a:srgbClr val="00B0F0"/>
              </a:solidFill>
              <a:ln>
                <a:solidFill>
                  <a:srgbClr val="00B0F0"/>
                </a:solidFill>
              </a:ln>
            </c:spPr>
          </c:marker>
          <c:cat>
            <c:numRef>
              <c:f>'Vehicle Qty &amp; heat graph'!$C$81:$L$81</c:f>
              <c:numCache>
                <c:formatCode>General</c:formatCode>
                <c:ptCount val="10"/>
                <c:pt idx="0">
                  <c:v>50</c:v>
                </c:pt>
                <c:pt idx="1">
                  <c:v>100</c:v>
                </c:pt>
                <c:pt idx="2">
                  <c:v>150</c:v>
                </c:pt>
                <c:pt idx="3">
                  <c:v>200</c:v>
                </c:pt>
                <c:pt idx="4">
                  <c:v>250</c:v>
                </c:pt>
                <c:pt idx="5">
                  <c:v>300</c:v>
                </c:pt>
                <c:pt idx="6">
                  <c:v>350</c:v>
                </c:pt>
                <c:pt idx="7">
                  <c:v>400</c:v>
                </c:pt>
                <c:pt idx="8">
                  <c:v>450</c:v>
                </c:pt>
                <c:pt idx="9">
                  <c:v>500</c:v>
                </c:pt>
              </c:numCache>
            </c:numRef>
          </c:cat>
          <c:val>
            <c:numRef>
              <c:f>'Vehicle Qty &amp; heat graph'!$C$88:$L$88</c:f>
              <c:numCache>
                <c:formatCode>0.0</c:formatCode>
                <c:ptCount val="10"/>
                <c:pt idx="0">
                  <c:v>27.5</c:v>
                </c:pt>
                <c:pt idx="1">
                  <c:v>27.66</c:v>
                </c:pt>
                <c:pt idx="2">
                  <c:v>27.82</c:v>
                </c:pt>
                <c:pt idx="3">
                  <c:v>27.98</c:v>
                </c:pt>
                <c:pt idx="4">
                  <c:v>28.14</c:v>
                </c:pt>
                <c:pt idx="5">
                  <c:v>28.3</c:v>
                </c:pt>
                <c:pt idx="6">
                  <c:v>28.475000000000001</c:v>
                </c:pt>
                <c:pt idx="7">
                  <c:v>28.65</c:v>
                </c:pt>
                <c:pt idx="8">
                  <c:v>28.824999999999999</c:v>
                </c:pt>
                <c:pt idx="9">
                  <c:v>29</c:v>
                </c:pt>
              </c:numCache>
            </c:numRef>
          </c:val>
          <c:smooth val="0"/>
          <c:extLst>
            <c:ext xmlns:c16="http://schemas.microsoft.com/office/drawing/2014/chart" uri="{C3380CC4-5D6E-409C-BE32-E72D297353CC}">
              <c16:uniqueId val="{00000005-0100-4EC9-A09A-7CE5558743A3}"/>
            </c:ext>
          </c:extLst>
        </c:ser>
        <c:ser>
          <c:idx val="6"/>
          <c:order val="6"/>
          <c:tx>
            <c:strRef>
              <c:f>'Vehicle Qty &amp; heat graph'!$B$89</c:f>
              <c:strCache>
                <c:ptCount val="1"/>
                <c:pt idx="0">
                  <c:v>375kW Vehicle  (563kW)</c:v>
                </c:pt>
              </c:strCache>
            </c:strRef>
          </c:tx>
          <c:spPr>
            <a:ln>
              <a:solidFill>
                <a:srgbClr val="996633"/>
              </a:solidFill>
            </a:ln>
          </c:spPr>
          <c:marker>
            <c:symbol val="star"/>
            <c:size val="7"/>
            <c:spPr>
              <a:solidFill>
                <a:srgbClr val="996633"/>
              </a:solidFill>
              <a:ln>
                <a:solidFill>
                  <a:srgbClr val="996633"/>
                </a:solidFill>
              </a:ln>
            </c:spPr>
          </c:marker>
          <c:cat>
            <c:numRef>
              <c:f>'Vehicle Qty &amp; heat graph'!$C$81:$L$81</c:f>
              <c:numCache>
                <c:formatCode>General</c:formatCode>
                <c:ptCount val="10"/>
                <c:pt idx="0">
                  <c:v>50</c:v>
                </c:pt>
                <c:pt idx="1">
                  <c:v>100</c:v>
                </c:pt>
                <c:pt idx="2">
                  <c:v>150</c:v>
                </c:pt>
                <c:pt idx="3">
                  <c:v>200</c:v>
                </c:pt>
                <c:pt idx="4">
                  <c:v>250</c:v>
                </c:pt>
                <c:pt idx="5">
                  <c:v>300</c:v>
                </c:pt>
                <c:pt idx="6">
                  <c:v>350</c:v>
                </c:pt>
                <c:pt idx="7">
                  <c:v>400</c:v>
                </c:pt>
                <c:pt idx="8">
                  <c:v>450</c:v>
                </c:pt>
                <c:pt idx="9">
                  <c:v>500</c:v>
                </c:pt>
              </c:numCache>
            </c:numRef>
          </c:cat>
          <c:val>
            <c:numRef>
              <c:f>'Vehicle Qty &amp; heat graph'!$C$89:$L$89</c:f>
              <c:numCache>
                <c:formatCode>0.0</c:formatCode>
                <c:ptCount val="10"/>
                <c:pt idx="0">
                  <c:v>27.5</c:v>
                </c:pt>
                <c:pt idx="1">
                  <c:v>27.66</c:v>
                </c:pt>
                <c:pt idx="2">
                  <c:v>27.82</c:v>
                </c:pt>
                <c:pt idx="3">
                  <c:v>27.98</c:v>
                </c:pt>
                <c:pt idx="4">
                  <c:v>28.14</c:v>
                </c:pt>
                <c:pt idx="5">
                  <c:v>28.3</c:v>
                </c:pt>
                <c:pt idx="6">
                  <c:v>28.45</c:v>
                </c:pt>
                <c:pt idx="7">
                  <c:v>28.6</c:v>
                </c:pt>
                <c:pt idx="8">
                  <c:v>28.75</c:v>
                </c:pt>
                <c:pt idx="9">
                  <c:v>28.9</c:v>
                </c:pt>
              </c:numCache>
            </c:numRef>
          </c:val>
          <c:smooth val="0"/>
          <c:extLst>
            <c:ext xmlns:c16="http://schemas.microsoft.com/office/drawing/2014/chart" uri="{C3380CC4-5D6E-409C-BE32-E72D297353CC}">
              <c16:uniqueId val="{00000006-0100-4EC9-A09A-7CE5558743A3}"/>
            </c:ext>
          </c:extLst>
        </c:ser>
        <c:dLbls>
          <c:showLegendKey val="0"/>
          <c:showVal val="0"/>
          <c:showCatName val="0"/>
          <c:showSerName val="0"/>
          <c:showPercent val="0"/>
          <c:showBubbleSize val="0"/>
        </c:dLbls>
        <c:marker val="1"/>
        <c:smooth val="0"/>
        <c:axId val="138104192"/>
        <c:axId val="138114560"/>
      </c:lineChart>
      <c:catAx>
        <c:axId val="138104192"/>
        <c:scaling>
          <c:orientation val="minMax"/>
        </c:scaling>
        <c:delete val="0"/>
        <c:axPos val="b"/>
        <c:numFmt formatCode="General" sourceLinked="1"/>
        <c:majorTickMark val="out"/>
        <c:minorTickMark val="none"/>
        <c:tickLblPos val="nextTo"/>
        <c:txPr>
          <a:bodyPr/>
          <a:lstStyle/>
          <a:p>
            <a:pPr>
              <a:defRPr sz="1100"/>
            </a:pPr>
            <a:endParaRPr lang="en-US"/>
          </a:p>
        </c:txPr>
        <c:crossAx val="138114560"/>
        <c:crosses val="autoZero"/>
        <c:auto val="1"/>
        <c:lblAlgn val="ctr"/>
        <c:lblOffset val="100"/>
        <c:noMultiLvlLbl val="0"/>
      </c:catAx>
      <c:valAx>
        <c:axId val="138114560"/>
        <c:scaling>
          <c:orientation val="minMax"/>
          <c:max val="30"/>
          <c:min val="27"/>
        </c:scaling>
        <c:delete val="0"/>
        <c:axPos val="l"/>
        <c:majorGridlines/>
        <c:numFmt formatCode="0.0" sourceLinked="0"/>
        <c:majorTickMark val="out"/>
        <c:minorTickMark val="none"/>
        <c:tickLblPos val="nextTo"/>
        <c:txPr>
          <a:bodyPr/>
          <a:lstStyle/>
          <a:p>
            <a:pPr>
              <a:defRPr sz="1100"/>
            </a:pPr>
            <a:endParaRPr lang="en-US"/>
          </a:p>
        </c:txPr>
        <c:crossAx val="138104192"/>
        <c:crosses val="autoZero"/>
        <c:crossBetween val="between"/>
        <c:majorUnit val="0.5"/>
      </c:valAx>
      <c:spPr>
        <a:ln>
          <a:solidFill>
            <a:schemeClr val="tx1"/>
          </a:solidFill>
        </a:ln>
      </c:spPr>
    </c:plotArea>
    <c:legend>
      <c:legendPos val="b"/>
      <c:layout>
        <c:manualLayout>
          <c:xMode val="edge"/>
          <c:yMode val="edge"/>
          <c:x val="0.13493589743589743"/>
          <c:y val="0.87437922982119942"/>
          <c:w val="0.79743589743589749"/>
          <c:h val="9.6384766408549288E-2"/>
        </c:manualLayout>
      </c:layout>
      <c:overlay val="1"/>
      <c:txPr>
        <a:bodyPr/>
        <a:lstStyle/>
        <a:p>
          <a:pPr>
            <a:defRPr sz="1200"/>
          </a:pPr>
          <a:endParaRPr lang="en-US"/>
        </a:p>
      </c:txPr>
    </c:legend>
    <c:plotVisOnly val="1"/>
    <c:dispBlanksAs val="gap"/>
    <c:showDLblsOverMax val="0"/>
  </c:chart>
  <c:printSettings>
    <c:headerFooter/>
    <c:pageMargins b="0.75" l="0.7" r="0.7" t="0.75" header="0.3" footer="0.3"/>
    <c:pageSetup/>
  </c:printSettings>
  <c:userShapes r:id="rId1"/>
</c:chartSpace>
</file>

<file path=xl/ctrlProps/ctrlProp1.xml><?xml version="1.0" encoding="utf-8"?>
<formControlPr xmlns="http://schemas.microsoft.com/office/spreadsheetml/2009/9/main" objectType="Drop" dropLines="9" dropStyle="combo" dx="16" fmlaLink="$D$3" fmlaRange="$Z$4:$Z$12" noThreeD="1" sel="4" val="0"/>
</file>

<file path=xl/ctrlProps/ctrlProp2.xml><?xml version="1.0" encoding="utf-8"?>
<formControlPr xmlns="http://schemas.microsoft.com/office/spreadsheetml/2009/9/main" objectType="Drop" dropLines="11" dropStyle="combo" dx="16" fmlaLink="$D$7" fmlaRange="$AF$4:$AF$14" noThreeD="1" sel="3" val="0"/>
</file>

<file path=xl/ctrlProps/ctrlProp3.xml><?xml version="1.0" encoding="utf-8"?>
<formControlPr xmlns="http://schemas.microsoft.com/office/spreadsheetml/2009/9/main" objectType="Drop" dropStyle="combo" dx="16" fmlaLink="$D$11" fmlaRange="$AL$4:$AL$11" noThreeD="1" sel="5" val="0"/>
</file>

<file path=xl/ctrlProps/ctrlProp4.xml><?xml version="1.0" encoding="utf-8"?>
<formControlPr xmlns="http://schemas.microsoft.com/office/spreadsheetml/2009/9/main" objectType="Drop" dropLines="14" dropStyle="combo" dx="16" fmlaLink="$D$15" fmlaRange="$AR$4:$AR$17" noThreeD="1" sel="2" val="0"/>
</file>

<file path=xl/ctrlProps/ctrlProp5.xml><?xml version="1.0" encoding="utf-8"?>
<formControlPr xmlns="http://schemas.microsoft.com/office/spreadsheetml/2009/9/main" objectType="Drop" dropLines="13" dropStyle="combo" dx="16" fmlaLink="$D$19" fmlaRange="$AX$4:$AX$15" noThreeD="1" sel="5" val="0"/>
</file>

<file path=xl/ctrlProps/ctrlProp6.xml><?xml version="1.0" encoding="utf-8"?>
<formControlPr xmlns="http://schemas.microsoft.com/office/spreadsheetml/2009/9/main" objectType="Drop" dropLines="12" dropStyle="combo" dx="16" fmlaLink="$I$3" fmlaRange="$BD$4:$BD$15" noThreeD="1" sel="1" val="0"/>
</file>

<file path=xl/ctrlProps/ctrlProp7.xml><?xml version="1.0" encoding="utf-8"?>
<formControlPr xmlns="http://schemas.microsoft.com/office/spreadsheetml/2009/9/main" objectType="Drop" dropLines="10" dropStyle="combo" dx="16" fmlaLink="$I$7" fmlaRange="$BJ$4:$BJ$13" noThreeD="1" sel="2" val="0"/>
</file>

<file path=xl/ctrlProps/ctrlProp8.xml><?xml version="1.0" encoding="utf-8"?>
<formControlPr xmlns="http://schemas.microsoft.com/office/spreadsheetml/2009/9/main" objectType="Drop" dropLines="11" dropStyle="combo" dx="16" fmlaLink="$I$11" fmlaRange="$BP$4:$BP$14" noThreeD="1" sel="7" val="0"/>
</file>

<file path=xl/ctrlProps/ctrlProp9.xml><?xml version="1.0" encoding="utf-8"?>
<formControlPr xmlns="http://schemas.microsoft.com/office/spreadsheetml/2009/9/main" objectType="Drop" dropLines="11" dropStyle="combo" dx="16" fmlaLink="$I$19" fmlaRange="$BV$4:$BV$14" noThreeD="1" sel="7" val="0"/>
</file>

<file path=xl/ctrlProps/ctrlProp10.xml><?xml version="1.0" encoding="utf-8"?>
<formControlPr xmlns="http://schemas.microsoft.com/office/spreadsheetml/2009/9/main" objectType="Drop" dropLines="12" dropStyle="combo" dx="16" fmlaLink="$I$15" fmlaRange="$CB$4:$CB$15" noThreeD="1" sel="7" val="0"/>
</file>

<file path=xl/ctrlProps/ctrlProp11.xml><?xml version="1.0" encoding="utf-8"?>
<formControlPr xmlns="http://schemas.microsoft.com/office/spreadsheetml/2009/9/main" objectType="Drop" dropLines="12" dropStyle="combo" dx="16" fmlaLink="$I$15" fmlaRange="$CB$4:$CB$15" noThreeD="1" sel="7" val="0"/>
</file>

<file path=xl/ctrlProps/ctrlProp12.xml><?xml version="1.0" encoding="utf-8"?>
<formControlPr xmlns="http://schemas.microsoft.com/office/spreadsheetml/2009/9/main" objectType="Drop" dropLines="9" dropStyle="combo" dx="16" fmlaLink="$N$3" fmlaRange="$CH$4:$CH$12" noThreeD="1" sel="1" val="0"/>
</file>

<file path=xl/ctrlProps/ctrlProp13.xml><?xml version="1.0" encoding="utf-8"?>
<formControlPr xmlns="http://schemas.microsoft.com/office/spreadsheetml/2009/9/main" objectType="Drop" dropLines="5" dropStyle="combo" dx="16" fmlaLink="$S$7" fmlaRange="$DR$4:$DR$8" noThreeD="1" sel="1" val="0"/>
</file>

<file path=xl/ctrlProps/ctrlProp14.xml><?xml version="1.0" encoding="utf-8"?>
<formControlPr xmlns="http://schemas.microsoft.com/office/spreadsheetml/2009/9/main" objectType="Drop" dropLines="5" dropStyle="combo" dx="16" fmlaLink="$S$11" fmlaRange="$DX$4:$DX$8" noThreeD="1" sel="1" val="0"/>
</file>

<file path=xl/ctrlProps/ctrlProp15.xml><?xml version="1.0" encoding="utf-8"?>
<formControlPr xmlns="http://schemas.microsoft.com/office/spreadsheetml/2009/9/main" objectType="Drop" dropLines="9" dropStyle="combo" dx="16" fmlaLink="$D$4" fmlaRange="$Z$4:$Z$12" noThreeD="1" sel="8" val="0"/>
</file>

<file path=xl/ctrlProps/ctrlProp16.xml><?xml version="1.0" encoding="utf-8"?>
<formControlPr xmlns="http://schemas.microsoft.com/office/spreadsheetml/2009/9/main" objectType="Drop" dropLines="11" dropStyle="combo" dx="16" fmlaLink="$D$8" fmlaRange="$AF$4:$AF$14" noThreeD="1" sel="8" val="0"/>
</file>

<file path=xl/ctrlProps/ctrlProp17.xml><?xml version="1.0" encoding="utf-8"?>
<formControlPr xmlns="http://schemas.microsoft.com/office/spreadsheetml/2009/9/main" objectType="Drop" dropStyle="combo" dx="16" fmlaLink="$D$12" fmlaRange="$AL$4:$AL$11" noThreeD="1" sel="3" val="0"/>
</file>

<file path=xl/ctrlProps/ctrlProp18.xml><?xml version="1.0" encoding="utf-8"?>
<formControlPr xmlns="http://schemas.microsoft.com/office/spreadsheetml/2009/9/main" objectType="Drop" dropLines="14" dropStyle="combo" dx="16" fmlaLink="$D$16" fmlaRange="$AR$4:$AR$17" noThreeD="1" sel="8" val="0"/>
</file>

<file path=xl/ctrlProps/ctrlProp19.xml><?xml version="1.0" encoding="utf-8"?>
<formControlPr xmlns="http://schemas.microsoft.com/office/spreadsheetml/2009/9/main" objectType="Drop" dropLines="13" dropStyle="combo" dx="16" fmlaLink="$D$20" fmlaRange="$AX$4:$AX$15" noThreeD="1" sel="11" val="0"/>
</file>

<file path=xl/ctrlProps/ctrlProp20.xml><?xml version="1.0" encoding="utf-8"?>
<formControlPr xmlns="http://schemas.microsoft.com/office/spreadsheetml/2009/9/main" objectType="Drop" dropLines="13" dropStyle="combo" dx="16" fmlaLink="$I$4" fmlaRange="$BD$4:$BD$15" noThreeD="1" sel="3" val="0"/>
</file>

<file path=xl/ctrlProps/ctrlProp21.xml><?xml version="1.0" encoding="utf-8"?>
<formControlPr xmlns="http://schemas.microsoft.com/office/spreadsheetml/2009/9/main" objectType="Drop" dropLines="10" dropStyle="combo" dx="16" fmlaLink="$I$8" fmlaRange="$BJ$4:$BJ$13" noThreeD="1" sel="8" val="0"/>
</file>

<file path=xl/ctrlProps/ctrlProp22.xml><?xml version="1.0" encoding="utf-8"?>
<formControlPr xmlns="http://schemas.microsoft.com/office/spreadsheetml/2009/9/main" objectType="Drop" dropLines="11" dropStyle="combo" dx="16" fmlaLink="$I$12" fmlaRange="$BP$4:$BP$14" noThreeD="1" sel="10" val="0"/>
</file>

<file path=xl/ctrlProps/ctrlProp23.xml><?xml version="1.0" encoding="utf-8"?>
<formControlPr xmlns="http://schemas.microsoft.com/office/spreadsheetml/2009/9/main" objectType="Drop" dropLines="11" dropStyle="combo" dx="16" fmlaLink="$I$20" fmlaRange="$BV$4:$BV$14" noThreeD="1" sel="1" val="0"/>
</file>

<file path=xl/ctrlProps/ctrlProp24.xml><?xml version="1.0" encoding="utf-8"?>
<formControlPr xmlns="http://schemas.microsoft.com/office/spreadsheetml/2009/9/main" objectType="Drop" dropLines="12" dropStyle="combo" dx="16" fmlaLink="$I$16" fmlaRange="$CB$4:$CB$15" noThreeD="1" sel="12" val="0"/>
</file>

<file path=xl/ctrlProps/ctrlProp25.xml><?xml version="1.0" encoding="utf-8"?>
<formControlPr xmlns="http://schemas.microsoft.com/office/spreadsheetml/2009/9/main" objectType="Drop" dropLines="9" dropStyle="combo" dx="16" fmlaLink="$N$4" fmlaRange="$CH$4:$CH$12" noThreeD="1" sel="5" val="0"/>
</file>

<file path=xl/ctrlProps/ctrlProp26.xml><?xml version="1.0" encoding="utf-8"?>
<formControlPr xmlns="http://schemas.microsoft.com/office/spreadsheetml/2009/9/main" objectType="Drop" dropLines="7" dropStyle="combo" dx="16" fmlaLink="$N$8" fmlaRange="$CN$4:$CN$10" noThreeD="1" sel="5" val="0"/>
</file>

<file path=xl/ctrlProps/ctrlProp27.xml><?xml version="1.0" encoding="utf-8"?>
<formControlPr xmlns="http://schemas.microsoft.com/office/spreadsheetml/2009/9/main" objectType="Drop" dropLines="11" dropStyle="combo" dx="16" fmlaLink="$N$12" fmlaRange="$CT$4:$CT$14" noThreeD="1" sel="6" val="0"/>
</file>

<file path=xl/ctrlProps/ctrlProp28.xml><?xml version="1.0" encoding="utf-8"?>
<formControlPr xmlns="http://schemas.microsoft.com/office/spreadsheetml/2009/9/main" objectType="Drop" dropLines="5" dropStyle="combo" dx="16" fmlaLink="$N$16" fmlaRange="$CZ$4:$CZ$8" noThreeD="1" sel="5" val="0"/>
</file>

<file path=xl/ctrlProps/ctrlProp29.xml><?xml version="1.0" encoding="utf-8"?>
<formControlPr xmlns="http://schemas.microsoft.com/office/spreadsheetml/2009/9/main" objectType="Drop" dropLines="5" dropStyle="combo" dx="16" fmlaLink="$N$20" fmlaRange="$DF$4:$DF$8" noThreeD="1" sel="3" val="0"/>
</file>

<file path=xl/ctrlProps/ctrlProp30.xml><?xml version="1.0" encoding="utf-8"?>
<formControlPr xmlns="http://schemas.microsoft.com/office/spreadsheetml/2009/9/main" objectType="Drop" dropLines="5" dropStyle="combo" dx="16" fmlaLink="$S$8" fmlaRange="$DR$4:$DR$8" noThreeD="1" sel="5" val="0"/>
</file>

<file path=xl/ctrlProps/ctrlProp31.xml><?xml version="1.0" encoding="utf-8"?>
<formControlPr xmlns="http://schemas.microsoft.com/office/spreadsheetml/2009/9/main" objectType="Drop" dropLines="5" dropStyle="combo" dx="16" fmlaLink="$S$12" fmlaRange="$DX$4:$DX$8" noThreeD="1" sel="5" val="0"/>
</file>

<file path=xl/ctrlProps/ctrlProp32.xml><?xml version="1.0" encoding="utf-8"?>
<formControlPr xmlns="http://schemas.microsoft.com/office/spreadsheetml/2009/9/main" objectType="Drop" dropLines="7" dropStyle="combo" dx="16" fmlaLink="$N$7" fmlaRange="$CN$4:$CN$10" noThreeD="1" sel="1" val="0"/>
</file>

<file path=xl/ctrlProps/ctrlProp33.xml><?xml version="1.0" encoding="utf-8"?>
<formControlPr xmlns="http://schemas.microsoft.com/office/spreadsheetml/2009/9/main" objectType="Drop" dropLines="11" dropStyle="combo" dx="16" fmlaLink="$N$11" fmlaRange="$CT$4:$CT$14" noThreeD="1" sel="3" val="0"/>
</file>

<file path=xl/ctrlProps/ctrlProp34.xml><?xml version="1.0" encoding="utf-8"?>
<formControlPr xmlns="http://schemas.microsoft.com/office/spreadsheetml/2009/9/main" objectType="Drop" dropLines="5" dropStyle="combo" dx="16" fmlaLink="$N$15" fmlaRange="$CZ$4:$CZ$8" noThreeD="1" sel="1" val="0"/>
</file>

<file path=xl/ctrlProps/ctrlProp35.xml><?xml version="1.0" encoding="utf-8"?>
<formControlPr xmlns="http://schemas.microsoft.com/office/spreadsheetml/2009/9/main" objectType="Drop" dropLines="5" dropStyle="combo" dx="16" fmlaLink="$N$19" fmlaRange="$DF$4:$DF$8" noThreeD="1" sel="1" val="0"/>
</file>

<file path=xl/ctrlProps/ctrlProp36.xml><?xml version="1.0" encoding="utf-8"?>
<formControlPr xmlns="http://schemas.microsoft.com/office/spreadsheetml/2009/9/main" objectType="Drop" dropLines="5" dropStyle="combo" dx="16" fmlaLink="$S$4" fmlaRange="$DL$4:$DL$8" noThreeD="1" sel="5" val="0"/>
</file>

<file path=xl/ctrlProps/ctrlProp37.xml><?xml version="1.0" encoding="utf-8"?>
<formControlPr xmlns="http://schemas.microsoft.com/office/spreadsheetml/2009/9/main" objectType="Drop" dropLines="5" dropStyle="combo" dx="16" fmlaLink="$S$3" fmlaRange="$DL$4:$DL$8" noThreeD="1" sel="1" val="0"/>
</file>

<file path=xl/ctrlProps/ctrlProp38.xml><?xml version="1.0" encoding="utf-8"?>
<formControlPr xmlns="http://schemas.microsoft.com/office/spreadsheetml/2009/9/main" objectType="Scroll" dx="16" fmlaLink="$M$9" horiz="1" max="1000" page="10" val="0"/>
</file>

<file path=xl/ctrlProps/ctrlProp39.xml><?xml version="1.0" encoding="utf-8"?>
<formControlPr xmlns="http://schemas.microsoft.com/office/spreadsheetml/2009/9/main" objectType="Scroll" dx="16" fmlaLink="$M$10" horiz="1" max="1000" page="10" val="0"/>
</file>

<file path=xl/ctrlProps/ctrlProp40.xml><?xml version="1.0" encoding="utf-8"?>
<formControlPr xmlns="http://schemas.microsoft.com/office/spreadsheetml/2009/9/main" objectType="Scroll" dx="16" fmlaLink="$M$11" horiz="1" max="1000" page="10" val="0"/>
</file>

<file path=xl/ctrlProps/ctrlProp41.xml><?xml version="1.0" encoding="utf-8"?>
<formControlPr xmlns="http://schemas.microsoft.com/office/spreadsheetml/2009/9/main" objectType="Scroll" dx="16" fmlaLink="$M$12" horiz="1" max="1000" page="10" val="0"/>
</file>

<file path=xl/ctrlProps/ctrlProp42.xml><?xml version="1.0" encoding="utf-8"?>
<formControlPr xmlns="http://schemas.microsoft.com/office/spreadsheetml/2009/9/main" objectType="Scroll" dx="16" fmlaLink="$M$13" horiz="1" max="1000" page="10" val="0"/>
</file>

<file path=xl/ctrlProps/ctrlProp43.xml><?xml version="1.0" encoding="utf-8"?>
<formControlPr xmlns="http://schemas.microsoft.com/office/spreadsheetml/2009/9/main" objectType="Scroll" dx="16" fmlaLink="$M$14" horiz="1" max="1000" page="10" val="0"/>
</file>

<file path=xl/ctrlProps/ctrlProp44.xml><?xml version="1.0" encoding="utf-8"?>
<formControlPr xmlns="http://schemas.microsoft.com/office/spreadsheetml/2009/9/main" objectType="Scroll" dx="16" fmlaLink="$M$15" horiz="1" max="1000" page="10" val="0"/>
</file>

<file path=xl/ctrlProps/ctrlProp45.xml><?xml version="1.0" encoding="utf-8"?>
<formControlPr xmlns="http://schemas.microsoft.com/office/spreadsheetml/2009/9/main" objectType="Scroll" dx="16" fmlaLink="$M$16" horiz="1" max="1000" page="10" val="0"/>
</file>

<file path=xl/ctrlProps/ctrlProp46.xml><?xml version="1.0" encoding="utf-8"?>
<formControlPr xmlns="http://schemas.microsoft.com/office/spreadsheetml/2009/9/main" objectType="Scroll" dx="16" fmlaLink="$M$17" horiz="1" max="1000" page="10" val="0"/>
</file>

<file path=xl/ctrlProps/ctrlProp47.xml><?xml version="1.0" encoding="utf-8"?>
<formControlPr xmlns="http://schemas.microsoft.com/office/spreadsheetml/2009/9/main" objectType="Scroll" dx="16" fmlaLink="$M$18" horiz="1" max="1000" page="10" val="0"/>
</file>

<file path=xl/ctrlProps/ctrlProp48.xml><?xml version="1.0" encoding="utf-8"?>
<formControlPr xmlns="http://schemas.microsoft.com/office/spreadsheetml/2009/9/main" objectType="Scroll" dx="16" fmlaLink="$E$30" horiz="1" max="1000" page="10" val="0"/>
</file>

<file path=xl/ctrlProps/ctrlProp49.xml><?xml version="1.0" encoding="utf-8"?>
<formControlPr xmlns="http://schemas.microsoft.com/office/spreadsheetml/2009/9/main" objectType="Scroll" dx="16" fmlaLink="$E$31" horiz="1" max="1000" page="10" val="0"/>
</file>

<file path=xl/ctrlProps/ctrlProp50.xml><?xml version="1.0" encoding="utf-8"?>
<formControlPr xmlns="http://schemas.microsoft.com/office/spreadsheetml/2009/9/main" objectType="Scroll" dx="16" fmlaLink="$E$32" horiz="1" max="1000" page="10" val="0"/>
</file>

<file path=xl/ctrlProps/ctrlProp51.xml><?xml version="1.0" encoding="utf-8"?>
<formControlPr xmlns="http://schemas.microsoft.com/office/spreadsheetml/2009/9/main" objectType="Scroll" dx="16" fmlaLink="$E$33" horiz="1" max="1000" page="10" val="0"/>
</file>

<file path=xl/ctrlProps/ctrlProp52.xml><?xml version="1.0" encoding="utf-8"?>
<formControlPr xmlns="http://schemas.microsoft.com/office/spreadsheetml/2009/9/main" objectType="Scroll" dx="16" fmlaLink="$E$34" horiz="1" max="1000" page="10" val="0"/>
</file>

<file path=xl/ctrlProps/ctrlProp53.xml><?xml version="1.0" encoding="utf-8"?>
<formControlPr xmlns="http://schemas.microsoft.com/office/spreadsheetml/2009/9/main" objectType="Scroll" dx="16" fmlaLink="$E$35" horiz="1" max="1000" page="10" val="0"/>
</file>

<file path=xl/ctrlProps/ctrlProp54.xml><?xml version="1.0" encoding="utf-8"?>
<formControlPr xmlns="http://schemas.microsoft.com/office/spreadsheetml/2009/9/main" objectType="Scroll" dx="16" fmlaLink="$E$36" horiz="1" max="1000" page="10" val="0"/>
</file>

<file path=xl/ctrlProps/ctrlProp55.xml><?xml version="1.0" encoding="utf-8"?>
<formControlPr xmlns="http://schemas.microsoft.com/office/spreadsheetml/2009/9/main" objectType="Scroll" dx="16" fmlaLink="$E$37" horiz="1" max="1000" page="10" val="0"/>
</file>

<file path=xl/ctrlProps/ctrlProp56.xml><?xml version="1.0" encoding="utf-8"?>
<formControlPr xmlns="http://schemas.microsoft.com/office/spreadsheetml/2009/9/main" objectType="Scroll" dx="16" fmlaLink="$E$38" horiz="1" max="1000" page="10" val="0"/>
</file>

<file path=xl/ctrlProps/ctrlProp57.xml><?xml version="1.0" encoding="utf-8"?>
<formControlPr xmlns="http://schemas.microsoft.com/office/spreadsheetml/2009/9/main" objectType="Scroll" dx="16" fmlaLink="$E$39" horiz="1" max="1000" page="10" val="0"/>
</file>

<file path=xl/ctrlProps/ctrlProp58.xml><?xml version="1.0" encoding="utf-8"?>
<formControlPr xmlns="http://schemas.microsoft.com/office/spreadsheetml/2009/9/main" objectType="Scroll" dx="16" fmlaLink="$W$9" horiz="1" max="1000" page="10" val="0"/>
</file>

<file path=xl/ctrlProps/ctrlProp59.xml><?xml version="1.0" encoding="utf-8"?>
<formControlPr xmlns="http://schemas.microsoft.com/office/spreadsheetml/2009/9/main" objectType="Scroll" dx="16" fmlaLink="$W$10" horiz="1" max="1000" page="10" val="0"/>
</file>

<file path=xl/ctrlProps/ctrlProp60.xml><?xml version="1.0" encoding="utf-8"?>
<formControlPr xmlns="http://schemas.microsoft.com/office/spreadsheetml/2009/9/main" objectType="Scroll" dx="16" fmlaLink="$W$11" horiz="1" max="1000" page="10" val="0"/>
</file>

<file path=xl/ctrlProps/ctrlProp61.xml><?xml version="1.0" encoding="utf-8"?>
<formControlPr xmlns="http://schemas.microsoft.com/office/spreadsheetml/2009/9/main" objectType="Scroll" dx="16" fmlaLink="$W$12" horiz="1" max="1000" page="10" val="0"/>
</file>

<file path=xl/ctrlProps/ctrlProp62.xml><?xml version="1.0" encoding="utf-8"?>
<formControlPr xmlns="http://schemas.microsoft.com/office/spreadsheetml/2009/9/main" objectType="Scroll" dx="16" fmlaLink="$W$13" horiz="1" max="1000" page="10" val="0"/>
</file>

<file path=xl/ctrlProps/ctrlProp63.xml><?xml version="1.0" encoding="utf-8"?>
<formControlPr xmlns="http://schemas.microsoft.com/office/spreadsheetml/2009/9/main" objectType="Scroll" dx="16" fmlaLink="$W$35" horiz="1" max="1000" page="10" val="0"/>
</file>

<file path=xl/ctrlProps/ctrlProp64.xml><?xml version="1.0" encoding="utf-8"?>
<formControlPr xmlns="http://schemas.microsoft.com/office/spreadsheetml/2009/9/main" objectType="Scroll" dx="16" fmlaLink="$W$36" horiz="1" max="1000" page="10" val="0"/>
</file>

<file path=xl/ctrlProps/ctrlProp65.xml><?xml version="1.0" encoding="utf-8"?>
<formControlPr xmlns="http://schemas.microsoft.com/office/spreadsheetml/2009/9/main" objectType="Scroll" dx="16" fmlaLink="$W$37" horiz="1" max="1000" page="10" val="0"/>
</file>

<file path=xl/ctrlProps/ctrlProp66.xml><?xml version="1.0" encoding="utf-8"?>
<formControlPr xmlns="http://schemas.microsoft.com/office/spreadsheetml/2009/9/main" objectType="Scroll" dx="16" fmlaLink="$W$38" horiz="1" max="1000" page="10" val="0"/>
</file>

<file path=xl/ctrlProps/ctrlProp67.xml><?xml version="1.0" encoding="utf-8"?>
<formControlPr xmlns="http://schemas.microsoft.com/office/spreadsheetml/2009/9/main" objectType="Scroll" dx="16" fmlaLink="$W$39" horiz="1" max="1000" page="10" val="0"/>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jpe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1.png"/></Relationships>
</file>

<file path=xl/drawings/_rels/drawing18.xml.rels><?xml version="1.0" encoding="UTF-8" standalone="yes"?>
<Relationships xmlns="http://schemas.openxmlformats.org/package/2006/relationships"><Relationship Id="rId8" Type="http://schemas.openxmlformats.org/officeDocument/2006/relationships/image" Target="../media/image49.png"/><Relationship Id="rId3" Type="http://schemas.openxmlformats.org/officeDocument/2006/relationships/image" Target="../media/image44.png"/><Relationship Id="rId7" Type="http://schemas.openxmlformats.org/officeDocument/2006/relationships/image" Target="../media/image48.emf"/><Relationship Id="rId2" Type="http://schemas.openxmlformats.org/officeDocument/2006/relationships/image" Target="../media/image43.png"/><Relationship Id="rId1" Type="http://schemas.openxmlformats.org/officeDocument/2006/relationships/image" Target="../media/image42.emf"/><Relationship Id="rId6" Type="http://schemas.openxmlformats.org/officeDocument/2006/relationships/image" Target="../media/image47.png"/><Relationship Id="rId5" Type="http://schemas.openxmlformats.org/officeDocument/2006/relationships/image" Target="../media/image46.png"/><Relationship Id="rId4" Type="http://schemas.openxmlformats.org/officeDocument/2006/relationships/image" Target="../media/image45.png"/></Relationships>
</file>

<file path=xl/drawings/_rels/drawing22.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image" Target="../media/image50.jpeg"/><Relationship Id="rId1" Type="http://schemas.openxmlformats.org/officeDocument/2006/relationships/hyperlink" Target="http://www.videxmining.co.za/" TargetMode="External"/><Relationship Id="rId5" Type="http://schemas.openxmlformats.org/officeDocument/2006/relationships/image" Target="../media/image51.png"/><Relationship Id="rId4" Type="http://schemas.openxmlformats.org/officeDocument/2006/relationships/hyperlink" Target="http://www.axialflowfans.co.za/" TargetMode="External"/></Relationships>
</file>

<file path=xl/drawings/_rels/drawing23.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image" Target="../media/image52.png"/><Relationship Id="rId1" Type="http://schemas.openxmlformats.org/officeDocument/2006/relationships/chart" Target="../charts/chart18.xml"/><Relationship Id="rId5" Type="http://schemas.openxmlformats.org/officeDocument/2006/relationships/chart" Target="../charts/chart21.xml"/><Relationship Id="rId4" Type="http://schemas.openxmlformats.org/officeDocument/2006/relationships/chart" Target="../charts/chart20.xml"/></Relationships>
</file>

<file path=xl/drawings/_rels/drawing29.xml.rels><?xml version="1.0" encoding="UTF-8" standalone="yes"?>
<Relationships xmlns="http://schemas.openxmlformats.org/package/2006/relationships"><Relationship Id="rId8" Type="http://schemas.openxmlformats.org/officeDocument/2006/relationships/image" Target="../media/image58.jpeg"/><Relationship Id="rId3" Type="http://schemas.openxmlformats.org/officeDocument/2006/relationships/image" Target="../media/image53.jpeg"/><Relationship Id="rId7" Type="http://schemas.openxmlformats.org/officeDocument/2006/relationships/image" Target="../media/image57.jpeg"/><Relationship Id="rId2" Type="http://schemas.openxmlformats.org/officeDocument/2006/relationships/image" Target="../media/image50.jpeg"/><Relationship Id="rId1" Type="http://schemas.openxmlformats.org/officeDocument/2006/relationships/hyperlink" Target="http://www.videxmining.co.za/" TargetMode="External"/><Relationship Id="rId6" Type="http://schemas.openxmlformats.org/officeDocument/2006/relationships/image" Target="../media/image56.jpeg"/><Relationship Id="rId5" Type="http://schemas.openxmlformats.org/officeDocument/2006/relationships/image" Target="../media/image55.jpeg"/><Relationship Id="rId4" Type="http://schemas.openxmlformats.org/officeDocument/2006/relationships/image" Target="../media/image54.jpeg"/><Relationship Id="rId9" Type="http://schemas.openxmlformats.org/officeDocument/2006/relationships/image" Target="../media/image59.jpeg"/></Relationships>
</file>

<file path=xl/drawings/_rels/vmlDrawing5.vml.rels><?xml version="1.0" encoding="UTF-8" standalone="yes"?>
<Relationships xmlns="http://schemas.openxmlformats.org/package/2006/relationships"><Relationship Id="rId3" Type="http://schemas.openxmlformats.org/officeDocument/2006/relationships/image" Target="../media/image4.wmf"/><Relationship Id="rId2" Type="http://schemas.openxmlformats.org/officeDocument/2006/relationships/image" Target="../media/image3.wmf"/><Relationship Id="rId1" Type="http://schemas.openxmlformats.org/officeDocument/2006/relationships/image" Target="../media/image2.wmf"/><Relationship Id="rId4" Type="http://schemas.openxmlformats.org/officeDocument/2006/relationships/image" Target="../media/image5.w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14.wmf"/><Relationship Id="rId2" Type="http://schemas.openxmlformats.org/officeDocument/2006/relationships/image" Target="../media/image13.wmf"/><Relationship Id="rId1" Type="http://schemas.openxmlformats.org/officeDocument/2006/relationships/image" Target="../media/image12.wmf"/><Relationship Id="rId4" Type="http://schemas.openxmlformats.org/officeDocument/2006/relationships/image" Target="../media/image15.w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24.wmf"/><Relationship Id="rId2" Type="http://schemas.openxmlformats.org/officeDocument/2006/relationships/image" Target="../media/image23.wmf"/><Relationship Id="rId1" Type="http://schemas.openxmlformats.org/officeDocument/2006/relationships/image" Target="../media/image13.wmf"/></Relationships>
</file>

<file path=xl/drawings/_rels/vmlDrawing10.vml.rels><?xml version="1.0" encoding="UTF-8" standalone="yes"?>
<Relationships xmlns="http://schemas.openxmlformats.org/package/2006/relationships"><Relationship Id="rId8" Type="http://schemas.openxmlformats.org/officeDocument/2006/relationships/image" Target="../media/image30.wmf"/><Relationship Id="rId13" Type="http://schemas.openxmlformats.org/officeDocument/2006/relationships/image" Target="../media/image35.emf"/><Relationship Id="rId3" Type="http://schemas.openxmlformats.org/officeDocument/2006/relationships/image" Target="../media/image27.emf"/><Relationship Id="rId7" Type="http://schemas.openxmlformats.org/officeDocument/2006/relationships/image" Target="../media/image29.wmf"/><Relationship Id="rId12" Type="http://schemas.openxmlformats.org/officeDocument/2006/relationships/image" Target="../media/image34.wmf"/><Relationship Id="rId2" Type="http://schemas.openxmlformats.org/officeDocument/2006/relationships/image" Target="../media/image26.emf"/><Relationship Id="rId1" Type="http://schemas.openxmlformats.org/officeDocument/2006/relationships/image" Target="../media/image25.wmf"/><Relationship Id="rId6" Type="http://schemas.openxmlformats.org/officeDocument/2006/relationships/image" Target="../media/image28.wmf"/><Relationship Id="rId11" Type="http://schemas.openxmlformats.org/officeDocument/2006/relationships/image" Target="../media/image33.emf"/><Relationship Id="rId5" Type="http://schemas.openxmlformats.org/officeDocument/2006/relationships/image" Target="../media/image24.wmf"/><Relationship Id="rId10" Type="http://schemas.openxmlformats.org/officeDocument/2006/relationships/image" Target="../media/image32.wmf"/><Relationship Id="rId4" Type="http://schemas.openxmlformats.org/officeDocument/2006/relationships/image" Target="../media/image23.wmf"/><Relationship Id="rId9" Type="http://schemas.openxmlformats.org/officeDocument/2006/relationships/image" Target="../media/image31.w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36.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37.emf"/></Relationships>
</file>

<file path=xl/drawings/_rels/vmlDrawing14.vml.rels><?xml version="1.0" encoding="UTF-8" standalone="yes"?>
<Relationships xmlns="http://schemas.openxmlformats.org/package/2006/relationships"><Relationship Id="rId3" Type="http://schemas.openxmlformats.org/officeDocument/2006/relationships/image" Target="../media/image40.wmf"/><Relationship Id="rId2" Type="http://schemas.openxmlformats.org/officeDocument/2006/relationships/image" Target="../media/image39.wmf"/><Relationship Id="rId1" Type="http://schemas.openxmlformats.org/officeDocument/2006/relationships/image" Target="../media/image38.w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39.wmf"/></Relationships>
</file>

<file path=xl/drawings/drawing1.xml><?xml version="1.0" encoding="utf-8"?>
<xdr:wsDr xmlns:xdr="http://schemas.openxmlformats.org/drawingml/2006/spreadsheetDrawing" xmlns:a="http://schemas.openxmlformats.org/drawingml/2006/main">
  <xdr:twoCellAnchor>
    <xdr:from>
      <xdr:col>11</xdr:col>
      <xdr:colOff>21291</xdr:colOff>
      <xdr:row>7</xdr:row>
      <xdr:rowOff>268381</xdr:rowOff>
    </xdr:from>
    <xdr:to>
      <xdr:col>12</xdr:col>
      <xdr:colOff>242047</xdr:colOff>
      <xdr:row>7</xdr:row>
      <xdr:rowOff>268381</xdr:rowOff>
    </xdr:to>
    <xdr:sp macro="" textlink="">
      <xdr:nvSpPr>
        <xdr:cNvPr id="2" name="Line 1"/>
        <xdr:cNvSpPr>
          <a:spLocks noChangeShapeType="1"/>
        </xdr:cNvSpPr>
      </xdr:nvSpPr>
      <xdr:spPr bwMode="auto">
        <a:xfrm flipH="1">
          <a:off x="2701738" y="447675"/>
          <a:ext cx="498662"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2537963</xdr:colOff>
      <xdr:row>3</xdr:row>
      <xdr:rowOff>73602</xdr:rowOff>
    </xdr:from>
    <xdr:to>
      <xdr:col>5</xdr:col>
      <xdr:colOff>3326827</xdr:colOff>
      <xdr:row>6</xdr:row>
      <xdr:rowOff>114300</xdr:rowOff>
    </xdr:to>
    <xdr:grpSp>
      <xdr:nvGrpSpPr>
        <xdr:cNvPr id="25" name="Group 24"/>
        <xdr:cNvGrpSpPr/>
      </xdr:nvGrpSpPr>
      <xdr:grpSpPr>
        <a:xfrm>
          <a:off x="6866123" y="820362"/>
          <a:ext cx="788864" cy="612198"/>
          <a:chOff x="6746822" y="680821"/>
          <a:chExt cx="788864" cy="636010"/>
        </a:xfrm>
      </xdr:grpSpPr>
      <xdr:sp macro="" textlink="">
        <xdr:nvSpPr>
          <xdr:cNvPr id="2" name="Rectangle 10"/>
          <xdr:cNvSpPr>
            <a:spLocks noChangeArrowheads="1"/>
          </xdr:cNvSpPr>
        </xdr:nvSpPr>
        <xdr:spPr bwMode="auto">
          <a:xfrm>
            <a:off x="7190184" y="683419"/>
            <a:ext cx="342900" cy="257175"/>
          </a:xfrm>
          <a:prstGeom prst="rect">
            <a:avLst/>
          </a:prstGeom>
          <a:solidFill>
            <a:srgbClr val="FF0000">
              <a:alpha val="76000"/>
            </a:srgbClr>
          </a:solidFill>
          <a:ln w="9525">
            <a:solidFill>
              <a:srgbClr val="000000"/>
            </a:solidFill>
            <a:miter lim="800000"/>
            <a:headEnd/>
            <a:tailEnd/>
          </a:ln>
        </xdr:spPr>
      </xdr:sp>
      <xdr:cxnSp macro="">
        <xdr:nvCxnSpPr>
          <xdr:cNvPr id="7" name="Straight Connector 6"/>
          <xdr:cNvCxnSpPr/>
        </xdr:nvCxnSpPr>
        <xdr:spPr>
          <a:xfrm flipV="1">
            <a:off x="6750302" y="680821"/>
            <a:ext cx="441614" cy="37775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 name="Straight Connector 7"/>
          <xdr:cNvCxnSpPr/>
        </xdr:nvCxnSpPr>
        <xdr:spPr>
          <a:xfrm flipV="1">
            <a:off x="6746822" y="937141"/>
            <a:ext cx="441614" cy="37450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Rectangle 10"/>
          <xdr:cNvSpPr>
            <a:spLocks noChangeArrowheads="1"/>
          </xdr:cNvSpPr>
        </xdr:nvSpPr>
        <xdr:spPr bwMode="auto">
          <a:xfrm>
            <a:off x="6752034" y="1062038"/>
            <a:ext cx="342900" cy="254793"/>
          </a:xfrm>
          <a:prstGeom prst="rect">
            <a:avLst/>
          </a:prstGeom>
          <a:solidFill>
            <a:srgbClr val="FF0000">
              <a:alpha val="76000"/>
            </a:srgbClr>
          </a:solidFill>
          <a:ln w="9525">
            <a:solidFill>
              <a:srgbClr val="000000"/>
            </a:solidFill>
            <a:miter lim="800000"/>
            <a:headEnd/>
            <a:tailEnd/>
          </a:ln>
        </xdr:spPr>
      </xdr:sp>
      <xdr:cxnSp macro="">
        <xdr:nvCxnSpPr>
          <xdr:cNvPr id="9" name="Straight Connector 8"/>
          <xdr:cNvCxnSpPr/>
        </xdr:nvCxnSpPr>
        <xdr:spPr>
          <a:xfrm flipV="1">
            <a:off x="7093222" y="686001"/>
            <a:ext cx="441614" cy="37775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xdr:cNvCxnSpPr/>
        </xdr:nvCxnSpPr>
        <xdr:spPr>
          <a:xfrm flipV="1">
            <a:off x="7094072" y="937991"/>
            <a:ext cx="441614" cy="37450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2724614</xdr:colOff>
      <xdr:row>15</xdr:row>
      <xdr:rowOff>8363</xdr:rowOff>
    </xdr:from>
    <xdr:to>
      <xdr:col>5</xdr:col>
      <xdr:colOff>2982021</xdr:colOff>
      <xdr:row>19</xdr:row>
      <xdr:rowOff>42979</xdr:rowOff>
    </xdr:to>
    <xdr:grpSp>
      <xdr:nvGrpSpPr>
        <xdr:cNvPr id="24" name="Group 23"/>
        <xdr:cNvGrpSpPr/>
      </xdr:nvGrpSpPr>
      <xdr:grpSpPr>
        <a:xfrm>
          <a:off x="7052774" y="2987783"/>
          <a:ext cx="257407" cy="781376"/>
          <a:chOff x="6933473" y="2877769"/>
          <a:chExt cx="257407" cy="808523"/>
        </a:xfrm>
      </xdr:grpSpPr>
      <xdr:sp macro="" textlink="">
        <xdr:nvSpPr>
          <xdr:cNvPr id="3" name="Oval 9"/>
          <xdr:cNvSpPr>
            <a:spLocks noChangeArrowheads="1"/>
          </xdr:cNvSpPr>
        </xdr:nvSpPr>
        <xdr:spPr bwMode="auto">
          <a:xfrm>
            <a:off x="6933473" y="3520475"/>
            <a:ext cx="253690" cy="165817"/>
          </a:xfrm>
          <a:prstGeom prst="ellipse">
            <a:avLst/>
          </a:prstGeom>
          <a:solidFill>
            <a:srgbClr val="FF0000">
              <a:alpha val="76000"/>
            </a:srgbClr>
          </a:solidFill>
          <a:ln w="9525">
            <a:solidFill>
              <a:srgbClr val="000000"/>
            </a:solidFill>
            <a:round/>
            <a:headEnd/>
            <a:tailEnd/>
          </a:ln>
        </xdr:spPr>
      </xdr:sp>
      <xdr:cxnSp macro="">
        <xdr:nvCxnSpPr>
          <xdr:cNvPr id="11" name="Straight Connector 10"/>
          <xdr:cNvCxnSpPr/>
        </xdr:nvCxnSpPr>
        <xdr:spPr>
          <a:xfrm flipV="1">
            <a:off x="6936261" y="2957687"/>
            <a:ext cx="1" cy="63713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5" name="Oval 9"/>
          <xdr:cNvSpPr>
            <a:spLocks noChangeArrowheads="1"/>
          </xdr:cNvSpPr>
        </xdr:nvSpPr>
        <xdr:spPr bwMode="auto">
          <a:xfrm>
            <a:off x="6937190" y="2877769"/>
            <a:ext cx="253690" cy="168430"/>
          </a:xfrm>
          <a:prstGeom prst="ellipse">
            <a:avLst/>
          </a:prstGeom>
          <a:solidFill>
            <a:srgbClr val="FF0000">
              <a:alpha val="76000"/>
            </a:srgbClr>
          </a:solidFill>
          <a:ln w="9525">
            <a:solidFill>
              <a:srgbClr val="000000"/>
            </a:solidFill>
            <a:round/>
            <a:headEnd/>
            <a:tailEnd/>
          </a:ln>
        </xdr:spPr>
      </xdr:sp>
      <xdr:cxnSp macro="">
        <xdr:nvCxnSpPr>
          <xdr:cNvPr id="16" name="Straight Connector 15"/>
          <xdr:cNvCxnSpPr/>
        </xdr:nvCxnSpPr>
        <xdr:spPr>
          <a:xfrm flipV="1">
            <a:off x="7188565" y="2966051"/>
            <a:ext cx="1" cy="63713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2271262</xdr:colOff>
      <xdr:row>28</xdr:row>
      <xdr:rowOff>92652</xdr:rowOff>
    </xdr:from>
    <xdr:to>
      <xdr:col>6</xdr:col>
      <xdr:colOff>554408</xdr:colOff>
      <xdr:row>32</xdr:row>
      <xdr:rowOff>4302</xdr:rowOff>
    </xdr:to>
    <xdr:grpSp>
      <xdr:nvGrpSpPr>
        <xdr:cNvPr id="39" name="Group 38"/>
        <xdr:cNvGrpSpPr/>
      </xdr:nvGrpSpPr>
      <xdr:grpSpPr>
        <a:xfrm>
          <a:off x="6599422" y="5495232"/>
          <a:ext cx="2222686" cy="612690"/>
          <a:chOff x="6480121" y="5438558"/>
          <a:chExt cx="2111006" cy="626025"/>
        </a:xfrm>
      </xdr:grpSpPr>
      <xdr:cxnSp macro="">
        <xdr:nvCxnSpPr>
          <xdr:cNvPr id="19" name="Straight Connector 18"/>
          <xdr:cNvCxnSpPr/>
        </xdr:nvCxnSpPr>
        <xdr:spPr>
          <a:xfrm>
            <a:off x="7701142" y="5442989"/>
            <a:ext cx="889985" cy="87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3" name="Straight Connector 22"/>
          <xdr:cNvCxnSpPr/>
        </xdr:nvCxnSpPr>
        <xdr:spPr>
          <a:xfrm>
            <a:off x="7025020" y="5819803"/>
            <a:ext cx="889985" cy="87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27" name="Rectangle 10"/>
          <xdr:cNvSpPr>
            <a:spLocks noChangeArrowheads="1"/>
          </xdr:cNvSpPr>
        </xdr:nvSpPr>
        <xdr:spPr bwMode="auto">
          <a:xfrm>
            <a:off x="7173625" y="5441175"/>
            <a:ext cx="809515" cy="256720"/>
          </a:xfrm>
          <a:prstGeom prst="rect">
            <a:avLst/>
          </a:prstGeom>
          <a:solidFill>
            <a:srgbClr val="FF0000">
              <a:alpha val="76000"/>
            </a:srgbClr>
          </a:solidFill>
          <a:ln w="9525">
            <a:solidFill>
              <a:srgbClr val="000000"/>
            </a:solidFill>
            <a:miter lim="800000"/>
            <a:headEnd/>
            <a:tailEnd/>
          </a:ln>
        </xdr:spPr>
      </xdr:sp>
      <xdr:cxnSp macro="">
        <xdr:nvCxnSpPr>
          <xdr:cNvPr id="28" name="Straight Connector 27"/>
          <xdr:cNvCxnSpPr/>
        </xdr:nvCxnSpPr>
        <xdr:spPr>
          <a:xfrm flipV="1">
            <a:off x="6485564" y="5438558"/>
            <a:ext cx="690770" cy="37582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9" name="Straight Connector 28"/>
          <xdr:cNvCxnSpPr/>
        </xdr:nvCxnSpPr>
        <xdr:spPr>
          <a:xfrm flipV="1">
            <a:off x="6480121" y="5694417"/>
            <a:ext cx="690770" cy="37016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0" name="Rectangle 10"/>
          <xdr:cNvSpPr>
            <a:spLocks noChangeArrowheads="1"/>
          </xdr:cNvSpPr>
        </xdr:nvSpPr>
        <xdr:spPr bwMode="auto">
          <a:xfrm>
            <a:off x="6488274" y="5811914"/>
            <a:ext cx="804304" cy="251938"/>
          </a:xfrm>
          <a:prstGeom prst="rect">
            <a:avLst/>
          </a:prstGeom>
          <a:solidFill>
            <a:srgbClr val="FF0000">
              <a:alpha val="76000"/>
            </a:srgbClr>
          </a:solidFill>
          <a:ln w="9525">
            <a:solidFill>
              <a:srgbClr val="000000"/>
            </a:solidFill>
            <a:miter lim="800000"/>
            <a:headEnd/>
            <a:tailEnd/>
          </a:ln>
        </xdr:spPr>
      </xdr:sp>
      <xdr:cxnSp macro="">
        <xdr:nvCxnSpPr>
          <xdr:cNvPr id="34" name="Straight Connector 33"/>
          <xdr:cNvCxnSpPr/>
        </xdr:nvCxnSpPr>
        <xdr:spPr>
          <a:xfrm>
            <a:off x="7698761" y="5696593"/>
            <a:ext cx="889985" cy="87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5" name="Straight Connector 34"/>
          <xdr:cNvCxnSpPr/>
        </xdr:nvCxnSpPr>
        <xdr:spPr>
          <a:xfrm flipV="1">
            <a:off x="7293999" y="5440939"/>
            <a:ext cx="690770" cy="375820"/>
          </a:xfrm>
          <a:prstGeom prst="line">
            <a:avLst/>
          </a:prstGeom>
          <a:ln>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36" name="Straight Connector 35"/>
          <xdr:cNvCxnSpPr/>
        </xdr:nvCxnSpPr>
        <xdr:spPr>
          <a:xfrm flipV="1">
            <a:off x="7291617" y="5682636"/>
            <a:ext cx="690770" cy="375820"/>
          </a:xfrm>
          <a:prstGeom prst="line">
            <a:avLst/>
          </a:prstGeom>
          <a:ln>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xdr:cNvCxnSpPr/>
        </xdr:nvCxnSpPr>
        <xdr:spPr>
          <a:xfrm>
            <a:off x="7026381" y="6063385"/>
            <a:ext cx="889985" cy="87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2952812</xdr:colOff>
      <xdr:row>4</xdr:row>
      <xdr:rowOff>109851</xdr:rowOff>
    </xdr:from>
    <xdr:to>
      <xdr:col>5</xdr:col>
      <xdr:colOff>3376925</xdr:colOff>
      <xdr:row>6</xdr:row>
      <xdr:rowOff>111856</xdr:rowOff>
    </xdr:to>
    <xdr:cxnSp macro="">
      <xdr:nvCxnSpPr>
        <xdr:cNvPr id="6" name="Straight Arrow Connector 5"/>
        <xdr:cNvCxnSpPr/>
      </xdr:nvCxnSpPr>
      <xdr:spPr>
        <a:xfrm flipV="1">
          <a:off x="7172387" y="957576"/>
          <a:ext cx="424113" cy="36395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3028950</xdr:colOff>
      <xdr:row>15</xdr:row>
      <xdr:rowOff>85725</xdr:rowOff>
    </xdr:from>
    <xdr:to>
      <xdr:col>5</xdr:col>
      <xdr:colOff>3028950</xdr:colOff>
      <xdr:row>18</xdr:row>
      <xdr:rowOff>133351</xdr:rowOff>
    </xdr:to>
    <xdr:cxnSp macro="">
      <xdr:nvCxnSpPr>
        <xdr:cNvPr id="31" name="Straight Arrow Connector 30"/>
        <xdr:cNvCxnSpPr/>
      </xdr:nvCxnSpPr>
      <xdr:spPr>
        <a:xfrm flipV="1">
          <a:off x="7248525" y="2971800"/>
          <a:ext cx="0" cy="64770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2967790</xdr:colOff>
      <xdr:row>28</xdr:row>
      <xdr:rowOff>47625</xdr:rowOff>
    </xdr:from>
    <xdr:to>
      <xdr:col>5</xdr:col>
      <xdr:colOff>3764882</xdr:colOff>
      <xdr:row>28</xdr:row>
      <xdr:rowOff>47625</xdr:rowOff>
    </xdr:to>
    <xdr:cxnSp macro="">
      <xdr:nvCxnSpPr>
        <xdr:cNvPr id="32" name="Straight Arrow Connector 31"/>
        <xdr:cNvCxnSpPr/>
      </xdr:nvCxnSpPr>
      <xdr:spPr>
        <a:xfrm flipH="1">
          <a:off x="7187365" y="5419725"/>
          <a:ext cx="797092"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17823</xdr:colOff>
      <xdr:row>1</xdr:row>
      <xdr:rowOff>55075</xdr:rowOff>
    </xdr:from>
    <xdr:to>
      <xdr:col>20</xdr:col>
      <xdr:colOff>522009</xdr:colOff>
      <xdr:row>28</xdr:row>
      <xdr:rowOff>92535</xdr:rowOff>
    </xdr:to>
    <xdr:pic>
      <xdr:nvPicPr>
        <xdr:cNvPr id="2" name="Picture 1"/>
        <xdr:cNvPicPr>
          <a:picLocks noChangeAspect="1" noChangeArrowheads="1"/>
        </xdr:cNvPicPr>
      </xdr:nvPicPr>
      <xdr:blipFill rotWithShape="1">
        <a:blip xmlns:r="http://schemas.openxmlformats.org/officeDocument/2006/relationships" r:embed="rId1">
          <a:lum bright="-60000" contrast="74000"/>
          <a:extLst>
            <a:ext uri="{28A0092B-C50C-407E-A947-70E740481C1C}">
              <a14:useLocalDpi xmlns:a14="http://schemas.microsoft.com/office/drawing/2010/main" val="0"/>
            </a:ext>
          </a:extLst>
        </a:blip>
        <a:srcRect l="4260" t="5864" r="4708" b="11523"/>
        <a:stretch/>
      </xdr:blipFill>
      <xdr:spPr bwMode="auto">
        <a:xfrm rot="-129178">
          <a:off x="6859258" y="220727"/>
          <a:ext cx="4813403" cy="47942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352425</xdr:colOff>
      <xdr:row>10</xdr:row>
      <xdr:rowOff>57149</xdr:rowOff>
    </xdr:from>
    <xdr:to>
      <xdr:col>9</xdr:col>
      <xdr:colOff>571500</xdr:colOff>
      <xdr:row>10</xdr:row>
      <xdr:rowOff>57978</xdr:rowOff>
    </xdr:to>
    <xdr:sp macro="" textlink="">
      <xdr:nvSpPr>
        <xdr:cNvPr id="3" name="Line 2"/>
        <xdr:cNvSpPr>
          <a:spLocks noChangeShapeType="1"/>
        </xdr:cNvSpPr>
      </xdr:nvSpPr>
      <xdr:spPr bwMode="auto">
        <a:xfrm>
          <a:off x="4932708" y="1970432"/>
          <a:ext cx="724314" cy="82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352425</xdr:colOff>
      <xdr:row>9</xdr:row>
      <xdr:rowOff>28575</xdr:rowOff>
    </xdr:from>
    <xdr:to>
      <xdr:col>8</xdr:col>
      <xdr:colOff>352425</xdr:colOff>
      <xdr:row>10</xdr:row>
      <xdr:rowOff>57150</xdr:rowOff>
    </xdr:to>
    <xdr:sp macro="" textlink="">
      <xdr:nvSpPr>
        <xdr:cNvPr id="4" name="Line 3"/>
        <xdr:cNvSpPr>
          <a:spLocks noChangeShapeType="1"/>
        </xdr:cNvSpPr>
      </xdr:nvSpPr>
      <xdr:spPr bwMode="auto">
        <a:xfrm flipV="1">
          <a:off x="5200650" y="1743075"/>
          <a:ext cx="0" cy="190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47625</xdr:colOff>
          <xdr:row>18</xdr:row>
          <xdr:rowOff>38100</xdr:rowOff>
        </xdr:from>
        <xdr:to>
          <xdr:col>5</xdr:col>
          <xdr:colOff>552450</xdr:colOff>
          <xdr:row>19</xdr:row>
          <xdr:rowOff>123825</xdr:rowOff>
        </xdr:to>
        <xdr:sp macro="" textlink="">
          <xdr:nvSpPr>
            <xdr:cNvPr id="8193" name="Object 1" hidden="1">
              <a:extLst>
                <a:ext uri="{63B3BB69-23CF-44E3-9099-C40C66FF867C}">
                  <a14:compatExt spid="_x0000_s8193"/>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28</xdr:row>
          <xdr:rowOff>0</xdr:rowOff>
        </xdr:from>
        <xdr:to>
          <xdr:col>6</xdr:col>
          <xdr:colOff>19050</xdr:colOff>
          <xdr:row>30</xdr:row>
          <xdr:rowOff>0</xdr:rowOff>
        </xdr:to>
        <xdr:sp macro="" textlink="">
          <xdr:nvSpPr>
            <xdr:cNvPr id="8194" name="Object 2" hidden="1">
              <a:extLst>
                <a:ext uri="{63B3BB69-23CF-44E3-9099-C40C66FF867C}">
                  <a14:compatExt spid="_x0000_s8194"/>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39</xdr:row>
          <xdr:rowOff>123825</xdr:rowOff>
        </xdr:from>
        <xdr:to>
          <xdr:col>2</xdr:col>
          <xdr:colOff>666750</xdr:colOff>
          <xdr:row>41</xdr:row>
          <xdr:rowOff>142875</xdr:rowOff>
        </xdr:to>
        <xdr:sp macro="" textlink="">
          <xdr:nvSpPr>
            <xdr:cNvPr id="8195" name="Object 3" hidden="1">
              <a:extLst>
                <a:ext uri="{63B3BB69-23CF-44E3-9099-C40C66FF867C}">
                  <a14:compatExt spid="_x0000_s819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65</xdr:row>
          <xdr:rowOff>0</xdr:rowOff>
        </xdr:from>
        <xdr:to>
          <xdr:col>6</xdr:col>
          <xdr:colOff>19050</xdr:colOff>
          <xdr:row>67</xdr:row>
          <xdr:rowOff>0</xdr:rowOff>
        </xdr:to>
        <xdr:sp macro="" textlink="">
          <xdr:nvSpPr>
            <xdr:cNvPr id="8196" name="Object 4" hidden="1">
              <a:extLst>
                <a:ext uri="{63B3BB69-23CF-44E3-9099-C40C66FF867C}">
                  <a14:compatExt spid="_x0000_s819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76200</xdr:colOff>
          <xdr:row>76</xdr:row>
          <xdr:rowOff>133350</xdr:rowOff>
        </xdr:from>
        <xdr:to>
          <xdr:col>4</xdr:col>
          <xdr:colOff>9525</xdr:colOff>
          <xdr:row>78</xdr:row>
          <xdr:rowOff>161925</xdr:rowOff>
        </xdr:to>
        <xdr:sp macro="" textlink="">
          <xdr:nvSpPr>
            <xdr:cNvPr id="8198" name="Object 6" hidden="1">
              <a:extLst>
                <a:ext uri="{63B3BB69-23CF-44E3-9099-C40C66FF867C}">
                  <a14:compatExt spid="_x0000_s8198"/>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17</xdr:col>
      <xdr:colOff>277863</xdr:colOff>
      <xdr:row>3</xdr:row>
      <xdr:rowOff>60971</xdr:rowOff>
    </xdr:from>
    <xdr:to>
      <xdr:col>17</xdr:col>
      <xdr:colOff>503729</xdr:colOff>
      <xdr:row>4</xdr:row>
      <xdr:rowOff>122137</xdr:rowOff>
    </xdr:to>
    <xdr:sp macro="" textlink="">
      <xdr:nvSpPr>
        <xdr:cNvPr id="7" name="Oval 6"/>
        <xdr:cNvSpPr>
          <a:spLocks noChangeArrowheads="1"/>
        </xdr:cNvSpPr>
      </xdr:nvSpPr>
      <xdr:spPr bwMode="auto">
        <a:xfrm>
          <a:off x="10685179" y="702655"/>
          <a:ext cx="225866" cy="231614"/>
        </a:xfrm>
        <a:prstGeom prst="ellipse">
          <a:avLst/>
        </a:prstGeom>
        <a:solidFill>
          <a:srgbClr val="000000"/>
        </a:solidFill>
        <a:ln w="9525">
          <a:solidFill>
            <a:srgbClr val="000000"/>
          </a:solidFill>
          <a:round/>
          <a:headEnd/>
          <a:tailEnd/>
        </a:ln>
      </xdr:spPr>
    </xdr:sp>
    <xdr:clientData/>
  </xdr:twoCellAnchor>
  <xdr:twoCellAnchor>
    <xdr:from>
      <xdr:col>17</xdr:col>
      <xdr:colOff>414059</xdr:colOff>
      <xdr:row>15</xdr:row>
      <xdr:rowOff>40953</xdr:rowOff>
    </xdr:from>
    <xdr:to>
      <xdr:col>17</xdr:col>
      <xdr:colOff>657886</xdr:colOff>
      <xdr:row>16</xdr:row>
      <xdr:rowOff>105385</xdr:rowOff>
    </xdr:to>
    <xdr:sp macro="" textlink="">
      <xdr:nvSpPr>
        <xdr:cNvPr id="8" name="Rectangle 7"/>
        <xdr:cNvSpPr>
          <a:spLocks noChangeArrowheads="1"/>
        </xdr:cNvSpPr>
      </xdr:nvSpPr>
      <xdr:spPr bwMode="auto">
        <a:xfrm>
          <a:off x="10821375" y="3028795"/>
          <a:ext cx="243827" cy="234879"/>
        </a:xfrm>
        <a:prstGeom prst="rect">
          <a:avLst/>
        </a:prstGeom>
        <a:solidFill>
          <a:srgbClr val="000000"/>
        </a:solidFill>
        <a:ln w="9525">
          <a:solidFill>
            <a:srgbClr val="000000"/>
          </a:solidFill>
          <a:miter lim="800000"/>
          <a:headEnd/>
          <a:tailEnd/>
        </a:ln>
      </xdr:spPr>
    </xdr:sp>
    <xdr:clientData/>
  </xdr:twoCellAnchor>
  <xdr:twoCellAnchor>
    <xdr:from>
      <xdr:col>17</xdr:col>
      <xdr:colOff>827143</xdr:colOff>
      <xdr:row>15</xdr:row>
      <xdr:rowOff>42959</xdr:rowOff>
    </xdr:from>
    <xdr:to>
      <xdr:col>17</xdr:col>
      <xdr:colOff>1644316</xdr:colOff>
      <xdr:row>16</xdr:row>
      <xdr:rowOff>120316</xdr:rowOff>
    </xdr:to>
    <xdr:sp macro="" textlink="">
      <xdr:nvSpPr>
        <xdr:cNvPr id="9" name="Rectangle 8"/>
        <xdr:cNvSpPr>
          <a:spLocks noChangeArrowheads="1"/>
        </xdr:cNvSpPr>
      </xdr:nvSpPr>
      <xdr:spPr bwMode="auto">
        <a:xfrm>
          <a:off x="11234459" y="3030801"/>
          <a:ext cx="817173" cy="247804"/>
        </a:xfrm>
        <a:prstGeom prst="rect">
          <a:avLst/>
        </a:prstGeom>
        <a:solidFill>
          <a:srgbClr val="000000"/>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627529</xdr:colOff>
      <xdr:row>3</xdr:row>
      <xdr:rowOff>34291</xdr:rowOff>
    </xdr:from>
    <xdr:to>
      <xdr:col>2</xdr:col>
      <xdr:colOff>349623</xdr:colOff>
      <xdr:row>4</xdr:row>
      <xdr:rowOff>341257</xdr:rowOff>
    </xdr:to>
    <xdr:pic>
      <xdr:nvPicPr>
        <xdr:cNvPr id="85" name="img_equation" descr="calc.png"/>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49347"/>
        <a:stretch/>
      </xdr:blipFill>
      <xdr:spPr bwMode="auto">
        <a:xfrm>
          <a:off x="977153" y="581138"/>
          <a:ext cx="1739153" cy="486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104775</xdr:colOff>
      <xdr:row>3</xdr:row>
      <xdr:rowOff>28575</xdr:rowOff>
    </xdr:from>
    <xdr:to>
      <xdr:col>6</xdr:col>
      <xdr:colOff>371475</xdr:colOff>
      <xdr:row>4</xdr:row>
      <xdr:rowOff>123825</xdr:rowOff>
    </xdr:to>
    <xdr:sp macro="" textlink="">
      <xdr:nvSpPr>
        <xdr:cNvPr id="89" name="Oval 17"/>
        <xdr:cNvSpPr>
          <a:spLocks noChangeArrowheads="1"/>
        </xdr:cNvSpPr>
      </xdr:nvSpPr>
      <xdr:spPr bwMode="auto">
        <a:xfrm>
          <a:off x="8822055" y="493395"/>
          <a:ext cx="266700" cy="270510"/>
        </a:xfrm>
        <a:prstGeom prst="ellipse">
          <a:avLst/>
        </a:prstGeom>
        <a:solidFill>
          <a:srgbClr val="FF0000"/>
        </a:solidFill>
        <a:ln w="9525">
          <a:solidFill>
            <a:srgbClr val="000000"/>
          </a:solidFill>
          <a:round/>
          <a:headEnd/>
          <a:tailEnd/>
        </a:ln>
      </xdr:spPr>
    </xdr:sp>
    <xdr:clientData/>
  </xdr:twoCellAnchor>
  <xdr:twoCellAnchor editAs="oneCell">
    <xdr:from>
      <xdr:col>1</xdr:col>
      <xdr:colOff>1183340</xdr:colOff>
      <xdr:row>17</xdr:row>
      <xdr:rowOff>139510</xdr:rowOff>
    </xdr:from>
    <xdr:to>
      <xdr:col>3</xdr:col>
      <xdr:colOff>80683</xdr:colOff>
      <xdr:row>21</xdr:row>
      <xdr:rowOff>21384</xdr:rowOff>
    </xdr:to>
    <xdr:pic>
      <xdr:nvPicPr>
        <xdr:cNvPr id="5" name="img_equation" descr="calc.png"/>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45997"/>
        <a:stretch/>
      </xdr:blipFill>
      <xdr:spPr bwMode="auto">
        <a:xfrm>
          <a:off x="1532964" y="3492310"/>
          <a:ext cx="1649507" cy="5990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99396</xdr:colOff>
      <xdr:row>17</xdr:row>
      <xdr:rowOff>107913</xdr:rowOff>
    </xdr:from>
    <xdr:to>
      <xdr:col>6</xdr:col>
      <xdr:colOff>366096</xdr:colOff>
      <xdr:row>19</xdr:row>
      <xdr:rowOff>23868</xdr:rowOff>
    </xdr:to>
    <xdr:sp macro="" textlink="">
      <xdr:nvSpPr>
        <xdr:cNvPr id="6" name="Oval 17"/>
        <xdr:cNvSpPr>
          <a:spLocks noChangeArrowheads="1"/>
        </xdr:cNvSpPr>
      </xdr:nvSpPr>
      <xdr:spPr bwMode="auto">
        <a:xfrm>
          <a:off x="5200314" y="3236595"/>
          <a:ext cx="266700" cy="274544"/>
        </a:xfrm>
        <a:prstGeom prst="ellipse">
          <a:avLst/>
        </a:prstGeom>
        <a:solidFill>
          <a:srgbClr val="FF0000"/>
        </a:solidFill>
        <a:ln w="9525">
          <a:solidFill>
            <a:srgbClr val="000000"/>
          </a:solidFill>
          <a:round/>
          <a:headEnd/>
          <a:tailEnd/>
        </a:ln>
      </xdr:spPr>
    </xdr:sp>
    <xdr:clientData/>
  </xdr:twoCellAnchor>
  <xdr:twoCellAnchor editAs="oneCell">
    <xdr:from>
      <xdr:col>14</xdr:col>
      <xdr:colOff>367552</xdr:colOff>
      <xdr:row>0</xdr:row>
      <xdr:rowOff>0</xdr:rowOff>
    </xdr:from>
    <xdr:to>
      <xdr:col>23</xdr:col>
      <xdr:colOff>161364</xdr:colOff>
      <xdr:row>26</xdr:row>
      <xdr:rowOff>81073</xdr:rowOff>
    </xdr:to>
    <xdr:pic>
      <xdr:nvPicPr>
        <xdr:cNvPr id="2" name="Picture 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209928" y="0"/>
          <a:ext cx="5280212" cy="5280212"/>
        </a:xfrm>
        <a:prstGeom prst="rect">
          <a:avLst/>
        </a:prstGeom>
      </xdr:spPr>
    </xdr:pic>
    <xdr:clientData/>
  </xdr:twoCellAnchor>
  <xdr:twoCellAnchor editAs="oneCell">
    <xdr:from>
      <xdr:col>5</xdr:col>
      <xdr:colOff>266541</xdr:colOff>
      <xdr:row>31</xdr:row>
      <xdr:rowOff>17930</xdr:rowOff>
    </xdr:from>
    <xdr:to>
      <xdr:col>9</xdr:col>
      <xdr:colOff>1712258</xdr:colOff>
      <xdr:row>49</xdr:row>
      <xdr:rowOff>172729</xdr:rowOff>
    </xdr:to>
    <xdr:pic>
      <xdr:nvPicPr>
        <xdr:cNvPr id="3" name="Picture 2"/>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730965" y="5961530"/>
          <a:ext cx="3884117" cy="3884117"/>
        </a:xfrm>
        <a:prstGeom prst="rect">
          <a:avLst/>
        </a:prstGeom>
      </xdr:spPr>
    </xdr:pic>
    <xdr:clientData/>
  </xdr:twoCellAnchor>
  <xdr:twoCellAnchor>
    <xdr:from>
      <xdr:col>9</xdr:col>
      <xdr:colOff>1999130</xdr:colOff>
      <xdr:row>5</xdr:row>
      <xdr:rowOff>17931</xdr:rowOff>
    </xdr:from>
    <xdr:to>
      <xdr:col>14</xdr:col>
      <xdr:colOff>358589</xdr:colOff>
      <xdr:row>6</xdr:row>
      <xdr:rowOff>35858</xdr:rowOff>
    </xdr:to>
    <xdr:cxnSp macro="">
      <xdr:nvCxnSpPr>
        <xdr:cNvPr id="12" name="Curved Connector 11"/>
        <xdr:cNvCxnSpPr/>
      </xdr:nvCxnSpPr>
      <xdr:spPr>
        <a:xfrm flipV="1">
          <a:off x="8901954" y="1183343"/>
          <a:ext cx="3299011" cy="206186"/>
        </a:xfrm>
        <a:prstGeom prst="curvedConnector3">
          <a:avLst>
            <a:gd name="adj1" fmla="val 272"/>
          </a:avLst>
        </a:prstGeom>
        <a:ln w="3175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490299</xdr:colOff>
      <xdr:row>14</xdr:row>
      <xdr:rowOff>15261</xdr:rowOff>
    </xdr:from>
    <xdr:to>
      <xdr:col>13</xdr:col>
      <xdr:colOff>445476</xdr:colOff>
      <xdr:row>29</xdr:row>
      <xdr:rowOff>1034</xdr:rowOff>
    </xdr:to>
    <xdr:pic>
      <xdr:nvPicPr>
        <xdr:cNvPr id="4" name="Picture 3"/>
        <xdr:cNvPicPr>
          <a:picLocks noChangeAspect="1"/>
        </xdr:cNvPicPr>
      </xdr:nvPicPr>
      <xdr:blipFill>
        <a:blip xmlns:r="http://schemas.openxmlformats.org/officeDocument/2006/relationships" r:embed="rId5"/>
        <a:stretch>
          <a:fillRect/>
        </a:stretch>
      </xdr:blipFill>
      <xdr:spPr>
        <a:xfrm>
          <a:off x="6181853" y="2946030"/>
          <a:ext cx="5506055" cy="2816896"/>
        </a:xfrm>
        <a:prstGeom prst="rect">
          <a:avLst/>
        </a:prstGeom>
      </xdr:spPr>
    </xdr:pic>
    <xdr:clientData/>
  </xdr:twoCellAnchor>
  <xdr:twoCellAnchor editAs="oneCell">
    <xdr:from>
      <xdr:col>1</xdr:col>
      <xdr:colOff>1084729</xdr:colOff>
      <xdr:row>52</xdr:row>
      <xdr:rowOff>178297</xdr:rowOff>
    </xdr:from>
    <xdr:to>
      <xdr:col>2</xdr:col>
      <xdr:colOff>439270</xdr:colOff>
      <xdr:row>55</xdr:row>
      <xdr:rowOff>103610</xdr:rowOff>
    </xdr:to>
    <xdr:pic>
      <xdr:nvPicPr>
        <xdr:cNvPr id="7" name="Picture 6"/>
        <xdr:cNvPicPr>
          <a:picLocks noChangeAspect="1"/>
        </xdr:cNvPicPr>
      </xdr:nvPicPr>
      <xdr:blipFill>
        <a:blip xmlns:r="http://schemas.openxmlformats.org/officeDocument/2006/relationships" r:embed="rId6"/>
        <a:stretch>
          <a:fillRect/>
        </a:stretch>
      </xdr:blipFill>
      <xdr:spPr>
        <a:xfrm>
          <a:off x="1335741" y="10532532"/>
          <a:ext cx="1371600" cy="46319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6</xdr:row>
          <xdr:rowOff>0</xdr:rowOff>
        </xdr:from>
        <xdr:to>
          <xdr:col>2</xdr:col>
          <xdr:colOff>495300</xdr:colOff>
          <xdr:row>8</xdr:row>
          <xdr:rowOff>57150</xdr:rowOff>
        </xdr:to>
        <xdr:sp macro="" textlink="">
          <xdr:nvSpPr>
            <xdr:cNvPr id="9217" name="Object 1" hidden="1">
              <a:extLst>
                <a:ext uri="{63B3BB69-23CF-44E3-9099-C40C66FF867C}">
                  <a14:compatExt spid="_x0000_s9217"/>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152400</xdr:colOff>
          <xdr:row>21</xdr:row>
          <xdr:rowOff>104775</xdr:rowOff>
        </xdr:from>
        <xdr:to>
          <xdr:col>6</xdr:col>
          <xdr:colOff>200025</xdr:colOff>
          <xdr:row>24</xdr:row>
          <xdr:rowOff>9525</xdr:rowOff>
        </xdr:to>
        <xdr:sp macro="" textlink="">
          <xdr:nvSpPr>
            <xdr:cNvPr id="9218" name="Object 2" hidden="1">
              <a:extLst>
                <a:ext uri="{63B3BB69-23CF-44E3-9099-C40C66FF867C}">
                  <a14:compatExt spid="_x0000_s9218"/>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37</xdr:row>
          <xdr:rowOff>0</xdr:rowOff>
        </xdr:from>
        <xdr:to>
          <xdr:col>6</xdr:col>
          <xdr:colOff>276225</xdr:colOff>
          <xdr:row>39</xdr:row>
          <xdr:rowOff>66675</xdr:rowOff>
        </xdr:to>
        <xdr:sp macro="" textlink="">
          <xdr:nvSpPr>
            <xdr:cNvPr id="9219" name="Object 3" hidden="1">
              <a:extLst>
                <a:ext uri="{63B3BB69-23CF-44E3-9099-C40C66FF867C}">
                  <a14:compatExt spid="_x0000_s921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0</xdr:colOff>
          <xdr:row>41</xdr:row>
          <xdr:rowOff>0</xdr:rowOff>
        </xdr:from>
        <xdr:to>
          <xdr:col>9</xdr:col>
          <xdr:colOff>47625</xdr:colOff>
          <xdr:row>43</xdr:row>
          <xdr:rowOff>0</xdr:rowOff>
        </xdr:to>
        <xdr:sp macro="" textlink="">
          <xdr:nvSpPr>
            <xdr:cNvPr id="9220" name="Object 4" hidden="1">
              <a:extLst>
                <a:ext uri="{63B3BB69-23CF-44E3-9099-C40C66FF867C}">
                  <a14:compatExt spid="_x0000_s922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2</xdr:col>
      <xdr:colOff>333375</xdr:colOff>
      <xdr:row>71</xdr:row>
      <xdr:rowOff>133350</xdr:rowOff>
    </xdr:from>
    <xdr:to>
      <xdr:col>6</xdr:col>
      <xdr:colOff>342900</xdr:colOff>
      <xdr:row>85</xdr:row>
      <xdr:rowOff>28575</xdr:rowOff>
    </xdr:to>
    <xdr:graphicFrame macro="">
      <xdr:nvGraphicFramePr>
        <xdr:cNvPr id="2"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257175</xdr:colOff>
      <xdr:row>86</xdr:row>
      <xdr:rowOff>123825</xdr:rowOff>
    </xdr:from>
    <xdr:to>
      <xdr:col>7</xdr:col>
      <xdr:colOff>28575</xdr:colOff>
      <xdr:row>104</xdr:row>
      <xdr:rowOff>38100</xdr:rowOff>
    </xdr:to>
    <xdr:graphicFrame macro="">
      <xdr:nvGraphicFramePr>
        <xdr:cNvPr id="3"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219075</xdr:colOff>
      <xdr:row>106</xdr:row>
      <xdr:rowOff>123825</xdr:rowOff>
    </xdr:from>
    <xdr:to>
      <xdr:col>7</xdr:col>
      <xdr:colOff>323850</xdr:colOff>
      <xdr:row>127</xdr:row>
      <xdr:rowOff>95250</xdr:rowOff>
    </xdr:to>
    <xdr:graphicFrame macro="">
      <xdr:nvGraphicFramePr>
        <xdr:cNvPr id="4"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104776</xdr:colOff>
      <xdr:row>55</xdr:row>
      <xdr:rowOff>133350</xdr:rowOff>
    </xdr:from>
    <xdr:to>
      <xdr:col>5</xdr:col>
      <xdr:colOff>122465</xdr:colOff>
      <xdr:row>70</xdr:row>
      <xdr:rowOff>28575</xdr:rowOff>
    </xdr:to>
    <xdr:graphicFrame macro="">
      <xdr:nvGraphicFramePr>
        <xdr:cNvPr id="5"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228600</xdr:colOff>
      <xdr:row>37</xdr:row>
      <xdr:rowOff>95250</xdr:rowOff>
    </xdr:from>
    <xdr:to>
      <xdr:col>7</xdr:col>
      <xdr:colOff>57150</xdr:colOff>
      <xdr:row>54</xdr:row>
      <xdr:rowOff>28575</xdr:rowOff>
    </xdr:to>
    <xdr:graphicFrame macro="">
      <xdr:nvGraphicFramePr>
        <xdr:cNvPr id="6"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104775</xdr:colOff>
      <xdr:row>134</xdr:row>
      <xdr:rowOff>38100</xdr:rowOff>
    </xdr:from>
    <xdr:to>
      <xdr:col>16</xdr:col>
      <xdr:colOff>476250</xdr:colOff>
      <xdr:row>157</xdr:row>
      <xdr:rowOff>57150</xdr:rowOff>
    </xdr:to>
    <xdr:graphicFrame macro="">
      <xdr:nvGraphicFramePr>
        <xdr:cNvPr id="7"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228600</xdr:colOff>
      <xdr:row>230</xdr:row>
      <xdr:rowOff>76200</xdr:rowOff>
    </xdr:from>
    <xdr:to>
      <xdr:col>16</xdr:col>
      <xdr:colOff>457200</xdr:colOff>
      <xdr:row>261</xdr:row>
      <xdr:rowOff>85725</xdr:rowOff>
    </xdr:to>
    <xdr:graphicFrame macro="">
      <xdr:nvGraphicFramePr>
        <xdr:cNvPr id="8"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152400</xdr:colOff>
      <xdr:row>131</xdr:row>
      <xdr:rowOff>85725</xdr:rowOff>
    </xdr:from>
    <xdr:to>
      <xdr:col>7</xdr:col>
      <xdr:colOff>600075</xdr:colOff>
      <xdr:row>159</xdr:row>
      <xdr:rowOff>0</xdr:rowOff>
    </xdr:to>
    <xdr:graphicFrame macro="">
      <xdr:nvGraphicFramePr>
        <xdr:cNvPr id="9"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485775</xdr:colOff>
      <xdr:row>193</xdr:row>
      <xdr:rowOff>76200</xdr:rowOff>
    </xdr:from>
    <xdr:to>
      <xdr:col>20</xdr:col>
      <xdr:colOff>485775</xdr:colOff>
      <xdr:row>225</xdr:row>
      <xdr:rowOff>123825</xdr:rowOff>
    </xdr:to>
    <xdr:graphicFrame macro="">
      <xdr:nvGraphicFramePr>
        <xdr:cNvPr id="10"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152400</xdr:colOff>
      <xdr:row>193</xdr:row>
      <xdr:rowOff>85725</xdr:rowOff>
    </xdr:from>
    <xdr:to>
      <xdr:col>7</xdr:col>
      <xdr:colOff>762000</xdr:colOff>
      <xdr:row>225</xdr:row>
      <xdr:rowOff>123825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228600</xdr:colOff>
      <xdr:row>266</xdr:row>
      <xdr:rowOff>76200</xdr:rowOff>
    </xdr:from>
    <xdr:to>
      <xdr:col>16</xdr:col>
      <xdr:colOff>462643</xdr:colOff>
      <xdr:row>297</xdr:row>
      <xdr:rowOff>85725</xdr:rowOff>
    </xdr:to>
    <xdr:graphicFrame macro="">
      <xdr:nvGraphicFramePr>
        <xdr:cNvPr id="12"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104775</xdr:colOff>
      <xdr:row>165</xdr:row>
      <xdr:rowOff>38100</xdr:rowOff>
    </xdr:from>
    <xdr:to>
      <xdr:col>16</xdr:col>
      <xdr:colOff>476250</xdr:colOff>
      <xdr:row>188</xdr:row>
      <xdr:rowOff>57150</xdr:rowOff>
    </xdr:to>
    <xdr:graphicFrame macro="">
      <xdr:nvGraphicFramePr>
        <xdr:cNvPr id="13"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152400</xdr:colOff>
      <xdr:row>162</xdr:row>
      <xdr:rowOff>85725</xdr:rowOff>
    </xdr:from>
    <xdr:to>
      <xdr:col>7</xdr:col>
      <xdr:colOff>600075</xdr:colOff>
      <xdr:row>190</xdr:row>
      <xdr:rowOff>0</xdr:rowOff>
    </xdr:to>
    <xdr:graphicFrame macro="">
      <xdr:nvGraphicFramePr>
        <xdr:cNvPr id="14"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228600</xdr:colOff>
      <xdr:row>19</xdr:row>
      <xdr:rowOff>95250</xdr:rowOff>
    </xdr:from>
    <xdr:to>
      <xdr:col>7</xdr:col>
      <xdr:colOff>57150</xdr:colOff>
      <xdr:row>36</xdr:row>
      <xdr:rowOff>28575</xdr:rowOff>
    </xdr:to>
    <xdr:graphicFrame macro="">
      <xdr:nvGraphicFramePr>
        <xdr:cNvPr id="15"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487409</xdr:colOff>
      <xdr:row>0</xdr:row>
      <xdr:rowOff>10732</xdr:rowOff>
    </xdr:from>
    <xdr:to>
      <xdr:col>27</xdr:col>
      <xdr:colOff>49984</xdr:colOff>
      <xdr:row>21</xdr:row>
      <xdr:rowOff>89654</xdr:rowOff>
    </xdr:to>
    <xdr:graphicFrame macro="">
      <xdr:nvGraphicFramePr>
        <xdr:cNvPr id="16"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228600</xdr:colOff>
      <xdr:row>301</xdr:row>
      <xdr:rowOff>76200</xdr:rowOff>
    </xdr:from>
    <xdr:to>
      <xdr:col>16</xdr:col>
      <xdr:colOff>462643</xdr:colOff>
      <xdr:row>332</xdr:row>
      <xdr:rowOff>85725</xdr:rowOff>
    </xdr:to>
    <xdr:graphicFrame macro="">
      <xdr:nvGraphicFramePr>
        <xdr:cNvPr id="17"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175261</xdr:colOff>
      <xdr:row>4</xdr:row>
      <xdr:rowOff>175261</xdr:rowOff>
    </xdr:from>
    <xdr:to>
      <xdr:col>6</xdr:col>
      <xdr:colOff>533400</xdr:colOff>
      <xdr:row>8</xdr:row>
      <xdr:rowOff>178577</xdr:rowOff>
    </xdr:to>
    <xdr:pic>
      <xdr:nvPicPr>
        <xdr:cNvPr id="3" name="Picture 2"/>
        <xdr:cNvPicPr>
          <a:picLocks noChangeAspect="1"/>
        </xdr:cNvPicPr>
      </xdr:nvPicPr>
      <xdr:blipFill>
        <a:blip xmlns:r="http://schemas.openxmlformats.org/officeDocument/2006/relationships" r:embed="rId1"/>
        <a:stretch>
          <a:fillRect/>
        </a:stretch>
      </xdr:blipFill>
      <xdr:spPr>
        <a:xfrm>
          <a:off x="371204" y="1035232"/>
          <a:ext cx="3406139" cy="743545"/>
        </a:xfrm>
        <a:prstGeom prst="rect">
          <a:avLst/>
        </a:prstGeom>
        <a:ln>
          <a:solidFill>
            <a:schemeClr val="tx1"/>
          </a:solidFill>
        </a:ln>
      </xdr:spPr>
    </xdr:pic>
    <xdr:clientData/>
  </xdr:twoCellAnchor>
  <xdr:twoCellAnchor editAs="oneCell">
    <xdr:from>
      <xdr:col>1</xdr:col>
      <xdr:colOff>205741</xdr:colOff>
      <xdr:row>17</xdr:row>
      <xdr:rowOff>137720</xdr:rowOff>
    </xdr:from>
    <xdr:to>
      <xdr:col>7</xdr:col>
      <xdr:colOff>427171</xdr:colOff>
      <xdr:row>22</xdr:row>
      <xdr:rowOff>21771</xdr:rowOff>
    </xdr:to>
    <xdr:pic>
      <xdr:nvPicPr>
        <xdr:cNvPr id="4" name="Picture 3"/>
        <xdr:cNvPicPr>
          <a:picLocks noChangeAspect="1"/>
        </xdr:cNvPicPr>
      </xdr:nvPicPr>
      <xdr:blipFill>
        <a:blip xmlns:r="http://schemas.openxmlformats.org/officeDocument/2006/relationships" r:embed="rId2"/>
        <a:stretch>
          <a:fillRect/>
        </a:stretch>
      </xdr:blipFill>
      <xdr:spPr>
        <a:xfrm>
          <a:off x="401684" y="3446977"/>
          <a:ext cx="3879030" cy="809337"/>
        </a:xfrm>
        <a:prstGeom prst="rect">
          <a:avLst/>
        </a:prstGeom>
        <a:ln>
          <a:solidFill>
            <a:schemeClr val="tx1"/>
          </a:solidFill>
        </a:ln>
      </xdr:spPr>
    </xdr:pic>
    <xdr:clientData/>
  </xdr:twoCellAnchor>
  <xdr:twoCellAnchor editAs="oneCell">
    <xdr:from>
      <xdr:col>1</xdr:col>
      <xdr:colOff>106680</xdr:colOff>
      <xdr:row>30</xdr:row>
      <xdr:rowOff>110382</xdr:rowOff>
    </xdr:from>
    <xdr:to>
      <xdr:col>8</xdr:col>
      <xdr:colOff>56168</xdr:colOff>
      <xdr:row>34</xdr:row>
      <xdr:rowOff>163286</xdr:rowOff>
    </xdr:to>
    <xdr:pic>
      <xdr:nvPicPr>
        <xdr:cNvPr id="6" name="Picture 5"/>
        <xdr:cNvPicPr>
          <a:picLocks noChangeAspect="1"/>
        </xdr:cNvPicPr>
      </xdr:nvPicPr>
      <xdr:blipFill>
        <a:blip xmlns:r="http://schemas.openxmlformats.org/officeDocument/2006/relationships" r:embed="rId3"/>
        <a:stretch>
          <a:fillRect/>
        </a:stretch>
      </xdr:blipFill>
      <xdr:spPr>
        <a:xfrm>
          <a:off x="302623" y="5868925"/>
          <a:ext cx="4216688" cy="793132"/>
        </a:xfrm>
        <a:prstGeom prst="rect">
          <a:avLst/>
        </a:prstGeom>
        <a:ln>
          <a:solidFill>
            <a:schemeClr val="tx1"/>
          </a:solidFill>
        </a:ln>
      </xdr:spPr>
    </xdr:pic>
    <xdr:clientData/>
  </xdr:twoCellAnchor>
  <xdr:twoCellAnchor editAs="oneCell">
    <xdr:from>
      <xdr:col>11</xdr:col>
      <xdr:colOff>32658</xdr:colOff>
      <xdr:row>2</xdr:row>
      <xdr:rowOff>21770</xdr:rowOff>
    </xdr:from>
    <xdr:to>
      <xdr:col>15</xdr:col>
      <xdr:colOff>598715</xdr:colOff>
      <xdr:row>13</xdr:row>
      <xdr:rowOff>185057</xdr:rowOff>
    </xdr:to>
    <xdr:pic>
      <xdr:nvPicPr>
        <xdr:cNvPr id="9" name="Picture 8"/>
        <xdr:cNvPicPr>
          <a:picLocks noChangeAspect="1"/>
        </xdr:cNvPicPr>
      </xdr:nvPicPr>
      <xdr:blipFill>
        <a:blip xmlns:r="http://schemas.openxmlformats.org/officeDocument/2006/relationships" r:embed="rId4"/>
        <a:stretch>
          <a:fillRect/>
        </a:stretch>
      </xdr:blipFill>
      <xdr:spPr>
        <a:xfrm>
          <a:off x="6466115" y="511627"/>
          <a:ext cx="3004457" cy="2209801"/>
        </a:xfrm>
        <a:prstGeom prst="rect">
          <a:avLst/>
        </a:prstGeom>
        <a:ln>
          <a:solidFill>
            <a:schemeClr val="tx1"/>
          </a:solidFill>
        </a:ln>
      </xdr:spPr>
    </xdr:pic>
    <xdr:clientData/>
  </xdr:twoCellAnchor>
  <xdr:twoCellAnchor editAs="oneCell">
    <xdr:from>
      <xdr:col>1</xdr:col>
      <xdr:colOff>108857</xdr:colOff>
      <xdr:row>43</xdr:row>
      <xdr:rowOff>140655</xdr:rowOff>
    </xdr:from>
    <xdr:to>
      <xdr:col>7</xdr:col>
      <xdr:colOff>370114</xdr:colOff>
      <xdr:row>47</xdr:row>
      <xdr:rowOff>114389</xdr:rowOff>
    </xdr:to>
    <xdr:pic>
      <xdr:nvPicPr>
        <xdr:cNvPr id="10" name="Picture 9"/>
        <xdr:cNvPicPr>
          <a:picLocks noChangeAspect="1"/>
        </xdr:cNvPicPr>
      </xdr:nvPicPr>
      <xdr:blipFill>
        <a:blip xmlns:r="http://schemas.openxmlformats.org/officeDocument/2006/relationships" r:embed="rId5"/>
        <a:stretch>
          <a:fillRect/>
        </a:stretch>
      </xdr:blipFill>
      <xdr:spPr>
        <a:xfrm>
          <a:off x="304800" y="8348484"/>
          <a:ext cx="3918857" cy="713962"/>
        </a:xfrm>
        <a:prstGeom prst="rect">
          <a:avLst/>
        </a:prstGeom>
        <a:ln>
          <a:solidFill>
            <a:schemeClr val="tx1"/>
          </a:solidFill>
        </a:ln>
      </xdr:spPr>
    </xdr:pic>
    <xdr:clientData/>
  </xdr:twoCellAnchor>
  <xdr:twoCellAnchor editAs="oneCell">
    <xdr:from>
      <xdr:col>1</xdr:col>
      <xdr:colOff>87086</xdr:colOff>
      <xdr:row>56</xdr:row>
      <xdr:rowOff>183291</xdr:rowOff>
    </xdr:from>
    <xdr:to>
      <xdr:col>7</xdr:col>
      <xdr:colOff>348341</xdr:colOff>
      <xdr:row>60</xdr:row>
      <xdr:rowOff>156983</xdr:rowOff>
    </xdr:to>
    <xdr:pic>
      <xdr:nvPicPr>
        <xdr:cNvPr id="12" name="Picture 11"/>
        <xdr:cNvPicPr>
          <a:picLocks noChangeAspect="1"/>
        </xdr:cNvPicPr>
      </xdr:nvPicPr>
      <xdr:blipFill>
        <a:blip xmlns:r="http://schemas.openxmlformats.org/officeDocument/2006/relationships" r:embed="rId6"/>
        <a:stretch>
          <a:fillRect/>
        </a:stretch>
      </xdr:blipFill>
      <xdr:spPr>
        <a:xfrm>
          <a:off x="283029" y="10840405"/>
          <a:ext cx="3918855" cy="713921"/>
        </a:xfrm>
        <a:prstGeom prst="rect">
          <a:avLst/>
        </a:prstGeom>
        <a:ln>
          <a:solidFill>
            <a:schemeClr val="tx1"/>
          </a:solidFill>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9525</xdr:colOff>
      <xdr:row>20</xdr:row>
      <xdr:rowOff>0</xdr:rowOff>
    </xdr:from>
    <xdr:to>
      <xdr:col>5</xdr:col>
      <xdr:colOff>0</xdr:colOff>
      <xdr:row>20</xdr:row>
      <xdr:rowOff>0</xdr:rowOff>
    </xdr:to>
    <xdr:sp macro="" textlink="">
      <xdr:nvSpPr>
        <xdr:cNvPr id="2" name="Line 1"/>
        <xdr:cNvSpPr>
          <a:spLocks noChangeShapeType="1"/>
        </xdr:cNvSpPr>
      </xdr:nvSpPr>
      <xdr:spPr bwMode="auto">
        <a:xfrm>
          <a:off x="1253378" y="4022912"/>
          <a:ext cx="173859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15</xdr:row>
      <xdr:rowOff>38100</xdr:rowOff>
    </xdr:from>
    <xdr:to>
      <xdr:col>2</xdr:col>
      <xdr:colOff>9525</xdr:colOff>
      <xdr:row>20</xdr:row>
      <xdr:rowOff>0</xdr:rowOff>
    </xdr:to>
    <xdr:sp macro="" textlink="">
      <xdr:nvSpPr>
        <xdr:cNvPr id="3" name="Line 2"/>
        <xdr:cNvSpPr>
          <a:spLocks noChangeShapeType="1"/>
        </xdr:cNvSpPr>
      </xdr:nvSpPr>
      <xdr:spPr bwMode="auto">
        <a:xfrm flipV="1">
          <a:off x="1257300" y="2943225"/>
          <a:ext cx="0" cy="914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15</xdr:row>
      <xdr:rowOff>38100</xdr:rowOff>
    </xdr:from>
    <xdr:to>
      <xdr:col>4</xdr:col>
      <xdr:colOff>561975</xdr:colOff>
      <xdr:row>20</xdr:row>
      <xdr:rowOff>0</xdr:rowOff>
    </xdr:to>
    <xdr:sp macro="" textlink="">
      <xdr:nvSpPr>
        <xdr:cNvPr id="4" name="Line 3"/>
        <xdr:cNvSpPr>
          <a:spLocks noChangeShapeType="1"/>
        </xdr:cNvSpPr>
      </xdr:nvSpPr>
      <xdr:spPr bwMode="auto">
        <a:xfrm>
          <a:off x="1257300" y="2943225"/>
          <a:ext cx="1971675" cy="914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19</xdr:row>
      <xdr:rowOff>38100</xdr:rowOff>
    </xdr:from>
    <xdr:to>
      <xdr:col>2</xdr:col>
      <xdr:colOff>200025</xdr:colOff>
      <xdr:row>20</xdr:row>
      <xdr:rowOff>0</xdr:rowOff>
    </xdr:to>
    <xdr:sp macro="" textlink="">
      <xdr:nvSpPr>
        <xdr:cNvPr id="5" name="Rectangle 4"/>
        <xdr:cNvSpPr>
          <a:spLocks noChangeArrowheads="1"/>
        </xdr:cNvSpPr>
      </xdr:nvSpPr>
      <xdr:spPr bwMode="auto">
        <a:xfrm>
          <a:off x="1257300" y="3705225"/>
          <a:ext cx="190500" cy="1524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542925</xdr:colOff>
      <xdr:row>24</xdr:row>
      <xdr:rowOff>0</xdr:rowOff>
    </xdr:from>
    <xdr:to>
      <xdr:col>7</xdr:col>
      <xdr:colOff>28575</xdr:colOff>
      <xdr:row>40</xdr:row>
      <xdr:rowOff>47625</xdr:rowOff>
    </xdr:to>
    <xdr:pic>
      <xdr:nvPicPr>
        <xdr:cNvPr id="6" name="Picture 1" descr="image00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4638675"/>
          <a:ext cx="4219575" cy="3114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552450</xdr:colOff>
      <xdr:row>38</xdr:row>
      <xdr:rowOff>57150</xdr:rowOff>
    </xdr:from>
    <xdr:to>
      <xdr:col>3</xdr:col>
      <xdr:colOff>361950</xdr:colOff>
      <xdr:row>40</xdr:row>
      <xdr:rowOff>161925</xdr:rowOff>
    </xdr:to>
    <xdr:sp macro="" textlink="">
      <xdr:nvSpPr>
        <xdr:cNvPr id="7" name="Line 5"/>
        <xdr:cNvSpPr>
          <a:spLocks noChangeShapeType="1"/>
        </xdr:cNvSpPr>
      </xdr:nvSpPr>
      <xdr:spPr bwMode="auto">
        <a:xfrm flipH="1" flipV="1">
          <a:off x="1800225" y="7381875"/>
          <a:ext cx="733425" cy="485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476250</xdr:colOff>
      <xdr:row>25</xdr:row>
      <xdr:rowOff>76200</xdr:rowOff>
    </xdr:from>
    <xdr:to>
      <xdr:col>6</xdr:col>
      <xdr:colOff>495300</xdr:colOff>
      <xdr:row>38</xdr:row>
      <xdr:rowOff>152400</xdr:rowOff>
    </xdr:to>
    <xdr:sp macro="" textlink="">
      <xdr:nvSpPr>
        <xdr:cNvPr id="8" name="Line 6"/>
        <xdr:cNvSpPr>
          <a:spLocks noChangeShapeType="1"/>
        </xdr:cNvSpPr>
      </xdr:nvSpPr>
      <xdr:spPr bwMode="auto">
        <a:xfrm flipH="1">
          <a:off x="4991100" y="4905375"/>
          <a:ext cx="19050" cy="257175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495300</xdr:colOff>
      <xdr:row>30</xdr:row>
      <xdr:rowOff>47625</xdr:rowOff>
    </xdr:from>
    <xdr:to>
      <xdr:col>7</xdr:col>
      <xdr:colOff>304800</xdr:colOff>
      <xdr:row>32</xdr:row>
      <xdr:rowOff>152400</xdr:rowOff>
    </xdr:to>
    <xdr:sp macro="" textlink="">
      <xdr:nvSpPr>
        <xdr:cNvPr id="9" name="Line 7"/>
        <xdr:cNvSpPr>
          <a:spLocks noChangeShapeType="1"/>
        </xdr:cNvSpPr>
      </xdr:nvSpPr>
      <xdr:spPr bwMode="auto">
        <a:xfrm flipH="1" flipV="1">
          <a:off x="5010150" y="5829300"/>
          <a:ext cx="733425" cy="485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85725</xdr:colOff>
      <xdr:row>25</xdr:row>
      <xdr:rowOff>9525</xdr:rowOff>
    </xdr:from>
    <xdr:to>
      <xdr:col>6</xdr:col>
      <xdr:colOff>228600</xdr:colOff>
      <xdr:row>38</xdr:row>
      <xdr:rowOff>123825</xdr:rowOff>
    </xdr:to>
    <xdr:sp macro="" textlink="">
      <xdr:nvSpPr>
        <xdr:cNvPr id="10" name="Line 8"/>
        <xdr:cNvSpPr>
          <a:spLocks noChangeShapeType="1"/>
        </xdr:cNvSpPr>
      </xdr:nvSpPr>
      <xdr:spPr bwMode="auto">
        <a:xfrm flipH="1">
          <a:off x="1333500" y="4838700"/>
          <a:ext cx="3409950" cy="260985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3</xdr:col>
      <xdr:colOff>419100</xdr:colOff>
      <xdr:row>39</xdr:row>
      <xdr:rowOff>57150</xdr:rowOff>
    </xdr:from>
    <xdr:to>
      <xdr:col>5</xdr:col>
      <xdr:colOff>858930</xdr:colOff>
      <xdr:row>40</xdr:row>
      <xdr:rowOff>95250</xdr:rowOff>
    </xdr:to>
    <xdr:sp macro="" textlink="">
      <xdr:nvSpPr>
        <xdr:cNvPr id="11" name="Text Box 9"/>
        <xdr:cNvSpPr txBox="1">
          <a:spLocks noChangeArrowheads="1"/>
        </xdr:cNvSpPr>
      </xdr:nvSpPr>
      <xdr:spPr bwMode="auto">
        <a:xfrm>
          <a:off x="2590800" y="7572375"/>
          <a:ext cx="1276350" cy="22860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Adjacent (A)</a:t>
          </a:r>
        </a:p>
      </xdr:txBody>
    </xdr:sp>
    <xdr:clientData/>
  </xdr:twoCellAnchor>
  <xdr:twoCellAnchor editAs="oneCell">
    <xdr:from>
      <xdr:col>2</xdr:col>
      <xdr:colOff>304800</xdr:colOff>
      <xdr:row>30</xdr:row>
      <xdr:rowOff>95250</xdr:rowOff>
    </xdr:from>
    <xdr:to>
      <xdr:col>4</xdr:col>
      <xdr:colOff>85725</xdr:colOff>
      <xdr:row>31</xdr:row>
      <xdr:rowOff>152400</xdr:rowOff>
    </xdr:to>
    <xdr:sp macro="" textlink="">
      <xdr:nvSpPr>
        <xdr:cNvPr id="12" name="Text Box 10"/>
        <xdr:cNvSpPr txBox="1">
          <a:spLocks noChangeArrowheads="1"/>
        </xdr:cNvSpPr>
      </xdr:nvSpPr>
      <xdr:spPr bwMode="auto">
        <a:xfrm>
          <a:off x="1552575" y="5876925"/>
          <a:ext cx="1200150" cy="24765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Hypotenuse (H)</a:t>
          </a:r>
        </a:p>
      </xdr:txBody>
    </xdr:sp>
    <xdr:clientData/>
  </xdr:twoCellAnchor>
  <xdr:twoCellAnchor editAs="oneCell">
    <xdr:from>
      <xdr:col>6</xdr:col>
      <xdr:colOff>542925</xdr:colOff>
      <xdr:row>34</xdr:row>
      <xdr:rowOff>114300</xdr:rowOff>
    </xdr:from>
    <xdr:to>
      <xdr:col>8</xdr:col>
      <xdr:colOff>209550</xdr:colOff>
      <xdr:row>35</xdr:row>
      <xdr:rowOff>152401</xdr:rowOff>
    </xdr:to>
    <xdr:sp macro="" textlink="">
      <xdr:nvSpPr>
        <xdr:cNvPr id="13" name="Text Box 11"/>
        <xdr:cNvSpPr txBox="1">
          <a:spLocks noChangeArrowheads="1"/>
        </xdr:cNvSpPr>
      </xdr:nvSpPr>
      <xdr:spPr bwMode="auto">
        <a:xfrm>
          <a:off x="5057775" y="6677025"/>
          <a:ext cx="1514475" cy="22860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Opposite (O)</a:t>
          </a:r>
        </a:p>
      </xdr:txBody>
    </xdr:sp>
    <xdr:clientData/>
  </xdr:twoCellAnchor>
  <xdr:twoCellAnchor>
    <xdr:from>
      <xdr:col>2</xdr:col>
      <xdr:colOff>437029</xdr:colOff>
      <xdr:row>2</xdr:row>
      <xdr:rowOff>11206</xdr:rowOff>
    </xdr:from>
    <xdr:to>
      <xdr:col>2</xdr:col>
      <xdr:colOff>694765</xdr:colOff>
      <xdr:row>4</xdr:row>
      <xdr:rowOff>0</xdr:rowOff>
    </xdr:to>
    <xdr:cxnSp macro="">
      <xdr:nvCxnSpPr>
        <xdr:cNvPr id="15" name="Straight Arrow Connector 14"/>
        <xdr:cNvCxnSpPr/>
      </xdr:nvCxnSpPr>
      <xdr:spPr>
        <a:xfrm>
          <a:off x="1680882" y="470647"/>
          <a:ext cx="257736" cy="403412"/>
        </a:xfrm>
        <a:prstGeom prst="straightConnector1">
          <a:avLst/>
        </a:prstGeom>
        <a:ln w="222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392206</xdr:colOff>
      <xdr:row>2</xdr:row>
      <xdr:rowOff>22412</xdr:rowOff>
    </xdr:from>
    <xdr:to>
      <xdr:col>2</xdr:col>
      <xdr:colOff>448235</xdr:colOff>
      <xdr:row>8</xdr:row>
      <xdr:rowOff>0</xdr:rowOff>
    </xdr:to>
    <xdr:cxnSp macro="">
      <xdr:nvCxnSpPr>
        <xdr:cNvPr id="18" name="Straight Arrow Connector 17"/>
        <xdr:cNvCxnSpPr/>
      </xdr:nvCxnSpPr>
      <xdr:spPr>
        <a:xfrm flipH="1">
          <a:off x="1636059" y="481853"/>
          <a:ext cx="56029" cy="1176618"/>
        </a:xfrm>
        <a:prstGeom prst="straightConnector1">
          <a:avLst/>
        </a:prstGeom>
        <a:ln w="222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272143</xdr:colOff>
      <xdr:row>3</xdr:row>
      <xdr:rowOff>32657</xdr:rowOff>
    </xdr:from>
    <xdr:to>
      <xdr:col>13</xdr:col>
      <xdr:colOff>495028</xdr:colOff>
      <xdr:row>3</xdr:row>
      <xdr:rowOff>268877</xdr:rowOff>
    </xdr:to>
    <xdr:sp macro="" textlink="">
      <xdr:nvSpPr>
        <xdr:cNvPr id="16" name="Oval 15"/>
        <xdr:cNvSpPr>
          <a:spLocks noChangeArrowheads="1"/>
        </xdr:cNvSpPr>
      </xdr:nvSpPr>
      <xdr:spPr bwMode="auto">
        <a:xfrm>
          <a:off x="10570029" y="707571"/>
          <a:ext cx="222885" cy="236220"/>
        </a:xfrm>
        <a:prstGeom prst="ellipse">
          <a:avLst/>
        </a:prstGeom>
        <a:solidFill>
          <a:srgbClr val="000000"/>
        </a:solidFill>
        <a:ln w="9525">
          <a:solidFill>
            <a:srgbClr val="000000"/>
          </a:solidFill>
          <a:round/>
          <a:headEnd/>
          <a:tailEnd/>
        </a:ln>
      </xdr:spPr>
    </xdr:sp>
    <xdr:clientData/>
  </xdr:twoCellAnchor>
  <xdr:twoCellAnchor>
    <xdr:from>
      <xdr:col>13</xdr:col>
      <xdr:colOff>313765</xdr:colOff>
      <xdr:row>12</xdr:row>
      <xdr:rowOff>53788</xdr:rowOff>
    </xdr:from>
    <xdr:to>
      <xdr:col>13</xdr:col>
      <xdr:colOff>554611</xdr:colOff>
      <xdr:row>13</xdr:row>
      <xdr:rowOff>96050</xdr:rowOff>
    </xdr:to>
    <xdr:sp macro="" textlink="">
      <xdr:nvSpPr>
        <xdr:cNvPr id="19" name="Rectangle 18"/>
        <xdr:cNvSpPr>
          <a:spLocks noChangeArrowheads="1"/>
        </xdr:cNvSpPr>
      </xdr:nvSpPr>
      <xdr:spPr bwMode="auto">
        <a:xfrm>
          <a:off x="11824447" y="2456329"/>
          <a:ext cx="240846" cy="239486"/>
        </a:xfrm>
        <a:prstGeom prst="rect">
          <a:avLst/>
        </a:prstGeom>
        <a:solidFill>
          <a:srgbClr val="000000"/>
        </a:solidFill>
        <a:ln w="9525">
          <a:solidFill>
            <a:srgbClr val="000000"/>
          </a:solidFill>
          <a:miter lim="800000"/>
          <a:headEnd/>
          <a:tailEnd/>
        </a:ln>
      </xdr:spPr>
    </xdr:sp>
    <xdr:clientData/>
  </xdr:twoCellAnchor>
  <xdr:twoCellAnchor>
    <xdr:from>
      <xdr:col>14</xdr:col>
      <xdr:colOff>53788</xdr:colOff>
      <xdr:row>12</xdr:row>
      <xdr:rowOff>116542</xdr:rowOff>
    </xdr:from>
    <xdr:to>
      <xdr:col>14</xdr:col>
      <xdr:colOff>842652</xdr:colOff>
      <xdr:row>16</xdr:row>
      <xdr:rowOff>2599</xdr:rowOff>
    </xdr:to>
    <xdr:grpSp>
      <xdr:nvGrpSpPr>
        <xdr:cNvPr id="20" name="Group 19"/>
        <xdr:cNvGrpSpPr/>
      </xdr:nvGrpSpPr>
      <xdr:grpSpPr>
        <a:xfrm>
          <a:off x="12055288" y="2761130"/>
          <a:ext cx="788864" cy="648057"/>
          <a:chOff x="6746822" y="680821"/>
          <a:chExt cx="788864" cy="636010"/>
        </a:xfrm>
      </xdr:grpSpPr>
      <xdr:sp macro="" textlink="">
        <xdr:nvSpPr>
          <xdr:cNvPr id="21" name="Rectangle 10"/>
          <xdr:cNvSpPr>
            <a:spLocks noChangeArrowheads="1"/>
          </xdr:cNvSpPr>
        </xdr:nvSpPr>
        <xdr:spPr bwMode="auto">
          <a:xfrm>
            <a:off x="7190184" y="683419"/>
            <a:ext cx="342900" cy="257175"/>
          </a:xfrm>
          <a:prstGeom prst="rect">
            <a:avLst/>
          </a:prstGeom>
          <a:solidFill>
            <a:srgbClr val="C00000">
              <a:alpha val="76000"/>
            </a:srgbClr>
          </a:solidFill>
          <a:ln w="9525">
            <a:solidFill>
              <a:srgbClr val="000000"/>
            </a:solidFill>
            <a:miter lim="800000"/>
            <a:headEnd/>
            <a:tailEnd/>
          </a:ln>
        </xdr:spPr>
      </xdr:sp>
      <xdr:cxnSp macro="">
        <xdr:nvCxnSpPr>
          <xdr:cNvPr id="22" name="Straight Connector 21"/>
          <xdr:cNvCxnSpPr/>
        </xdr:nvCxnSpPr>
        <xdr:spPr>
          <a:xfrm flipV="1">
            <a:off x="6750302" y="680821"/>
            <a:ext cx="441614" cy="37775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3" name="Straight Connector 22"/>
          <xdr:cNvCxnSpPr/>
        </xdr:nvCxnSpPr>
        <xdr:spPr>
          <a:xfrm flipV="1">
            <a:off x="6746822" y="937141"/>
            <a:ext cx="441614" cy="37450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24" name="Rectangle 10"/>
          <xdr:cNvSpPr>
            <a:spLocks noChangeArrowheads="1"/>
          </xdr:cNvSpPr>
        </xdr:nvSpPr>
        <xdr:spPr bwMode="auto">
          <a:xfrm>
            <a:off x="6752034" y="1062038"/>
            <a:ext cx="342900" cy="254793"/>
          </a:xfrm>
          <a:prstGeom prst="rect">
            <a:avLst/>
          </a:prstGeom>
          <a:solidFill>
            <a:srgbClr val="FF0000">
              <a:alpha val="76000"/>
            </a:srgbClr>
          </a:solidFill>
          <a:ln w="9525">
            <a:solidFill>
              <a:srgbClr val="000000"/>
            </a:solidFill>
            <a:miter lim="800000"/>
            <a:headEnd/>
            <a:tailEnd/>
          </a:ln>
        </xdr:spPr>
      </xdr:sp>
      <xdr:cxnSp macro="">
        <xdr:nvCxnSpPr>
          <xdr:cNvPr id="25" name="Straight Connector 24"/>
          <xdr:cNvCxnSpPr/>
        </xdr:nvCxnSpPr>
        <xdr:spPr>
          <a:xfrm flipV="1">
            <a:off x="7093222" y="686001"/>
            <a:ext cx="441614" cy="37775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6" name="Straight Connector 25"/>
          <xdr:cNvCxnSpPr/>
        </xdr:nvCxnSpPr>
        <xdr:spPr>
          <a:xfrm flipV="1">
            <a:off x="7094072" y="937991"/>
            <a:ext cx="441614" cy="37450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303192</xdr:colOff>
      <xdr:row>3</xdr:row>
      <xdr:rowOff>51751</xdr:rowOff>
    </xdr:from>
    <xdr:to>
      <xdr:col>14</xdr:col>
      <xdr:colOff>560599</xdr:colOff>
      <xdr:row>6</xdr:row>
      <xdr:rowOff>151810</xdr:rowOff>
    </xdr:to>
    <xdr:grpSp>
      <xdr:nvGrpSpPr>
        <xdr:cNvPr id="27" name="Group 26"/>
        <xdr:cNvGrpSpPr/>
      </xdr:nvGrpSpPr>
      <xdr:grpSpPr>
        <a:xfrm>
          <a:off x="12304692" y="735310"/>
          <a:ext cx="257407" cy="794824"/>
          <a:chOff x="6933473" y="2877769"/>
          <a:chExt cx="257407" cy="808523"/>
        </a:xfrm>
      </xdr:grpSpPr>
      <xdr:sp macro="" textlink="">
        <xdr:nvSpPr>
          <xdr:cNvPr id="28" name="Oval 9"/>
          <xdr:cNvSpPr>
            <a:spLocks noChangeArrowheads="1"/>
          </xdr:cNvSpPr>
        </xdr:nvSpPr>
        <xdr:spPr bwMode="auto">
          <a:xfrm>
            <a:off x="6933473" y="3520475"/>
            <a:ext cx="253690" cy="165817"/>
          </a:xfrm>
          <a:prstGeom prst="ellipse">
            <a:avLst/>
          </a:prstGeom>
          <a:solidFill>
            <a:srgbClr val="C00000">
              <a:alpha val="76000"/>
            </a:srgbClr>
          </a:solidFill>
          <a:ln w="9525">
            <a:solidFill>
              <a:srgbClr val="000000"/>
            </a:solidFill>
            <a:round/>
            <a:headEnd/>
            <a:tailEnd/>
          </a:ln>
        </xdr:spPr>
      </xdr:sp>
      <xdr:cxnSp macro="">
        <xdr:nvCxnSpPr>
          <xdr:cNvPr id="29" name="Straight Connector 28"/>
          <xdr:cNvCxnSpPr/>
        </xdr:nvCxnSpPr>
        <xdr:spPr>
          <a:xfrm flipV="1">
            <a:off x="6936261" y="2957687"/>
            <a:ext cx="1" cy="63713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0" name="Oval 9"/>
          <xdr:cNvSpPr>
            <a:spLocks noChangeArrowheads="1"/>
          </xdr:cNvSpPr>
        </xdr:nvSpPr>
        <xdr:spPr bwMode="auto">
          <a:xfrm>
            <a:off x="6937190" y="2877769"/>
            <a:ext cx="253690" cy="168430"/>
          </a:xfrm>
          <a:prstGeom prst="ellipse">
            <a:avLst/>
          </a:prstGeom>
          <a:solidFill>
            <a:srgbClr val="FF0000">
              <a:alpha val="76000"/>
            </a:srgbClr>
          </a:solidFill>
          <a:ln w="9525">
            <a:solidFill>
              <a:srgbClr val="000000"/>
            </a:solidFill>
            <a:round/>
            <a:headEnd/>
            <a:tailEnd/>
          </a:ln>
        </xdr:spPr>
      </xdr:sp>
      <xdr:cxnSp macro="">
        <xdr:nvCxnSpPr>
          <xdr:cNvPr id="31" name="Straight Connector 30"/>
          <xdr:cNvCxnSpPr/>
        </xdr:nvCxnSpPr>
        <xdr:spPr>
          <a:xfrm flipV="1">
            <a:off x="7188565" y="2966051"/>
            <a:ext cx="1" cy="63713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2</xdr:row>
          <xdr:rowOff>0</xdr:rowOff>
        </xdr:from>
        <xdr:to>
          <xdr:col>4</xdr:col>
          <xdr:colOff>104775</xdr:colOff>
          <xdr:row>4</xdr:row>
          <xdr:rowOff>66675</xdr:rowOff>
        </xdr:to>
        <xdr:sp macro="" textlink="">
          <xdr:nvSpPr>
            <xdr:cNvPr id="12289" name="Object 1" hidden="1">
              <a:extLst>
                <a:ext uri="{63B3BB69-23CF-44E3-9099-C40C66FF867C}">
                  <a14:compatExt spid="_x0000_s1228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0</xdr:colOff>
          <xdr:row>21</xdr:row>
          <xdr:rowOff>0</xdr:rowOff>
        </xdr:from>
        <xdr:to>
          <xdr:col>3</xdr:col>
          <xdr:colOff>390525</xdr:colOff>
          <xdr:row>23</xdr:row>
          <xdr:rowOff>28575</xdr:rowOff>
        </xdr:to>
        <xdr:sp macro="" textlink="">
          <xdr:nvSpPr>
            <xdr:cNvPr id="12290" name="Object 2" hidden="1">
              <a:extLst>
                <a:ext uri="{63B3BB69-23CF-44E3-9099-C40C66FF867C}">
                  <a14:compatExt spid="_x0000_s1229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114300</xdr:colOff>
          <xdr:row>20</xdr:row>
          <xdr:rowOff>123825</xdr:rowOff>
        </xdr:from>
        <xdr:to>
          <xdr:col>9</xdr:col>
          <xdr:colOff>485775</xdr:colOff>
          <xdr:row>22</xdr:row>
          <xdr:rowOff>142875</xdr:rowOff>
        </xdr:to>
        <xdr:sp macro="" textlink="">
          <xdr:nvSpPr>
            <xdr:cNvPr id="12291" name="Object 3" hidden="1">
              <a:extLst>
                <a:ext uri="{63B3BB69-23CF-44E3-9099-C40C66FF867C}">
                  <a14:compatExt spid="_x0000_s1229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6</xdr:col>
      <xdr:colOff>129428</xdr:colOff>
      <xdr:row>1</xdr:row>
      <xdr:rowOff>161364</xdr:rowOff>
    </xdr:from>
    <xdr:to>
      <xdr:col>6</xdr:col>
      <xdr:colOff>376518</xdr:colOff>
      <xdr:row>3</xdr:row>
      <xdr:rowOff>53787</xdr:rowOff>
    </xdr:to>
    <xdr:sp macro="" textlink="">
      <xdr:nvSpPr>
        <xdr:cNvPr id="2" name="Oval 9"/>
        <xdr:cNvSpPr>
          <a:spLocks noChangeArrowheads="1"/>
        </xdr:cNvSpPr>
      </xdr:nvSpPr>
      <xdr:spPr bwMode="auto">
        <a:xfrm>
          <a:off x="3491193" y="457199"/>
          <a:ext cx="247090" cy="242047"/>
        </a:xfrm>
        <a:prstGeom prst="ellipse">
          <a:avLst/>
        </a:prstGeom>
        <a:solidFill>
          <a:srgbClr val="FF0000"/>
        </a:solidFill>
        <a:ln w="9525">
          <a:solidFill>
            <a:srgbClr val="000000"/>
          </a:solidFill>
          <a:round/>
          <a:headEnd/>
          <a:tailEnd/>
        </a:ln>
      </xdr:spPr>
    </xdr:sp>
    <xdr:clientData/>
  </xdr:twoCellAnchor>
  <xdr:twoCellAnchor>
    <xdr:from>
      <xdr:col>5</xdr:col>
      <xdr:colOff>447675</xdr:colOff>
      <xdr:row>16</xdr:row>
      <xdr:rowOff>0</xdr:rowOff>
    </xdr:from>
    <xdr:to>
      <xdr:col>6</xdr:col>
      <xdr:colOff>180975</xdr:colOff>
      <xdr:row>17</xdr:row>
      <xdr:rowOff>104775</xdr:rowOff>
    </xdr:to>
    <xdr:sp macro="" textlink="">
      <xdr:nvSpPr>
        <xdr:cNvPr id="3" name="Rectangle 10"/>
        <xdr:cNvSpPr>
          <a:spLocks noChangeArrowheads="1"/>
        </xdr:cNvSpPr>
      </xdr:nvSpPr>
      <xdr:spPr bwMode="auto">
        <a:xfrm>
          <a:off x="3114675" y="2686050"/>
          <a:ext cx="342900" cy="266700"/>
        </a:xfrm>
        <a:prstGeom prst="rect">
          <a:avLst/>
        </a:prstGeom>
        <a:solidFill>
          <a:srgbClr val="FF0000"/>
        </a:solidFill>
        <a:ln w="9525">
          <a:solidFill>
            <a:srgbClr val="000000"/>
          </a:solidFill>
          <a:miter lim="800000"/>
          <a:headEnd/>
          <a:tailEnd/>
        </a:ln>
      </xdr:spPr>
    </xdr:sp>
    <xdr:clientData/>
  </xdr:twoCellAnchor>
  <xdr:twoCellAnchor>
    <xdr:from>
      <xdr:col>14</xdr:col>
      <xdr:colOff>104775</xdr:colOff>
      <xdr:row>2</xdr:row>
      <xdr:rowOff>28575</xdr:rowOff>
    </xdr:from>
    <xdr:to>
      <xdr:col>14</xdr:col>
      <xdr:colOff>371475</xdr:colOff>
      <xdr:row>3</xdr:row>
      <xdr:rowOff>123825</xdr:rowOff>
    </xdr:to>
    <xdr:sp macro="" textlink="">
      <xdr:nvSpPr>
        <xdr:cNvPr id="4" name="Oval 17"/>
        <xdr:cNvSpPr>
          <a:spLocks noChangeArrowheads="1"/>
        </xdr:cNvSpPr>
      </xdr:nvSpPr>
      <xdr:spPr bwMode="auto">
        <a:xfrm>
          <a:off x="8753475" y="190500"/>
          <a:ext cx="266700" cy="257175"/>
        </a:xfrm>
        <a:prstGeom prst="ellipse">
          <a:avLst/>
        </a:prstGeom>
        <a:solidFill>
          <a:srgbClr val="FF0000"/>
        </a:solidFill>
        <a:ln w="9525">
          <a:solidFill>
            <a:srgbClr val="000000"/>
          </a:solidFill>
          <a:round/>
          <a:headEnd/>
          <a:tailEnd/>
        </a:ln>
      </xdr:spPr>
    </xdr:sp>
    <xdr:clientData/>
  </xdr:twoCellAnchor>
  <xdr:twoCellAnchor>
    <xdr:from>
      <xdr:col>14</xdr:col>
      <xdr:colOff>171450</xdr:colOff>
      <xdr:row>15</xdr:row>
      <xdr:rowOff>114300</xdr:rowOff>
    </xdr:from>
    <xdr:to>
      <xdr:col>14</xdr:col>
      <xdr:colOff>504825</xdr:colOff>
      <xdr:row>17</xdr:row>
      <xdr:rowOff>57150</xdr:rowOff>
    </xdr:to>
    <xdr:sp macro="" textlink="">
      <xdr:nvSpPr>
        <xdr:cNvPr id="5" name="Rectangle 18"/>
        <xdr:cNvSpPr>
          <a:spLocks noChangeArrowheads="1"/>
        </xdr:cNvSpPr>
      </xdr:nvSpPr>
      <xdr:spPr bwMode="auto">
        <a:xfrm>
          <a:off x="8820150" y="2638425"/>
          <a:ext cx="333375" cy="266700"/>
        </a:xfrm>
        <a:prstGeom prst="rect">
          <a:avLst/>
        </a:prstGeom>
        <a:solidFill>
          <a:srgbClr val="FF0000"/>
        </a:solidFill>
        <a:ln w="9525">
          <a:solidFill>
            <a:srgbClr val="000000"/>
          </a:solidFill>
          <a:miter lim="800000"/>
          <a:headEnd/>
          <a:tailEnd/>
        </a:ln>
      </xdr:spPr>
    </xdr:sp>
    <xdr:clientData/>
  </xdr:twoCellAnchor>
  <mc:AlternateContent xmlns:mc="http://schemas.openxmlformats.org/markup-compatibility/2006">
    <mc:Choice xmlns:a14="http://schemas.microsoft.com/office/drawing/2010/main" Requires="a14">
      <xdr:twoCellAnchor>
        <xdr:from>
          <xdr:col>3</xdr:col>
          <xdr:colOff>295275</xdr:colOff>
          <xdr:row>2</xdr:row>
          <xdr:rowOff>47625</xdr:rowOff>
        </xdr:from>
        <xdr:to>
          <xdr:col>4</xdr:col>
          <xdr:colOff>533400</xdr:colOff>
          <xdr:row>4</xdr:row>
          <xdr:rowOff>114300</xdr:rowOff>
        </xdr:to>
        <xdr:sp macro="" textlink="">
          <xdr:nvSpPr>
            <xdr:cNvPr id="13313" name="Object 1" hidden="1">
              <a:extLst>
                <a:ext uri="{63B3BB69-23CF-44E3-9099-C40C66FF867C}">
                  <a14:compatExt spid="_x0000_s13313"/>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228600</xdr:colOff>
          <xdr:row>2</xdr:row>
          <xdr:rowOff>38100</xdr:rowOff>
        </xdr:from>
        <xdr:to>
          <xdr:col>12</xdr:col>
          <xdr:colOff>276225</xdr:colOff>
          <xdr:row>4</xdr:row>
          <xdr:rowOff>161925</xdr:rowOff>
        </xdr:to>
        <xdr:sp macro="" textlink="">
          <xdr:nvSpPr>
            <xdr:cNvPr id="13314" name="Object 2" hidden="1">
              <a:extLst>
                <a:ext uri="{63B3BB69-23CF-44E3-9099-C40C66FF867C}">
                  <a14:compatExt spid="_x0000_s13314"/>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371475</xdr:colOff>
          <xdr:row>30</xdr:row>
          <xdr:rowOff>133350</xdr:rowOff>
        </xdr:from>
        <xdr:to>
          <xdr:col>10</xdr:col>
          <xdr:colOff>38100</xdr:colOff>
          <xdr:row>34</xdr:row>
          <xdr:rowOff>38100</xdr:rowOff>
        </xdr:to>
        <xdr:sp macro="" textlink="">
          <xdr:nvSpPr>
            <xdr:cNvPr id="13315" name="Object 3" hidden="1">
              <a:extLst>
                <a:ext uri="{63B3BB69-23CF-44E3-9099-C40C66FF867C}">
                  <a14:compatExt spid="_x0000_s1331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40</xdr:row>
          <xdr:rowOff>0</xdr:rowOff>
        </xdr:from>
        <xdr:to>
          <xdr:col>4</xdr:col>
          <xdr:colOff>390525</xdr:colOff>
          <xdr:row>42</xdr:row>
          <xdr:rowOff>28575</xdr:rowOff>
        </xdr:to>
        <xdr:sp macro="" textlink="">
          <xdr:nvSpPr>
            <xdr:cNvPr id="13316" name="Object 4" hidden="1">
              <a:extLst>
                <a:ext uri="{63B3BB69-23CF-44E3-9099-C40C66FF867C}">
                  <a14:compatExt spid="_x0000_s1331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39</xdr:row>
          <xdr:rowOff>123825</xdr:rowOff>
        </xdr:from>
        <xdr:to>
          <xdr:col>10</xdr:col>
          <xdr:colOff>485775</xdr:colOff>
          <xdr:row>41</xdr:row>
          <xdr:rowOff>142875</xdr:rowOff>
        </xdr:to>
        <xdr:sp macro="" textlink="">
          <xdr:nvSpPr>
            <xdr:cNvPr id="13317" name="Object 5" hidden="1">
              <a:extLst>
                <a:ext uri="{63B3BB69-23CF-44E3-9099-C40C66FF867C}">
                  <a14:compatExt spid="_x0000_s13317"/>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419100</xdr:colOff>
          <xdr:row>13</xdr:row>
          <xdr:rowOff>19050</xdr:rowOff>
        </xdr:from>
        <xdr:to>
          <xdr:col>7</xdr:col>
          <xdr:colOff>0</xdr:colOff>
          <xdr:row>14</xdr:row>
          <xdr:rowOff>0</xdr:rowOff>
        </xdr:to>
        <xdr:sp macro="" textlink="">
          <xdr:nvSpPr>
            <xdr:cNvPr id="13318" name="Object 6" hidden="1">
              <a:extLst>
                <a:ext uri="{63B3BB69-23CF-44E3-9099-C40C66FF867C}">
                  <a14:compatExt spid="_x0000_s13318"/>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419100</xdr:colOff>
          <xdr:row>13</xdr:row>
          <xdr:rowOff>19050</xdr:rowOff>
        </xdr:from>
        <xdr:to>
          <xdr:col>13</xdr:col>
          <xdr:colOff>428625</xdr:colOff>
          <xdr:row>14</xdr:row>
          <xdr:rowOff>0</xdr:rowOff>
        </xdr:to>
        <xdr:sp macro="" textlink="">
          <xdr:nvSpPr>
            <xdr:cNvPr id="13319" name="Object 7" hidden="1">
              <a:extLst>
                <a:ext uri="{63B3BB69-23CF-44E3-9099-C40C66FF867C}">
                  <a14:compatExt spid="_x0000_s1331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295275</xdr:colOff>
          <xdr:row>16</xdr:row>
          <xdr:rowOff>47625</xdr:rowOff>
        </xdr:from>
        <xdr:to>
          <xdr:col>4</xdr:col>
          <xdr:colOff>533400</xdr:colOff>
          <xdr:row>18</xdr:row>
          <xdr:rowOff>114300</xdr:rowOff>
        </xdr:to>
        <xdr:sp macro="" textlink="">
          <xdr:nvSpPr>
            <xdr:cNvPr id="13320" name="Object 8" hidden="1">
              <a:extLst>
                <a:ext uri="{63B3BB69-23CF-44E3-9099-C40C66FF867C}">
                  <a14:compatExt spid="_x0000_s1332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266700</xdr:colOff>
          <xdr:row>16</xdr:row>
          <xdr:rowOff>9525</xdr:rowOff>
        </xdr:from>
        <xdr:to>
          <xdr:col>12</xdr:col>
          <xdr:colOff>314325</xdr:colOff>
          <xdr:row>18</xdr:row>
          <xdr:rowOff>133350</xdr:rowOff>
        </xdr:to>
        <xdr:sp macro="" textlink="">
          <xdr:nvSpPr>
            <xdr:cNvPr id="13321" name="Object 9" hidden="1">
              <a:extLst>
                <a:ext uri="{63B3BB69-23CF-44E3-9099-C40C66FF867C}">
                  <a14:compatExt spid="_x0000_s1332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419100</xdr:colOff>
          <xdr:row>28</xdr:row>
          <xdr:rowOff>19050</xdr:rowOff>
        </xdr:from>
        <xdr:to>
          <xdr:col>7</xdr:col>
          <xdr:colOff>0</xdr:colOff>
          <xdr:row>29</xdr:row>
          <xdr:rowOff>0</xdr:rowOff>
        </xdr:to>
        <xdr:sp macro="" textlink="">
          <xdr:nvSpPr>
            <xdr:cNvPr id="13322" name="Object 10" hidden="1">
              <a:extLst>
                <a:ext uri="{63B3BB69-23CF-44E3-9099-C40C66FF867C}">
                  <a14:compatExt spid="_x0000_s13322"/>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419100</xdr:colOff>
          <xdr:row>28</xdr:row>
          <xdr:rowOff>19050</xdr:rowOff>
        </xdr:from>
        <xdr:to>
          <xdr:col>13</xdr:col>
          <xdr:colOff>428625</xdr:colOff>
          <xdr:row>29</xdr:row>
          <xdr:rowOff>0</xdr:rowOff>
        </xdr:to>
        <xdr:sp macro="" textlink="">
          <xdr:nvSpPr>
            <xdr:cNvPr id="13323" name="Object 11" hidden="1">
              <a:extLst>
                <a:ext uri="{63B3BB69-23CF-44E3-9099-C40C66FF867C}">
                  <a14:compatExt spid="_x0000_s13323"/>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381000</xdr:colOff>
          <xdr:row>49</xdr:row>
          <xdr:rowOff>66675</xdr:rowOff>
        </xdr:from>
        <xdr:to>
          <xdr:col>2</xdr:col>
          <xdr:colOff>723900</xdr:colOff>
          <xdr:row>51</xdr:row>
          <xdr:rowOff>114300</xdr:rowOff>
        </xdr:to>
        <xdr:sp macro="" textlink="">
          <xdr:nvSpPr>
            <xdr:cNvPr id="13324" name="Object 12" hidden="1">
              <a:extLst>
                <a:ext uri="{63B3BB69-23CF-44E3-9099-C40C66FF867C}">
                  <a14:compatExt spid="_x0000_s13324"/>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200025</xdr:colOff>
          <xdr:row>58</xdr:row>
          <xdr:rowOff>76200</xdr:rowOff>
        </xdr:from>
        <xdr:to>
          <xdr:col>3</xdr:col>
          <xdr:colOff>885825</xdr:colOff>
          <xdr:row>60</xdr:row>
          <xdr:rowOff>104775</xdr:rowOff>
        </xdr:to>
        <xdr:sp macro="" textlink="">
          <xdr:nvSpPr>
            <xdr:cNvPr id="13325" name="Object 13" hidden="1">
              <a:extLst>
                <a:ext uri="{63B3BB69-23CF-44E3-9099-C40C66FF867C}">
                  <a14:compatExt spid="_x0000_s1332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676275</xdr:colOff>
          <xdr:row>70</xdr:row>
          <xdr:rowOff>85725</xdr:rowOff>
        </xdr:from>
        <xdr:to>
          <xdr:col>3</xdr:col>
          <xdr:colOff>95250</xdr:colOff>
          <xdr:row>72</xdr:row>
          <xdr:rowOff>133350</xdr:rowOff>
        </xdr:to>
        <xdr:sp macro="" textlink="">
          <xdr:nvSpPr>
            <xdr:cNvPr id="13326" name="Object 14" hidden="1">
              <a:extLst>
                <a:ext uri="{63B3BB69-23CF-44E3-9099-C40C66FF867C}">
                  <a14:compatExt spid="_x0000_s1332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295275</xdr:colOff>
          <xdr:row>70</xdr:row>
          <xdr:rowOff>114300</xdr:rowOff>
        </xdr:from>
        <xdr:to>
          <xdr:col>7</xdr:col>
          <xdr:colOff>590550</xdr:colOff>
          <xdr:row>72</xdr:row>
          <xdr:rowOff>142875</xdr:rowOff>
        </xdr:to>
        <xdr:sp macro="" textlink="">
          <xdr:nvSpPr>
            <xdr:cNvPr id="13327" name="Object 15" hidden="1">
              <a:extLst>
                <a:ext uri="{63B3BB69-23CF-44E3-9099-C40C66FF867C}">
                  <a14:compatExt spid="_x0000_s13327"/>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19</xdr:col>
      <xdr:colOff>104775</xdr:colOff>
      <xdr:row>2</xdr:row>
      <xdr:rowOff>126546</xdr:rowOff>
    </xdr:from>
    <xdr:to>
      <xdr:col>19</xdr:col>
      <xdr:colOff>381000</xdr:colOff>
      <xdr:row>4</xdr:row>
      <xdr:rowOff>62592</xdr:rowOff>
    </xdr:to>
    <xdr:sp macro="" textlink="">
      <xdr:nvSpPr>
        <xdr:cNvPr id="21" name="Oval 9"/>
        <xdr:cNvSpPr>
          <a:spLocks noChangeArrowheads="1"/>
        </xdr:cNvSpPr>
      </xdr:nvSpPr>
      <xdr:spPr bwMode="auto">
        <a:xfrm>
          <a:off x="12699546" y="289832"/>
          <a:ext cx="276225" cy="278946"/>
        </a:xfrm>
        <a:prstGeom prst="ellipse">
          <a:avLst/>
        </a:prstGeom>
        <a:solidFill>
          <a:srgbClr val="FF0000"/>
        </a:solidFill>
        <a:ln w="9525">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xdr:from>
          <xdr:col>17</xdr:col>
          <xdr:colOff>276225</xdr:colOff>
          <xdr:row>2</xdr:row>
          <xdr:rowOff>28575</xdr:rowOff>
        </xdr:from>
        <xdr:to>
          <xdr:col>19</xdr:col>
          <xdr:colOff>0</xdr:colOff>
          <xdr:row>5</xdr:row>
          <xdr:rowOff>19050</xdr:rowOff>
        </xdr:to>
        <xdr:sp macro="" textlink="">
          <xdr:nvSpPr>
            <xdr:cNvPr id="13328" name="Object 16" hidden="1">
              <a:extLst>
                <a:ext uri="{63B3BB69-23CF-44E3-9099-C40C66FF867C}">
                  <a14:compatExt spid="_x0000_s13328"/>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161925</xdr:colOff>
          <xdr:row>48</xdr:row>
          <xdr:rowOff>104775</xdr:rowOff>
        </xdr:from>
        <xdr:to>
          <xdr:col>12</xdr:col>
          <xdr:colOff>457200</xdr:colOff>
          <xdr:row>50</xdr:row>
          <xdr:rowOff>85725</xdr:rowOff>
        </xdr:to>
        <xdr:sp macro="" textlink="">
          <xdr:nvSpPr>
            <xdr:cNvPr id="13329" name="Object 17" hidden="1">
              <a:extLst>
                <a:ext uri="{63B3BB69-23CF-44E3-9099-C40C66FF867C}">
                  <a14:compatExt spid="_x0000_s1332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76200</xdr:colOff>
          <xdr:row>57</xdr:row>
          <xdr:rowOff>85725</xdr:rowOff>
        </xdr:from>
        <xdr:to>
          <xdr:col>13</xdr:col>
          <xdr:colOff>171450</xdr:colOff>
          <xdr:row>59</xdr:row>
          <xdr:rowOff>133350</xdr:rowOff>
        </xdr:to>
        <xdr:sp macro="" textlink="">
          <xdr:nvSpPr>
            <xdr:cNvPr id="13330" name="Object 18" hidden="1">
              <a:extLst>
                <a:ext uri="{63B3BB69-23CF-44E3-9099-C40C66FF867C}">
                  <a14:compatExt spid="_x0000_s1333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5</xdr:col>
      <xdr:colOff>100263</xdr:colOff>
      <xdr:row>79</xdr:row>
      <xdr:rowOff>170448</xdr:rowOff>
    </xdr:from>
    <xdr:to>
      <xdr:col>7</xdr:col>
      <xdr:colOff>431132</xdr:colOff>
      <xdr:row>81</xdr:row>
      <xdr:rowOff>60159</xdr:rowOff>
    </xdr:to>
    <xdr:sp macro="" textlink="">
      <xdr:nvSpPr>
        <xdr:cNvPr id="6" name="Rectangle 5"/>
        <xdr:cNvSpPr/>
      </xdr:nvSpPr>
      <xdr:spPr>
        <a:xfrm>
          <a:off x="3178342" y="14548185"/>
          <a:ext cx="1383632" cy="300790"/>
        </a:xfrm>
        <a:prstGeom prst="rect">
          <a:avLst/>
        </a:prstGeom>
        <a:pattFill prst="dkHorz">
          <a:fgClr>
            <a:schemeClr val="tx1"/>
          </a:fgClr>
          <a:bgClr>
            <a:schemeClr val="bg1"/>
          </a:bgClr>
        </a:patt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5</xdr:col>
      <xdr:colOff>431133</xdr:colOff>
      <xdr:row>84</xdr:row>
      <xdr:rowOff>40105</xdr:rowOff>
    </xdr:from>
    <xdr:to>
      <xdr:col>7</xdr:col>
      <xdr:colOff>160422</xdr:colOff>
      <xdr:row>87</xdr:row>
      <xdr:rowOff>150395</xdr:rowOff>
    </xdr:to>
    <xdr:sp macro="" textlink="">
      <xdr:nvSpPr>
        <xdr:cNvPr id="7" name="Oval 6"/>
        <xdr:cNvSpPr/>
      </xdr:nvSpPr>
      <xdr:spPr>
        <a:xfrm>
          <a:off x="3509212" y="15320210"/>
          <a:ext cx="782052" cy="711869"/>
        </a:xfrm>
        <a:prstGeom prst="ellipse">
          <a:avLst/>
        </a:prstGeom>
        <a:pattFill prst="dkHorz">
          <a:fgClr>
            <a:schemeClr val="tx1"/>
          </a:fgClr>
          <a:bgClr>
            <a:schemeClr val="bg1"/>
          </a:bgClr>
        </a:patt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3</xdr:col>
      <xdr:colOff>71717</xdr:colOff>
      <xdr:row>76</xdr:row>
      <xdr:rowOff>98612</xdr:rowOff>
    </xdr:from>
    <xdr:to>
      <xdr:col>3</xdr:col>
      <xdr:colOff>80682</xdr:colOff>
      <xdr:row>89</xdr:row>
      <xdr:rowOff>98612</xdr:rowOff>
    </xdr:to>
    <xdr:cxnSp macro="">
      <xdr:nvCxnSpPr>
        <xdr:cNvPr id="9" name="Straight Arrow Connector 8"/>
        <xdr:cNvCxnSpPr/>
      </xdr:nvCxnSpPr>
      <xdr:spPr>
        <a:xfrm flipH="1" flipV="1">
          <a:off x="1595717" y="14002871"/>
          <a:ext cx="8965" cy="2483223"/>
        </a:xfrm>
        <a:prstGeom prst="straightConnector1">
          <a:avLst/>
        </a:prstGeom>
        <a:ln w="41275">
          <a:solidFill>
            <a:schemeClr val="tx1">
              <a:alpha val="19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1174827</xdr:colOff>
      <xdr:row>71</xdr:row>
      <xdr:rowOff>168762</xdr:rowOff>
    </xdr:from>
    <xdr:to>
      <xdr:col>3</xdr:col>
      <xdr:colOff>367553</xdr:colOff>
      <xdr:row>77</xdr:row>
      <xdr:rowOff>89647</xdr:rowOff>
    </xdr:to>
    <xdr:cxnSp macro="">
      <xdr:nvCxnSpPr>
        <xdr:cNvPr id="30" name="Straight Arrow Connector 29"/>
        <xdr:cNvCxnSpPr/>
      </xdr:nvCxnSpPr>
      <xdr:spPr>
        <a:xfrm flipH="1" flipV="1">
          <a:off x="1354121" y="13068974"/>
          <a:ext cx="537432" cy="1131120"/>
        </a:xfrm>
        <a:prstGeom prst="straightConnector1">
          <a:avLst/>
        </a:prstGeom>
        <a:ln w="41275">
          <a:solidFill>
            <a:schemeClr val="tx1">
              <a:alpha val="19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197223</xdr:colOff>
      <xdr:row>72</xdr:row>
      <xdr:rowOff>26894</xdr:rowOff>
    </xdr:from>
    <xdr:to>
      <xdr:col>6</xdr:col>
      <xdr:colOff>224117</xdr:colOff>
      <xdr:row>76</xdr:row>
      <xdr:rowOff>71717</xdr:rowOff>
    </xdr:to>
    <xdr:cxnSp macro="">
      <xdr:nvCxnSpPr>
        <xdr:cNvPr id="29" name="Straight Arrow Connector 28"/>
        <xdr:cNvCxnSpPr/>
      </xdr:nvCxnSpPr>
      <xdr:spPr>
        <a:xfrm flipV="1">
          <a:off x="2644588" y="13106400"/>
          <a:ext cx="1281953" cy="869576"/>
        </a:xfrm>
        <a:prstGeom prst="straightConnector1">
          <a:avLst/>
        </a:prstGeom>
        <a:ln w="41275">
          <a:solidFill>
            <a:schemeClr val="tx1">
              <a:alpha val="19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419100</xdr:colOff>
          <xdr:row>39</xdr:row>
          <xdr:rowOff>9525</xdr:rowOff>
        </xdr:from>
        <xdr:to>
          <xdr:col>6</xdr:col>
          <xdr:colOff>38100</xdr:colOff>
          <xdr:row>39</xdr:row>
          <xdr:rowOff>419100</xdr:rowOff>
        </xdr:to>
        <xdr:sp macro="" textlink="">
          <xdr:nvSpPr>
            <xdr:cNvPr id="14337" name="Object 1" hidden="1">
              <a:extLst>
                <a:ext uri="{63B3BB69-23CF-44E3-9099-C40C66FF867C}">
                  <a14:compatExt spid="_x0000_s14337"/>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1581150</xdr:colOff>
          <xdr:row>21</xdr:row>
          <xdr:rowOff>38100</xdr:rowOff>
        </xdr:from>
        <xdr:to>
          <xdr:col>2</xdr:col>
          <xdr:colOff>0</xdr:colOff>
          <xdr:row>21</xdr:row>
          <xdr:rowOff>447675</xdr:rowOff>
        </xdr:to>
        <xdr:sp macro="" textlink="">
          <xdr:nvSpPr>
            <xdr:cNvPr id="14340" name="Object 4" hidden="1">
              <a:extLst>
                <a:ext uri="{63B3BB69-23CF-44E3-9099-C40C66FF867C}">
                  <a14:compatExt spid="_x0000_s1434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xdr:from>
      <xdr:col>1</xdr:col>
      <xdr:colOff>1114425</xdr:colOff>
      <xdr:row>9</xdr:row>
      <xdr:rowOff>91440</xdr:rowOff>
    </xdr:from>
    <xdr:to>
      <xdr:col>1</xdr:col>
      <xdr:colOff>1447800</xdr:colOff>
      <xdr:row>10</xdr:row>
      <xdr:rowOff>137160</xdr:rowOff>
    </xdr:to>
    <xdr:sp macro="" textlink="">
      <xdr:nvSpPr>
        <xdr:cNvPr id="2" name="Oval 1"/>
        <xdr:cNvSpPr>
          <a:spLocks noChangeArrowheads="1"/>
        </xdr:cNvSpPr>
      </xdr:nvSpPr>
      <xdr:spPr bwMode="auto">
        <a:xfrm>
          <a:off x="1327785" y="2019300"/>
          <a:ext cx="333375" cy="342900"/>
        </a:xfrm>
        <a:prstGeom prst="ellipse">
          <a:avLst/>
        </a:prstGeom>
        <a:solidFill>
          <a:srgbClr val="000000"/>
        </a:solidFill>
        <a:ln w="9525">
          <a:solidFill>
            <a:srgbClr val="000000"/>
          </a:solidFill>
          <a:round/>
          <a:headEnd/>
          <a:tailEnd/>
        </a:ln>
      </xdr:spPr>
    </xdr:sp>
    <xdr:clientData/>
  </xdr:twoCellAnchor>
  <xdr:twoCellAnchor>
    <xdr:from>
      <xdr:col>13</xdr:col>
      <xdr:colOff>165735</xdr:colOff>
      <xdr:row>1</xdr:row>
      <xdr:rowOff>45720</xdr:rowOff>
    </xdr:from>
    <xdr:to>
      <xdr:col>13</xdr:col>
      <xdr:colOff>388620</xdr:colOff>
      <xdr:row>1</xdr:row>
      <xdr:rowOff>281940</xdr:rowOff>
    </xdr:to>
    <xdr:sp macro="" textlink="">
      <xdr:nvSpPr>
        <xdr:cNvPr id="3" name="Oval 2"/>
        <xdr:cNvSpPr>
          <a:spLocks noChangeArrowheads="1"/>
        </xdr:cNvSpPr>
      </xdr:nvSpPr>
      <xdr:spPr bwMode="auto">
        <a:xfrm>
          <a:off x="13340715" y="342900"/>
          <a:ext cx="222885" cy="236220"/>
        </a:xfrm>
        <a:prstGeom prst="ellipse">
          <a:avLst/>
        </a:prstGeom>
        <a:solidFill>
          <a:srgbClr val="000000"/>
        </a:solidFill>
        <a:ln w="9525">
          <a:solidFill>
            <a:srgbClr val="000000"/>
          </a:solidFill>
          <a:round/>
          <a:headEnd/>
          <a:tailEnd/>
        </a:ln>
      </xdr:spPr>
    </xdr:sp>
    <xdr:clientData/>
  </xdr:twoCellAnchor>
  <xdr:twoCellAnchor>
    <xdr:from>
      <xdr:col>1</xdr:col>
      <xdr:colOff>981075</xdr:colOff>
      <xdr:row>20</xdr:row>
      <xdr:rowOff>28575</xdr:rowOff>
    </xdr:from>
    <xdr:to>
      <xdr:col>1</xdr:col>
      <xdr:colOff>1314450</xdr:colOff>
      <xdr:row>21</xdr:row>
      <xdr:rowOff>180975</xdr:rowOff>
    </xdr:to>
    <xdr:sp macro="" textlink="">
      <xdr:nvSpPr>
        <xdr:cNvPr id="4" name="Rectangle 3"/>
        <xdr:cNvSpPr>
          <a:spLocks noChangeArrowheads="1"/>
        </xdr:cNvSpPr>
      </xdr:nvSpPr>
      <xdr:spPr bwMode="auto">
        <a:xfrm>
          <a:off x="1190625" y="3581400"/>
          <a:ext cx="333375" cy="314325"/>
        </a:xfrm>
        <a:prstGeom prst="rect">
          <a:avLst/>
        </a:prstGeom>
        <a:solidFill>
          <a:srgbClr val="000000"/>
        </a:solidFill>
        <a:ln w="9525">
          <a:solidFill>
            <a:srgbClr val="000000"/>
          </a:solidFill>
          <a:miter lim="800000"/>
          <a:headEnd/>
          <a:tailEnd/>
        </a:ln>
      </xdr:spPr>
    </xdr:sp>
    <xdr:clientData/>
  </xdr:twoCellAnchor>
  <xdr:twoCellAnchor>
    <xdr:from>
      <xdr:col>6</xdr:col>
      <xdr:colOff>981075</xdr:colOff>
      <xdr:row>20</xdr:row>
      <xdr:rowOff>28575</xdr:rowOff>
    </xdr:from>
    <xdr:to>
      <xdr:col>6</xdr:col>
      <xdr:colOff>1314450</xdr:colOff>
      <xdr:row>21</xdr:row>
      <xdr:rowOff>180975</xdr:rowOff>
    </xdr:to>
    <xdr:sp macro="" textlink="">
      <xdr:nvSpPr>
        <xdr:cNvPr id="5" name="Rectangle 4"/>
        <xdr:cNvSpPr>
          <a:spLocks noChangeArrowheads="1"/>
        </xdr:cNvSpPr>
      </xdr:nvSpPr>
      <xdr:spPr bwMode="auto">
        <a:xfrm>
          <a:off x="6562725" y="3581400"/>
          <a:ext cx="333375" cy="314325"/>
        </a:xfrm>
        <a:prstGeom prst="rect">
          <a:avLst/>
        </a:prstGeom>
        <a:solidFill>
          <a:srgbClr val="000000"/>
        </a:solidFill>
        <a:ln w="9525">
          <a:solidFill>
            <a:srgbClr val="000000"/>
          </a:solidFill>
          <a:miter lim="800000"/>
          <a:headEnd/>
          <a:tailEnd/>
        </a:ln>
      </xdr:spPr>
    </xdr:sp>
    <xdr:clientData/>
  </xdr:twoCellAnchor>
  <xdr:twoCellAnchor>
    <xdr:from>
      <xdr:col>13</xdr:col>
      <xdr:colOff>140155</xdr:colOff>
      <xdr:row>9</xdr:row>
      <xdr:rowOff>26126</xdr:rowOff>
    </xdr:from>
    <xdr:to>
      <xdr:col>13</xdr:col>
      <xdr:colOff>381001</xdr:colOff>
      <xdr:row>9</xdr:row>
      <xdr:rowOff>265612</xdr:rowOff>
    </xdr:to>
    <xdr:sp macro="" textlink="">
      <xdr:nvSpPr>
        <xdr:cNvPr id="7" name="Rectangle 6"/>
        <xdr:cNvSpPr>
          <a:spLocks noChangeArrowheads="1"/>
        </xdr:cNvSpPr>
      </xdr:nvSpPr>
      <xdr:spPr bwMode="auto">
        <a:xfrm>
          <a:off x="13315135" y="1953986"/>
          <a:ext cx="240846" cy="239486"/>
        </a:xfrm>
        <a:prstGeom prst="rect">
          <a:avLst/>
        </a:prstGeom>
        <a:solidFill>
          <a:srgbClr val="000000"/>
        </a:solidFill>
        <a:ln w="9525">
          <a:solidFill>
            <a:srgbClr val="000000"/>
          </a:solidFill>
          <a:miter lim="800000"/>
          <a:headEnd/>
          <a:tailEnd/>
        </a:ln>
      </xdr:spPr>
    </xdr:sp>
    <xdr:clientData/>
  </xdr:twoCellAnchor>
  <xdr:twoCellAnchor>
    <xdr:from>
      <xdr:col>7</xdr:col>
      <xdr:colOff>120015</xdr:colOff>
      <xdr:row>9</xdr:row>
      <xdr:rowOff>114300</xdr:rowOff>
    </xdr:from>
    <xdr:to>
      <xdr:col>7</xdr:col>
      <xdr:colOff>434340</xdr:colOff>
      <xdr:row>10</xdr:row>
      <xdr:rowOff>137160</xdr:rowOff>
    </xdr:to>
    <xdr:sp macro="" textlink="">
      <xdr:nvSpPr>
        <xdr:cNvPr id="8" name="Oval 7"/>
        <xdr:cNvSpPr>
          <a:spLocks noChangeArrowheads="1"/>
        </xdr:cNvSpPr>
      </xdr:nvSpPr>
      <xdr:spPr bwMode="auto">
        <a:xfrm>
          <a:off x="8296275" y="2042160"/>
          <a:ext cx="314325" cy="320040"/>
        </a:xfrm>
        <a:prstGeom prst="ellipse">
          <a:avLst/>
        </a:prstGeom>
        <a:solidFill>
          <a:srgbClr val="000000"/>
        </a:solidFill>
        <a:ln w="9525">
          <a:solidFill>
            <a:srgbClr val="000000"/>
          </a:solidFill>
          <a:round/>
          <a:headEnd/>
          <a:tailEnd/>
        </a:ln>
      </xdr:spPr>
    </xdr: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1</xdr:colOff>
      <xdr:row>18</xdr:row>
      <xdr:rowOff>122464</xdr:rowOff>
    </xdr:from>
    <xdr:to>
      <xdr:col>5</xdr:col>
      <xdr:colOff>571500</xdr:colOff>
      <xdr:row>18</xdr:row>
      <xdr:rowOff>122464</xdr:rowOff>
    </xdr:to>
    <xdr:cxnSp macro="">
      <xdr:nvCxnSpPr>
        <xdr:cNvPr id="6" name="Straight Arrow Connector 5"/>
        <xdr:cNvCxnSpPr/>
      </xdr:nvCxnSpPr>
      <xdr:spPr>
        <a:xfrm flipH="1">
          <a:off x="14601826" y="3637189"/>
          <a:ext cx="828674" cy="0"/>
        </a:xfrm>
        <a:prstGeom prst="straightConnector1">
          <a:avLst/>
        </a:prstGeom>
        <a:ln w="6032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13609</xdr:colOff>
      <xdr:row>40</xdr:row>
      <xdr:rowOff>122464</xdr:rowOff>
    </xdr:from>
    <xdr:to>
      <xdr:col>5</xdr:col>
      <xdr:colOff>585108</xdr:colOff>
      <xdr:row>40</xdr:row>
      <xdr:rowOff>122464</xdr:rowOff>
    </xdr:to>
    <xdr:cxnSp macro="">
      <xdr:nvCxnSpPr>
        <xdr:cNvPr id="7" name="Straight Arrow Connector 6"/>
        <xdr:cNvCxnSpPr/>
      </xdr:nvCxnSpPr>
      <xdr:spPr>
        <a:xfrm flipH="1">
          <a:off x="14615434" y="7894864"/>
          <a:ext cx="828674" cy="0"/>
        </a:xfrm>
        <a:prstGeom prst="straightConnector1">
          <a:avLst/>
        </a:prstGeom>
        <a:ln w="6032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369796</xdr:colOff>
      <xdr:row>36</xdr:row>
      <xdr:rowOff>44824</xdr:rowOff>
    </xdr:from>
    <xdr:to>
      <xdr:col>7</xdr:col>
      <xdr:colOff>257735</xdr:colOff>
      <xdr:row>41</xdr:row>
      <xdr:rowOff>33618</xdr:rowOff>
    </xdr:to>
    <xdr:cxnSp macro="">
      <xdr:nvCxnSpPr>
        <xdr:cNvPr id="8" name="Straight Arrow Connector 7"/>
        <xdr:cNvCxnSpPr/>
      </xdr:nvCxnSpPr>
      <xdr:spPr>
        <a:xfrm flipH="1" flipV="1">
          <a:off x="15962221" y="7026649"/>
          <a:ext cx="497539" cy="1007969"/>
        </a:xfrm>
        <a:prstGeom prst="straightConnector1">
          <a:avLst/>
        </a:prstGeom>
        <a:ln w="41275">
          <a:solidFill>
            <a:schemeClr val="tx1">
              <a:lumMod val="95000"/>
              <a:lumOff val="5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392206</xdr:colOff>
      <xdr:row>13</xdr:row>
      <xdr:rowOff>0</xdr:rowOff>
    </xdr:from>
    <xdr:to>
      <xdr:col>7</xdr:col>
      <xdr:colOff>286873</xdr:colOff>
      <xdr:row>19</xdr:row>
      <xdr:rowOff>129990</xdr:rowOff>
    </xdr:to>
    <xdr:cxnSp macro="">
      <xdr:nvCxnSpPr>
        <xdr:cNvPr id="9" name="Straight Arrow Connector 8"/>
        <xdr:cNvCxnSpPr/>
      </xdr:nvCxnSpPr>
      <xdr:spPr>
        <a:xfrm flipH="1" flipV="1">
          <a:off x="15984631" y="2524125"/>
          <a:ext cx="504267" cy="1349190"/>
        </a:xfrm>
        <a:prstGeom prst="straightConnector1">
          <a:avLst/>
        </a:prstGeom>
        <a:ln w="41275">
          <a:solidFill>
            <a:schemeClr val="tx1">
              <a:lumMod val="95000"/>
              <a:lumOff val="5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609600</xdr:colOff>
          <xdr:row>9</xdr:row>
          <xdr:rowOff>57150</xdr:rowOff>
        </xdr:from>
        <xdr:to>
          <xdr:col>6</xdr:col>
          <xdr:colOff>171450</xdr:colOff>
          <xdr:row>22</xdr:row>
          <xdr:rowOff>161925</xdr:rowOff>
        </xdr:to>
        <xdr:sp macro="" textlink="">
          <xdr:nvSpPr>
            <xdr:cNvPr id="68609" name="Object 1" hidden="1">
              <a:extLst>
                <a:ext uri="{63B3BB69-23CF-44E3-9099-C40C66FF867C}">
                  <a14:compatExt spid="_x0000_s6860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38100</xdr:colOff>
          <xdr:row>13</xdr:row>
          <xdr:rowOff>38100</xdr:rowOff>
        </xdr:from>
        <xdr:to>
          <xdr:col>2</xdr:col>
          <xdr:colOff>885825</xdr:colOff>
          <xdr:row>15</xdr:row>
          <xdr:rowOff>114300</xdr:rowOff>
        </xdr:to>
        <xdr:sp macro="" textlink="">
          <xdr:nvSpPr>
            <xdr:cNvPr id="16385" name="Object 1" hidden="1">
              <a:extLst>
                <a:ext uri="{63B3BB69-23CF-44E3-9099-C40C66FF867C}">
                  <a14:compatExt spid="_x0000_s1638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381000</xdr:colOff>
          <xdr:row>33</xdr:row>
          <xdr:rowOff>123825</xdr:rowOff>
        </xdr:from>
        <xdr:to>
          <xdr:col>1</xdr:col>
          <xdr:colOff>1304925</xdr:colOff>
          <xdr:row>35</xdr:row>
          <xdr:rowOff>57150</xdr:rowOff>
        </xdr:to>
        <xdr:sp macro="" textlink="">
          <xdr:nvSpPr>
            <xdr:cNvPr id="16386" name="Object 2" hidden="1">
              <a:extLst>
                <a:ext uri="{63B3BB69-23CF-44E3-9099-C40C66FF867C}">
                  <a14:compatExt spid="_x0000_s1638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352425</xdr:colOff>
          <xdr:row>43</xdr:row>
          <xdr:rowOff>133350</xdr:rowOff>
        </xdr:from>
        <xdr:to>
          <xdr:col>1</xdr:col>
          <xdr:colOff>1190625</xdr:colOff>
          <xdr:row>45</xdr:row>
          <xdr:rowOff>133350</xdr:rowOff>
        </xdr:to>
        <xdr:sp macro="" textlink="">
          <xdr:nvSpPr>
            <xdr:cNvPr id="16387" name="Object 3" hidden="1">
              <a:extLst>
                <a:ext uri="{63B3BB69-23CF-44E3-9099-C40C66FF867C}">
                  <a14:compatExt spid="_x0000_s16387"/>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0</xdr:col>
      <xdr:colOff>135947</xdr:colOff>
      <xdr:row>23</xdr:row>
      <xdr:rowOff>45029</xdr:rowOff>
    </xdr:from>
    <xdr:to>
      <xdr:col>7</xdr:col>
      <xdr:colOff>282249</xdr:colOff>
      <xdr:row>51</xdr:row>
      <xdr:rowOff>62347</xdr:rowOff>
    </xdr:to>
    <xdr:pic>
      <xdr:nvPicPr>
        <xdr:cNvPr id="2" name="Picture 1"/>
        <xdr:cNvPicPr>
          <a:picLocks noChangeAspect="1"/>
        </xdr:cNvPicPr>
      </xdr:nvPicPr>
      <xdr:blipFill>
        <a:blip xmlns:r="http://schemas.openxmlformats.org/officeDocument/2006/relationships" r:embed="rId1"/>
        <a:stretch>
          <a:fillRect/>
        </a:stretch>
      </xdr:blipFill>
      <xdr:spPr>
        <a:xfrm>
          <a:off x="135947" y="4255079"/>
          <a:ext cx="4423027" cy="455121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5</xdr:col>
      <xdr:colOff>0</xdr:colOff>
      <xdr:row>3</xdr:row>
      <xdr:rowOff>171450</xdr:rowOff>
    </xdr:from>
    <xdr:to>
      <xdr:col>5</xdr:col>
      <xdr:colOff>0</xdr:colOff>
      <xdr:row>5</xdr:row>
      <xdr:rowOff>0</xdr:rowOff>
    </xdr:to>
    <xdr:sp macro="" textlink="">
      <xdr:nvSpPr>
        <xdr:cNvPr id="2" name="Rectangle 10"/>
        <xdr:cNvSpPr>
          <a:spLocks noChangeArrowheads="1"/>
        </xdr:cNvSpPr>
      </xdr:nvSpPr>
      <xdr:spPr bwMode="auto">
        <a:xfrm>
          <a:off x="5876925" y="762000"/>
          <a:ext cx="0" cy="257175"/>
        </a:xfrm>
        <a:prstGeom prst="rect">
          <a:avLst/>
        </a:prstGeom>
        <a:solidFill>
          <a:srgbClr val="FF0000"/>
        </a:solidFill>
        <a:ln w="9525">
          <a:solidFill>
            <a:srgbClr val="000000"/>
          </a:solidFill>
          <a:miter lim="800000"/>
          <a:headEnd/>
          <a:tailEnd/>
        </a:ln>
      </xdr:spPr>
    </xdr:sp>
    <xdr:clientData/>
  </xdr:twoCellAnchor>
  <xdr:twoCellAnchor editAs="oneCell">
    <xdr:from>
      <xdr:col>0</xdr:col>
      <xdr:colOff>17624</xdr:colOff>
      <xdr:row>66</xdr:row>
      <xdr:rowOff>35118</xdr:rowOff>
    </xdr:from>
    <xdr:to>
      <xdr:col>4</xdr:col>
      <xdr:colOff>739588</xdr:colOff>
      <xdr:row>86</xdr:row>
      <xdr:rowOff>81484</xdr:rowOff>
    </xdr:to>
    <xdr:pic>
      <xdr:nvPicPr>
        <xdr:cNvPr id="3" name="Picture 2"/>
        <xdr:cNvPicPr>
          <a:picLocks noChangeAspect="1" noChangeArrowheads="1"/>
        </xdr:cNvPicPr>
      </xdr:nvPicPr>
      <xdr:blipFill>
        <a:blip xmlns:r="http://schemas.openxmlformats.org/officeDocument/2006/relationships" r:embed="rId1"/>
        <a:srcRect/>
        <a:stretch>
          <a:fillRect/>
        </a:stretch>
      </xdr:blipFill>
      <xdr:spPr bwMode="auto">
        <a:xfrm>
          <a:off x="17624" y="15006177"/>
          <a:ext cx="5764611" cy="4024453"/>
        </a:xfrm>
        <a:prstGeom prst="rect">
          <a:avLst/>
        </a:prstGeom>
        <a:noFill/>
      </xdr:spPr>
    </xdr:pic>
    <xdr:clientData/>
  </xdr:twoCellAnchor>
  <xdr:twoCellAnchor>
    <xdr:from>
      <xdr:col>0</xdr:col>
      <xdr:colOff>265814</xdr:colOff>
      <xdr:row>93</xdr:row>
      <xdr:rowOff>124619</xdr:rowOff>
    </xdr:from>
    <xdr:to>
      <xdr:col>1</xdr:col>
      <xdr:colOff>804168</xdr:colOff>
      <xdr:row>97</xdr:row>
      <xdr:rowOff>-1</xdr:rowOff>
    </xdr:to>
    <xdr:pic>
      <xdr:nvPicPr>
        <xdr:cNvPr id="4" name="Picture 16"/>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blip>
        <a:srcRect/>
        <a:stretch>
          <a:fillRect/>
        </a:stretch>
      </xdr:blipFill>
      <xdr:spPr bwMode="auto">
        <a:xfrm>
          <a:off x="265814" y="13402469"/>
          <a:ext cx="4643629" cy="551655"/>
        </a:xfrm>
        <a:prstGeom prst="rect">
          <a:avLst/>
        </a:prstGeom>
        <a:noFill/>
      </xdr:spPr>
    </xdr:pic>
    <xdr:clientData/>
  </xdr:twoCellAnchor>
  <xdr:twoCellAnchor editAs="oneCell">
    <xdr:from>
      <xdr:col>0</xdr:col>
      <xdr:colOff>66454</xdr:colOff>
      <xdr:row>139</xdr:row>
      <xdr:rowOff>68723</xdr:rowOff>
    </xdr:from>
    <xdr:to>
      <xdr:col>3</xdr:col>
      <xdr:colOff>134541</xdr:colOff>
      <xdr:row>149</xdr:row>
      <xdr:rowOff>78699</xdr:rowOff>
    </xdr:to>
    <xdr:pic>
      <xdr:nvPicPr>
        <xdr:cNvPr id="5" name="Picture 17"/>
        <xdr:cNvPicPr>
          <a:picLocks noChangeAspect="1" noChangeArrowheads="1"/>
        </xdr:cNvPicPr>
      </xdr:nvPicPr>
      <xdr:blipFill>
        <a:blip xmlns:r="http://schemas.openxmlformats.org/officeDocument/2006/relationships" r:embed="rId3"/>
        <a:srcRect/>
        <a:stretch>
          <a:fillRect/>
        </a:stretch>
      </xdr:blipFill>
      <xdr:spPr bwMode="auto">
        <a:xfrm>
          <a:off x="66454" y="21109448"/>
          <a:ext cx="7399852" cy="1629226"/>
        </a:xfrm>
        <a:prstGeom prst="rect">
          <a:avLst/>
        </a:prstGeom>
        <a:noFill/>
        <a:ln w="1">
          <a:noFill/>
          <a:miter lim="800000"/>
          <a:headEnd/>
          <a:tailEnd type="none" w="med" len="med"/>
        </a:ln>
        <a:effectLst/>
      </xdr:spPr>
    </xdr:pic>
    <xdr:clientData/>
  </xdr:twoCellAnchor>
  <xdr:twoCellAnchor editAs="oneCell">
    <xdr:from>
      <xdr:col>0</xdr:col>
      <xdr:colOff>22151</xdr:colOff>
      <xdr:row>99</xdr:row>
      <xdr:rowOff>144908</xdr:rowOff>
    </xdr:from>
    <xdr:to>
      <xdr:col>3</xdr:col>
      <xdr:colOff>133981</xdr:colOff>
      <xdr:row>110</xdr:row>
      <xdr:rowOff>82796</xdr:rowOff>
    </xdr:to>
    <xdr:pic>
      <xdr:nvPicPr>
        <xdr:cNvPr id="6" name="Picture 18"/>
        <xdr:cNvPicPr>
          <a:picLocks noChangeAspect="1" noChangeArrowheads="1"/>
        </xdr:cNvPicPr>
      </xdr:nvPicPr>
      <xdr:blipFill>
        <a:blip xmlns:r="http://schemas.openxmlformats.org/officeDocument/2006/relationships" r:embed="rId4"/>
        <a:srcRect/>
        <a:stretch>
          <a:fillRect/>
        </a:stretch>
      </xdr:blipFill>
      <xdr:spPr bwMode="auto">
        <a:xfrm>
          <a:off x="22151" y="14518133"/>
          <a:ext cx="7532633" cy="1719063"/>
        </a:xfrm>
        <a:prstGeom prst="rect">
          <a:avLst/>
        </a:prstGeom>
        <a:noFill/>
        <a:ln w="1">
          <a:noFill/>
          <a:miter lim="800000"/>
          <a:headEnd/>
          <a:tailEnd type="none" w="med" len="med"/>
        </a:ln>
        <a:effectLst/>
      </xdr:spPr>
    </xdr:pic>
    <xdr:clientData/>
  </xdr:twoCellAnchor>
  <xdr:twoCellAnchor editAs="oneCell">
    <xdr:from>
      <xdr:col>0</xdr:col>
      <xdr:colOff>51834</xdr:colOff>
      <xdr:row>125</xdr:row>
      <xdr:rowOff>99681</xdr:rowOff>
    </xdr:from>
    <xdr:to>
      <xdr:col>3</xdr:col>
      <xdr:colOff>134082</xdr:colOff>
      <xdr:row>136</xdr:row>
      <xdr:rowOff>68078</xdr:rowOff>
    </xdr:to>
    <xdr:pic>
      <xdr:nvPicPr>
        <xdr:cNvPr id="7" name="Picture 19"/>
        <xdr:cNvPicPr>
          <a:picLocks noChangeAspect="1" noChangeArrowheads="1"/>
        </xdr:cNvPicPr>
      </xdr:nvPicPr>
      <xdr:blipFill>
        <a:blip xmlns:r="http://schemas.openxmlformats.org/officeDocument/2006/relationships" r:embed="rId5"/>
        <a:srcRect/>
        <a:stretch>
          <a:fillRect/>
        </a:stretch>
      </xdr:blipFill>
      <xdr:spPr bwMode="auto">
        <a:xfrm>
          <a:off x="51834" y="18816306"/>
          <a:ext cx="7484001" cy="1806722"/>
        </a:xfrm>
        <a:prstGeom prst="rect">
          <a:avLst/>
        </a:prstGeom>
        <a:noFill/>
        <a:ln w="1">
          <a:noFill/>
          <a:miter lim="800000"/>
          <a:headEnd/>
          <a:tailEnd type="none" w="med" len="med"/>
        </a:ln>
        <a:effectLst/>
      </xdr:spPr>
    </xdr:pic>
    <xdr:clientData/>
  </xdr:twoCellAnchor>
  <xdr:twoCellAnchor editAs="oneCell">
    <xdr:from>
      <xdr:col>0</xdr:col>
      <xdr:colOff>0</xdr:colOff>
      <xdr:row>113</xdr:row>
      <xdr:rowOff>151666</xdr:rowOff>
    </xdr:from>
    <xdr:to>
      <xdr:col>6</xdr:col>
      <xdr:colOff>406513</xdr:colOff>
      <xdr:row>122</xdr:row>
      <xdr:rowOff>110757</xdr:rowOff>
    </xdr:to>
    <xdr:pic>
      <xdr:nvPicPr>
        <xdr:cNvPr id="8" name="Picture 4"/>
        <xdr:cNvPicPr>
          <a:picLocks noChangeAspect="1" noChangeArrowheads="1"/>
        </xdr:cNvPicPr>
      </xdr:nvPicPr>
      <xdr:blipFill>
        <a:blip xmlns:r="http://schemas.openxmlformats.org/officeDocument/2006/relationships" r:embed="rId6"/>
        <a:srcRect/>
        <a:stretch>
          <a:fillRect/>
        </a:stretch>
      </xdr:blipFill>
      <xdr:spPr bwMode="auto">
        <a:xfrm>
          <a:off x="0" y="16887091"/>
          <a:ext cx="9344690" cy="1416416"/>
        </a:xfrm>
        <a:prstGeom prst="rect">
          <a:avLst/>
        </a:prstGeom>
        <a:noFill/>
        <a:ln w="1">
          <a:noFill/>
          <a:miter lim="800000"/>
          <a:headEnd/>
          <a:tailEnd type="none" w="med" len="med"/>
        </a:ln>
        <a:effectLst/>
      </xdr:spPr>
    </xdr:pic>
    <xdr:clientData/>
  </xdr:twoCellAnchor>
  <xdr:twoCellAnchor>
    <xdr:from>
      <xdr:col>5</xdr:col>
      <xdr:colOff>66453</xdr:colOff>
      <xdr:row>72</xdr:row>
      <xdr:rowOff>99680</xdr:rowOff>
    </xdr:from>
    <xdr:to>
      <xdr:col>9</xdr:col>
      <xdr:colOff>815243</xdr:colOff>
      <xdr:row>75</xdr:row>
      <xdr:rowOff>163345</xdr:rowOff>
    </xdr:to>
    <xdr:pic>
      <xdr:nvPicPr>
        <xdr:cNvPr id="9" name="Picture 16"/>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blip>
        <a:srcRect/>
        <a:stretch>
          <a:fillRect/>
        </a:stretch>
      </xdr:blipFill>
      <xdr:spPr bwMode="auto">
        <a:xfrm>
          <a:off x="7686453" y="9281780"/>
          <a:ext cx="5282690" cy="549440"/>
        </a:xfrm>
        <a:prstGeom prst="rect">
          <a:avLst/>
        </a:prstGeom>
        <a:noFill/>
      </xdr:spPr>
    </xdr:pic>
    <xdr:clientData/>
  </xdr:twoCellAnchor>
  <xdr:twoCellAnchor>
    <xdr:from>
      <xdr:col>2</xdr:col>
      <xdr:colOff>638175</xdr:colOff>
      <xdr:row>65</xdr:row>
      <xdr:rowOff>0</xdr:rowOff>
    </xdr:from>
    <xdr:to>
      <xdr:col>11</xdr:col>
      <xdr:colOff>209550</xdr:colOff>
      <xdr:row>65</xdr:row>
      <xdr:rowOff>0</xdr:rowOff>
    </xdr:to>
    <xdr:pic>
      <xdr:nvPicPr>
        <xdr:cNvPr id="10" name="Picture 1"/>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629275" y="7858125"/>
          <a:ext cx="96774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824754</xdr:colOff>
      <xdr:row>2</xdr:row>
      <xdr:rowOff>8965</xdr:rowOff>
    </xdr:from>
    <xdr:to>
      <xdr:col>7</xdr:col>
      <xdr:colOff>281263</xdr:colOff>
      <xdr:row>7</xdr:row>
      <xdr:rowOff>179294</xdr:rowOff>
    </xdr:to>
    <xdr:pic>
      <xdr:nvPicPr>
        <xdr:cNvPr id="11" name="Picture 10"/>
        <xdr:cNvPicPr>
          <a:picLocks noChangeAspect="1"/>
        </xdr:cNvPicPr>
      </xdr:nvPicPr>
      <xdr:blipFill>
        <a:blip xmlns:r="http://schemas.openxmlformats.org/officeDocument/2006/relationships" r:embed="rId8"/>
        <a:stretch>
          <a:fillRect/>
        </a:stretch>
      </xdr:blipFill>
      <xdr:spPr>
        <a:xfrm>
          <a:off x="5997389" y="493059"/>
          <a:ext cx="2083168" cy="1120588"/>
        </a:xfrm>
        <a:prstGeom prst="rect">
          <a:avLst/>
        </a:prstGeom>
        <a:ln w="22225">
          <a:solidFill>
            <a:schemeClr val="tx1"/>
          </a:solidFill>
        </a:ln>
      </xdr:spPr>
    </xdr:pic>
    <xdr:clientData/>
  </xdr:twoCellAnchor>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19050</xdr:colOff>
          <xdr:row>1</xdr:row>
          <xdr:rowOff>133350</xdr:rowOff>
        </xdr:from>
        <xdr:to>
          <xdr:col>3</xdr:col>
          <xdr:colOff>133350</xdr:colOff>
          <xdr:row>1</xdr:row>
          <xdr:rowOff>485775</xdr:rowOff>
        </xdr:to>
        <xdr:sp macro="" textlink="">
          <xdr:nvSpPr>
            <xdr:cNvPr id="17409" name="Object 1" hidden="1">
              <a:extLst>
                <a:ext uri="{63B3BB69-23CF-44E3-9099-C40C66FF867C}">
                  <a14:compatExt spid="_x0000_s1740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xdr:oneCellAnchor>
    <xdr:from>
      <xdr:col>0</xdr:col>
      <xdr:colOff>447675</xdr:colOff>
      <xdr:row>7</xdr:row>
      <xdr:rowOff>28575</xdr:rowOff>
    </xdr:from>
    <xdr:ext cx="8479694" cy="800155"/>
    <xdr:sp macro="" textlink="">
      <xdr:nvSpPr>
        <xdr:cNvPr id="2" name="Text Box 1"/>
        <xdr:cNvSpPr txBox="1">
          <a:spLocks noChangeArrowheads="1"/>
        </xdr:cNvSpPr>
      </xdr:nvSpPr>
      <xdr:spPr bwMode="auto">
        <a:xfrm>
          <a:off x="447675" y="1538968"/>
          <a:ext cx="8479694" cy="800155"/>
        </a:xfrm>
        <a:prstGeom prst="rect">
          <a:avLst/>
        </a:prstGeom>
        <a:noFill/>
        <a:ln w="9525">
          <a:noFill/>
          <a:miter lim="800000"/>
          <a:headEnd/>
          <a:tailEnd/>
        </a:ln>
      </xdr:spPr>
      <xdr:txBody>
        <a:bodyPr wrap="none" lIns="100584" tIns="91440" rIns="0" bIns="0" anchor="t" upright="1">
          <a:spAutoFit/>
        </a:bodyPr>
        <a:lstStyle/>
        <a:p>
          <a:pPr algn="l" rtl="0">
            <a:defRPr sz="1000"/>
          </a:pPr>
          <a:r>
            <a:rPr lang="en-US" sz="4800" b="1" i="0" u="none" strike="noStrike" baseline="0">
              <a:solidFill>
                <a:srgbClr val="000000"/>
              </a:solidFill>
              <a:latin typeface="Arial"/>
              <a:cs typeface="Arial"/>
            </a:rPr>
            <a:t>DO NOT EDIT THIS SHEET!!!</a:t>
          </a:r>
        </a:p>
      </xdr:txBody>
    </xdr:sp>
    <xdr:clientData/>
  </xdr:oneCellAnchor>
</xdr:wsDr>
</file>

<file path=xl/drawings/drawing21.xml><?xml version="1.0" encoding="utf-8"?>
<xdr:wsDr xmlns:xdr="http://schemas.openxmlformats.org/drawingml/2006/spreadsheetDrawing" xmlns:a="http://schemas.openxmlformats.org/drawingml/2006/main">
  <xdr:twoCellAnchor>
    <xdr:from>
      <xdr:col>0</xdr:col>
      <xdr:colOff>57150</xdr:colOff>
      <xdr:row>0</xdr:row>
      <xdr:rowOff>66675</xdr:rowOff>
    </xdr:from>
    <xdr:to>
      <xdr:col>20</xdr:col>
      <xdr:colOff>142875</xdr:colOff>
      <xdr:row>23</xdr:row>
      <xdr:rowOff>66675</xdr:rowOff>
    </xdr:to>
    <xdr:sp macro="" textlink="">
      <xdr:nvSpPr>
        <xdr:cNvPr id="2" name="Rectangle 38"/>
        <xdr:cNvSpPr>
          <a:spLocks noChangeArrowheads="1"/>
        </xdr:cNvSpPr>
      </xdr:nvSpPr>
      <xdr:spPr bwMode="auto">
        <a:xfrm>
          <a:off x="57150" y="66675"/>
          <a:ext cx="8153400" cy="4381500"/>
        </a:xfrm>
        <a:prstGeom prst="rect">
          <a:avLst/>
        </a:prstGeom>
        <a:noFill/>
        <a:ln w="1714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3</xdr:col>
          <xdr:colOff>0</xdr:colOff>
          <xdr:row>3</xdr:row>
          <xdr:rowOff>9525</xdr:rowOff>
        </xdr:to>
        <xdr:sp macro="" textlink="">
          <xdr:nvSpPr>
            <xdr:cNvPr id="19457" name="Drop Down 1" hidden="1">
              <a:extLst>
                <a:ext uri="{63B3BB69-23CF-44E3-9099-C40C66FF867C}">
                  <a14:compatExt spid="_x0000_s19457"/>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3</xdr:col>
          <xdr:colOff>0</xdr:colOff>
          <xdr:row>7</xdr:row>
          <xdr:rowOff>0</xdr:rowOff>
        </xdr:to>
        <xdr:sp macro="" textlink="">
          <xdr:nvSpPr>
            <xdr:cNvPr id="19458" name="Drop Down 2" hidden="1">
              <a:extLst>
                <a:ext uri="{63B3BB69-23CF-44E3-9099-C40C66FF867C}">
                  <a14:compatExt spid="_x0000_s19458"/>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3</xdr:col>
          <xdr:colOff>0</xdr:colOff>
          <xdr:row>11</xdr:row>
          <xdr:rowOff>0</xdr:rowOff>
        </xdr:to>
        <xdr:sp macro="" textlink="">
          <xdr:nvSpPr>
            <xdr:cNvPr id="19459" name="Drop Down 3" hidden="1">
              <a:extLst>
                <a:ext uri="{63B3BB69-23CF-44E3-9099-C40C66FF867C}">
                  <a14:compatExt spid="_x0000_s19459"/>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3</xdr:col>
          <xdr:colOff>0</xdr:colOff>
          <xdr:row>15</xdr:row>
          <xdr:rowOff>0</xdr:rowOff>
        </xdr:to>
        <xdr:sp macro="" textlink="">
          <xdr:nvSpPr>
            <xdr:cNvPr id="19460" name="Drop Down 4" hidden="1">
              <a:extLst>
                <a:ext uri="{63B3BB69-23CF-44E3-9099-C40C66FF867C}">
                  <a14:compatExt spid="_x0000_s19460"/>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3</xdr:col>
          <xdr:colOff>0</xdr:colOff>
          <xdr:row>19</xdr:row>
          <xdr:rowOff>0</xdr:rowOff>
        </xdr:to>
        <xdr:sp macro="" textlink="">
          <xdr:nvSpPr>
            <xdr:cNvPr id="19461" name="Drop Down 5" hidden="1">
              <a:extLst>
                <a:ext uri="{63B3BB69-23CF-44E3-9099-C40C66FF867C}">
                  <a14:compatExt spid="_x0000_s19461"/>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xdr:row>
          <xdr:rowOff>0</xdr:rowOff>
        </xdr:from>
        <xdr:to>
          <xdr:col>7</xdr:col>
          <xdr:colOff>647700</xdr:colOff>
          <xdr:row>3</xdr:row>
          <xdr:rowOff>9525</xdr:rowOff>
        </xdr:to>
        <xdr:sp macro="" textlink="">
          <xdr:nvSpPr>
            <xdr:cNvPr id="19462" name="Drop Down 6" hidden="1">
              <a:extLst>
                <a:ext uri="{63B3BB69-23CF-44E3-9099-C40C66FF867C}">
                  <a14:compatExt spid="_x0000_s19462"/>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647700</xdr:colOff>
          <xdr:row>7</xdr:row>
          <xdr:rowOff>0</xdr:rowOff>
        </xdr:to>
        <xdr:sp macro="" textlink="">
          <xdr:nvSpPr>
            <xdr:cNvPr id="19463" name="Drop Down 7" hidden="1">
              <a:extLst>
                <a:ext uri="{63B3BB69-23CF-44E3-9099-C40C66FF867C}">
                  <a14:compatExt spid="_x0000_s19463"/>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647700</xdr:colOff>
          <xdr:row>11</xdr:row>
          <xdr:rowOff>0</xdr:rowOff>
        </xdr:to>
        <xdr:sp macro="" textlink="">
          <xdr:nvSpPr>
            <xdr:cNvPr id="19464" name="Drop Down 8" hidden="1">
              <a:extLst>
                <a:ext uri="{63B3BB69-23CF-44E3-9099-C40C66FF867C}">
                  <a14:compatExt spid="_x0000_s19464"/>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18</xdr:row>
          <xdr:rowOff>0</xdr:rowOff>
        </xdr:from>
        <xdr:to>
          <xdr:col>7</xdr:col>
          <xdr:colOff>647700</xdr:colOff>
          <xdr:row>19</xdr:row>
          <xdr:rowOff>0</xdr:rowOff>
        </xdr:to>
        <xdr:sp macro="" textlink="">
          <xdr:nvSpPr>
            <xdr:cNvPr id="19465" name="Drop Down 9" hidden="1">
              <a:extLst>
                <a:ext uri="{63B3BB69-23CF-44E3-9099-C40C66FF867C}">
                  <a14:compatExt spid="_x0000_s19465"/>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647700</xdr:colOff>
          <xdr:row>15</xdr:row>
          <xdr:rowOff>0</xdr:rowOff>
        </xdr:to>
        <xdr:sp macro="" textlink="">
          <xdr:nvSpPr>
            <xdr:cNvPr id="19466" name="Drop Down 10" hidden="1">
              <a:extLst>
                <a:ext uri="{63B3BB69-23CF-44E3-9099-C40C66FF867C}">
                  <a14:compatExt spid="_x0000_s19466"/>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xdr:row>
          <xdr:rowOff>0</xdr:rowOff>
        </xdr:from>
        <xdr:to>
          <xdr:col>12</xdr:col>
          <xdr:colOff>609600</xdr:colOff>
          <xdr:row>2</xdr:row>
          <xdr:rowOff>180975</xdr:rowOff>
        </xdr:to>
        <xdr:sp macro="" textlink="">
          <xdr:nvSpPr>
            <xdr:cNvPr id="19467" name="Drop Down 11" hidden="1">
              <a:extLst>
                <a:ext uri="{63B3BB69-23CF-44E3-9099-C40C66FF867C}">
                  <a14:compatExt spid="_x0000_s19467"/>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xdr:row>
          <xdr:rowOff>0</xdr:rowOff>
        </xdr:from>
        <xdr:to>
          <xdr:col>12</xdr:col>
          <xdr:colOff>647700</xdr:colOff>
          <xdr:row>3</xdr:row>
          <xdr:rowOff>9525</xdr:rowOff>
        </xdr:to>
        <xdr:sp macro="" textlink="">
          <xdr:nvSpPr>
            <xdr:cNvPr id="19468" name="Drop Down 12" hidden="1">
              <a:extLst>
                <a:ext uri="{63B3BB69-23CF-44E3-9099-C40C66FF867C}">
                  <a14:compatExt spid="_x0000_s19468"/>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6</xdr:row>
          <xdr:rowOff>0</xdr:rowOff>
        </xdr:from>
        <xdr:to>
          <xdr:col>18</xdr:col>
          <xdr:colOff>0</xdr:colOff>
          <xdr:row>7</xdr:row>
          <xdr:rowOff>0</xdr:rowOff>
        </xdr:to>
        <xdr:sp macro="" textlink="">
          <xdr:nvSpPr>
            <xdr:cNvPr id="19469" name="Drop Down 13" hidden="1">
              <a:extLst>
                <a:ext uri="{63B3BB69-23CF-44E3-9099-C40C66FF867C}">
                  <a14:compatExt spid="_x0000_s19469"/>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10</xdr:row>
          <xdr:rowOff>0</xdr:rowOff>
        </xdr:from>
        <xdr:to>
          <xdr:col>18</xdr:col>
          <xdr:colOff>0</xdr:colOff>
          <xdr:row>11</xdr:row>
          <xdr:rowOff>0</xdr:rowOff>
        </xdr:to>
        <xdr:sp macro="" textlink="">
          <xdr:nvSpPr>
            <xdr:cNvPr id="19470" name="Drop Down 14" hidden="1">
              <a:extLst>
                <a:ext uri="{63B3BB69-23CF-44E3-9099-C40C66FF867C}">
                  <a14:compatExt spid="_x0000_s19470"/>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3</xdr:col>
          <xdr:colOff>0</xdr:colOff>
          <xdr:row>4</xdr:row>
          <xdr:rowOff>0</xdr:rowOff>
        </xdr:to>
        <xdr:sp macro="" textlink="">
          <xdr:nvSpPr>
            <xdr:cNvPr id="19471" name="Drop Down 15" hidden="1">
              <a:extLst>
                <a:ext uri="{63B3BB69-23CF-44E3-9099-C40C66FF867C}">
                  <a14:compatExt spid="_x0000_s19471"/>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3</xdr:col>
          <xdr:colOff>0</xdr:colOff>
          <xdr:row>8</xdr:row>
          <xdr:rowOff>9525</xdr:rowOff>
        </xdr:to>
        <xdr:sp macro="" textlink="">
          <xdr:nvSpPr>
            <xdr:cNvPr id="19472" name="Drop Down 16" hidden="1">
              <a:extLst>
                <a:ext uri="{63B3BB69-23CF-44E3-9099-C40C66FF867C}">
                  <a14:compatExt spid="_x0000_s19472"/>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3</xdr:col>
          <xdr:colOff>0</xdr:colOff>
          <xdr:row>12</xdr:row>
          <xdr:rowOff>0</xdr:rowOff>
        </xdr:to>
        <xdr:sp macro="" textlink="">
          <xdr:nvSpPr>
            <xdr:cNvPr id="19473" name="Drop Down 17" hidden="1">
              <a:extLst>
                <a:ext uri="{63B3BB69-23CF-44E3-9099-C40C66FF867C}">
                  <a14:compatExt spid="_x0000_s19473"/>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3</xdr:col>
          <xdr:colOff>0</xdr:colOff>
          <xdr:row>16</xdr:row>
          <xdr:rowOff>0</xdr:rowOff>
        </xdr:to>
        <xdr:sp macro="" textlink="">
          <xdr:nvSpPr>
            <xdr:cNvPr id="19474" name="Drop Down 18" hidden="1">
              <a:extLst>
                <a:ext uri="{63B3BB69-23CF-44E3-9099-C40C66FF867C}">
                  <a14:compatExt spid="_x0000_s19474"/>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3</xdr:col>
          <xdr:colOff>0</xdr:colOff>
          <xdr:row>20</xdr:row>
          <xdr:rowOff>0</xdr:rowOff>
        </xdr:to>
        <xdr:sp macro="" textlink="">
          <xdr:nvSpPr>
            <xdr:cNvPr id="19475" name="Drop Down 19" hidden="1">
              <a:extLst>
                <a:ext uri="{63B3BB69-23CF-44E3-9099-C40C66FF867C}">
                  <a14:compatExt spid="_x0000_s19475"/>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xdr:row>
          <xdr:rowOff>0</xdr:rowOff>
        </xdr:from>
        <xdr:to>
          <xdr:col>7</xdr:col>
          <xdr:colOff>647700</xdr:colOff>
          <xdr:row>4</xdr:row>
          <xdr:rowOff>0</xdr:rowOff>
        </xdr:to>
        <xdr:sp macro="" textlink="">
          <xdr:nvSpPr>
            <xdr:cNvPr id="19476" name="Drop Down 20" hidden="1">
              <a:extLst>
                <a:ext uri="{63B3BB69-23CF-44E3-9099-C40C66FF867C}">
                  <a14:compatExt spid="_x0000_s19476"/>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647700</xdr:colOff>
          <xdr:row>8</xdr:row>
          <xdr:rowOff>9525</xdr:rowOff>
        </xdr:to>
        <xdr:sp macro="" textlink="">
          <xdr:nvSpPr>
            <xdr:cNvPr id="19477" name="Drop Down 21" hidden="1">
              <a:extLst>
                <a:ext uri="{63B3BB69-23CF-44E3-9099-C40C66FF867C}">
                  <a14:compatExt spid="_x0000_s19477"/>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647700</xdr:colOff>
          <xdr:row>12</xdr:row>
          <xdr:rowOff>0</xdr:rowOff>
        </xdr:to>
        <xdr:sp macro="" textlink="">
          <xdr:nvSpPr>
            <xdr:cNvPr id="19478" name="Drop Down 22" hidden="1">
              <a:extLst>
                <a:ext uri="{63B3BB69-23CF-44E3-9099-C40C66FF867C}">
                  <a14:compatExt spid="_x0000_s19478"/>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647700</xdr:colOff>
          <xdr:row>20</xdr:row>
          <xdr:rowOff>0</xdr:rowOff>
        </xdr:to>
        <xdr:sp macro="" textlink="">
          <xdr:nvSpPr>
            <xdr:cNvPr id="19479" name="Drop Down 23" hidden="1">
              <a:extLst>
                <a:ext uri="{63B3BB69-23CF-44E3-9099-C40C66FF867C}">
                  <a14:compatExt spid="_x0000_s19479"/>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647700</xdr:colOff>
          <xdr:row>16</xdr:row>
          <xdr:rowOff>0</xdr:rowOff>
        </xdr:to>
        <xdr:sp macro="" textlink="">
          <xdr:nvSpPr>
            <xdr:cNvPr id="19480" name="Drop Down 24" hidden="1">
              <a:extLst>
                <a:ext uri="{63B3BB69-23CF-44E3-9099-C40C66FF867C}">
                  <a14:compatExt spid="_x0000_s19480"/>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xdr:row>
          <xdr:rowOff>0</xdr:rowOff>
        </xdr:from>
        <xdr:to>
          <xdr:col>12</xdr:col>
          <xdr:colOff>647700</xdr:colOff>
          <xdr:row>4</xdr:row>
          <xdr:rowOff>0</xdr:rowOff>
        </xdr:to>
        <xdr:sp macro="" textlink="">
          <xdr:nvSpPr>
            <xdr:cNvPr id="19481" name="Drop Down 25" hidden="1">
              <a:extLst>
                <a:ext uri="{63B3BB69-23CF-44E3-9099-C40C66FF867C}">
                  <a14:compatExt spid="_x0000_s19481"/>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xdr:row>
          <xdr:rowOff>0</xdr:rowOff>
        </xdr:from>
        <xdr:to>
          <xdr:col>12</xdr:col>
          <xdr:colOff>647700</xdr:colOff>
          <xdr:row>8</xdr:row>
          <xdr:rowOff>9525</xdr:rowOff>
        </xdr:to>
        <xdr:sp macro="" textlink="">
          <xdr:nvSpPr>
            <xdr:cNvPr id="19482" name="Drop Down 26" hidden="1">
              <a:extLst>
                <a:ext uri="{63B3BB69-23CF-44E3-9099-C40C66FF867C}">
                  <a14:compatExt spid="_x0000_s19482"/>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xdr:row>
          <xdr:rowOff>0</xdr:rowOff>
        </xdr:from>
        <xdr:to>
          <xdr:col>12</xdr:col>
          <xdr:colOff>647700</xdr:colOff>
          <xdr:row>12</xdr:row>
          <xdr:rowOff>0</xdr:rowOff>
        </xdr:to>
        <xdr:sp macro="" textlink="">
          <xdr:nvSpPr>
            <xdr:cNvPr id="19483" name="Drop Down 27" hidden="1">
              <a:extLst>
                <a:ext uri="{63B3BB69-23CF-44E3-9099-C40C66FF867C}">
                  <a14:compatExt spid="_x0000_s19483"/>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xdr:row>
          <xdr:rowOff>0</xdr:rowOff>
        </xdr:from>
        <xdr:to>
          <xdr:col>12</xdr:col>
          <xdr:colOff>647700</xdr:colOff>
          <xdr:row>16</xdr:row>
          <xdr:rowOff>0</xdr:rowOff>
        </xdr:to>
        <xdr:sp macro="" textlink="">
          <xdr:nvSpPr>
            <xdr:cNvPr id="19484" name="Drop Down 28" hidden="1">
              <a:extLst>
                <a:ext uri="{63B3BB69-23CF-44E3-9099-C40C66FF867C}">
                  <a14:compatExt spid="_x0000_s19484"/>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19</xdr:row>
          <xdr:rowOff>0</xdr:rowOff>
        </xdr:from>
        <xdr:to>
          <xdr:col>12</xdr:col>
          <xdr:colOff>647700</xdr:colOff>
          <xdr:row>20</xdr:row>
          <xdr:rowOff>0</xdr:rowOff>
        </xdr:to>
        <xdr:sp macro="" textlink="">
          <xdr:nvSpPr>
            <xdr:cNvPr id="19485" name="Drop Down 29" hidden="1">
              <a:extLst>
                <a:ext uri="{63B3BB69-23CF-44E3-9099-C40C66FF867C}">
                  <a14:compatExt spid="_x0000_s19485"/>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7</xdr:row>
          <xdr:rowOff>0</xdr:rowOff>
        </xdr:from>
        <xdr:to>
          <xdr:col>18</xdr:col>
          <xdr:colOff>0</xdr:colOff>
          <xdr:row>8</xdr:row>
          <xdr:rowOff>9525</xdr:rowOff>
        </xdr:to>
        <xdr:sp macro="" textlink="">
          <xdr:nvSpPr>
            <xdr:cNvPr id="19486" name="Drop Down 30" hidden="1">
              <a:extLst>
                <a:ext uri="{63B3BB69-23CF-44E3-9099-C40C66FF867C}">
                  <a14:compatExt spid="_x0000_s19486"/>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11</xdr:row>
          <xdr:rowOff>0</xdr:rowOff>
        </xdr:from>
        <xdr:to>
          <xdr:col>18</xdr:col>
          <xdr:colOff>0</xdr:colOff>
          <xdr:row>12</xdr:row>
          <xdr:rowOff>0</xdr:rowOff>
        </xdr:to>
        <xdr:sp macro="" textlink="">
          <xdr:nvSpPr>
            <xdr:cNvPr id="19487" name="Drop Down 31" hidden="1">
              <a:extLst>
                <a:ext uri="{63B3BB69-23CF-44E3-9099-C40C66FF867C}">
                  <a14:compatExt spid="_x0000_s19487"/>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xdr:row>
          <xdr:rowOff>0</xdr:rowOff>
        </xdr:from>
        <xdr:to>
          <xdr:col>12</xdr:col>
          <xdr:colOff>647700</xdr:colOff>
          <xdr:row>7</xdr:row>
          <xdr:rowOff>0</xdr:rowOff>
        </xdr:to>
        <xdr:sp macro="" textlink="">
          <xdr:nvSpPr>
            <xdr:cNvPr id="19488" name="Drop Down 32" hidden="1">
              <a:extLst>
                <a:ext uri="{63B3BB69-23CF-44E3-9099-C40C66FF867C}">
                  <a14:compatExt spid="_x0000_s19488"/>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xdr:row>
          <xdr:rowOff>0</xdr:rowOff>
        </xdr:from>
        <xdr:to>
          <xdr:col>12</xdr:col>
          <xdr:colOff>647700</xdr:colOff>
          <xdr:row>11</xdr:row>
          <xdr:rowOff>0</xdr:rowOff>
        </xdr:to>
        <xdr:sp macro="" textlink="">
          <xdr:nvSpPr>
            <xdr:cNvPr id="19489" name="Drop Down 33" hidden="1">
              <a:extLst>
                <a:ext uri="{63B3BB69-23CF-44E3-9099-C40C66FF867C}">
                  <a14:compatExt spid="_x0000_s19489"/>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xdr:row>
          <xdr:rowOff>0</xdr:rowOff>
        </xdr:from>
        <xdr:to>
          <xdr:col>12</xdr:col>
          <xdr:colOff>647700</xdr:colOff>
          <xdr:row>15</xdr:row>
          <xdr:rowOff>0</xdr:rowOff>
        </xdr:to>
        <xdr:sp macro="" textlink="">
          <xdr:nvSpPr>
            <xdr:cNvPr id="19490" name="Drop Down 34" hidden="1">
              <a:extLst>
                <a:ext uri="{63B3BB69-23CF-44E3-9099-C40C66FF867C}">
                  <a14:compatExt spid="_x0000_s19490"/>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18</xdr:row>
          <xdr:rowOff>0</xdr:rowOff>
        </xdr:from>
        <xdr:to>
          <xdr:col>12</xdr:col>
          <xdr:colOff>647700</xdr:colOff>
          <xdr:row>19</xdr:row>
          <xdr:rowOff>0</xdr:rowOff>
        </xdr:to>
        <xdr:sp macro="" textlink="">
          <xdr:nvSpPr>
            <xdr:cNvPr id="19491" name="Drop Down 35" hidden="1">
              <a:extLst>
                <a:ext uri="{63B3BB69-23CF-44E3-9099-C40C66FF867C}">
                  <a14:compatExt spid="_x0000_s19491"/>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3</xdr:row>
          <xdr:rowOff>0</xdr:rowOff>
        </xdr:from>
        <xdr:to>
          <xdr:col>18</xdr:col>
          <xdr:colOff>0</xdr:colOff>
          <xdr:row>4</xdr:row>
          <xdr:rowOff>0</xdr:rowOff>
        </xdr:to>
        <xdr:sp macro="" textlink="">
          <xdr:nvSpPr>
            <xdr:cNvPr id="19492" name="Drop Down 36" hidden="1">
              <a:extLst>
                <a:ext uri="{63B3BB69-23CF-44E3-9099-C40C66FF867C}">
                  <a14:compatExt spid="_x0000_s19492"/>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2</xdr:row>
          <xdr:rowOff>0</xdr:rowOff>
        </xdr:from>
        <xdr:to>
          <xdr:col>18</xdr:col>
          <xdr:colOff>0</xdr:colOff>
          <xdr:row>3</xdr:row>
          <xdr:rowOff>9525</xdr:rowOff>
        </xdr:to>
        <xdr:sp macro="" textlink="">
          <xdr:nvSpPr>
            <xdr:cNvPr id="19493" name="Drop Down 37" hidden="1">
              <a:extLst>
                <a:ext uri="{63B3BB69-23CF-44E3-9099-C40C66FF867C}">
                  <a14:compatExt spid="_x0000_s19493"/>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xdr:twoCellAnchor>
    <xdr:from>
      <xdr:col>7</xdr:col>
      <xdr:colOff>13607</xdr:colOff>
      <xdr:row>13</xdr:row>
      <xdr:rowOff>1</xdr:rowOff>
    </xdr:from>
    <xdr:to>
      <xdr:col>8</xdr:col>
      <xdr:colOff>3402</xdr:colOff>
      <xdr:row>18</xdr:row>
      <xdr:rowOff>0</xdr:rowOff>
    </xdr:to>
    <xdr:sp macro="[0]!Chart_Updater" textlink="">
      <xdr:nvSpPr>
        <xdr:cNvPr id="9" name="Rectangle 8"/>
        <xdr:cNvSpPr/>
      </xdr:nvSpPr>
      <xdr:spPr>
        <a:xfrm>
          <a:off x="3621306" y="2756351"/>
          <a:ext cx="571410" cy="969357"/>
        </a:xfrm>
        <a:prstGeom prst="rect">
          <a:avLst/>
        </a:prstGeom>
        <a:solidFill>
          <a:srgbClr val="02AAEF"/>
        </a:solidFill>
      </xdr:spPr>
      <xdr:style>
        <a:lnRef idx="0">
          <a:schemeClr val="dk1"/>
        </a:lnRef>
        <a:fillRef idx="3">
          <a:schemeClr val="dk1"/>
        </a:fillRef>
        <a:effectRef idx="3">
          <a:schemeClr val="dk1"/>
        </a:effectRef>
        <a:fontRef idx="minor">
          <a:schemeClr val="lt1"/>
        </a:fontRef>
      </xdr:style>
      <xdr:txBody>
        <a:bodyPr vertOverflow="clip" horzOverflow="clip" lIns="36000" tIns="36000" rIns="36000" bIns="36000" rtlCol="0" anchor="ctr"/>
        <a:lstStyle/>
        <a:p>
          <a:pPr algn="ctr"/>
          <a:r>
            <a:rPr lang="en-GB" sz="1100" b="1">
              <a:latin typeface="Trebuchet MS" pitchFamily="34" charset="0"/>
            </a:rPr>
            <a:t>Update Chart</a:t>
          </a:r>
        </a:p>
      </xdr:txBody>
    </xdr:sp>
    <xdr:clientData/>
  </xdr:twoCellAnchor>
  <xdr:twoCellAnchor>
    <xdr:from>
      <xdr:col>6</xdr:col>
      <xdr:colOff>522611</xdr:colOff>
      <xdr:row>22</xdr:row>
      <xdr:rowOff>8429</xdr:rowOff>
    </xdr:from>
    <xdr:to>
      <xdr:col>8</xdr:col>
      <xdr:colOff>3</xdr:colOff>
      <xdr:row>23</xdr:row>
      <xdr:rowOff>190502</xdr:rowOff>
    </xdr:to>
    <xdr:cxnSp macro="">
      <xdr:nvCxnSpPr>
        <xdr:cNvPr id="14" name="Straight Arrow Connector 13"/>
        <xdr:cNvCxnSpPr/>
      </xdr:nvCxnSpPr>
      <xdr:spPr>
        <a:xfrm flipH="1" flipV="1">
          <a:off x="3548695" y="4509624"/>
          <a:ext cx="640622" cy="375944"/>
        </a:xfrm>
        <a:prstGeom prst="straightConnector1">
          <a:avLst/>
        </a:prstGeom>
        <a:ln w="12700">
          <a:solidFill>
            <a:srgbClr val="02AAEF"/>
          </a:solidFill>
          <a:tailEnd type="stealth" w="med" len="med"/>
        </a:ln>
      </xdr:spPr>
      <xdr:style>
        <a:lnRef idx="1">
          <a:schemeClr val="accent1"/>
        </a:lnRef>
        <a:fillRef idx="0">
          <a:schemeClr val="accent1"/>
        </a:fillRef>
        <a:effectRef idx="0">
          <a:schemeClr val="accent1"/>
        </a:effectRef>
        <a:fontRef idx="minor">
          <a:schemeClr val="tx1"/>
        </a:fontRef>
      </xdr:style>
    </xdr:cxnSp>
    <xdr:clientData fPrintsWithSheet="0"/>
  </xdr:twoCellAnchor>
  <xdr:twoCellAnchor>
    <xdr:from>
      <xdr:col>25</xdr:col>
      <xdr:colOff>257176</xdr:colOff>
      <xdr:row>27</xdr:row>
      <xdr:rowOff>2</xdr:rowOff>
    </xdr:from>
    <xdr:to>
      <xdr:col>26</xdr:col>
      <xdr:colOff>0</xdr:colOff>
      <xdr:row>28</xdr:row>
      <xdr:rowOff>190500</xdr:rowOff>
    </xdr:to>
    <xdr:cxnSp macro="">
      <xdr:nvCxnSpPr>
        <xdr:cNvPr id="26" name="Straight Arrow Connector 25"/>
        <xdr:cNvCxnSpPr/>
      </xdr:nvCxnSpPr>
      <xdr:spPr>
        <a:xfrm flipH="1" flipV="1">
          <a:off x="13217038" y="5380894"/>
          <a:ext cx="323116" cy="380998"/>
        </a:xfrm>
        <a:prstGeom prst="straightConnector1">
          <a:avLst/>
        </a:prstGeom>
        <a:ln w="12700">
          <a:solidFill>
            <a:srgbClr val="02AAEF"/>
          </a:solidFill>
          <a:tailEnd type="stealth"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22</xdr:row>
      <xdr:rowOff>0</xdr:rowOff>
    </xdr:from>
    <xdr:to>
      <xdr:col>1</xdr:col>
      <xdr:colOff>488894</xdr:colOff>
      <xdr:row>23</xdr:row>
      <xdr:rowOff>190500</xdr:rowOff>
    </xdr:to>
    <xdr:cxnSp macro="">
      <xdr:nvCxnSpPr>
        <xdr:cNvPr id="27" name="Straight Arrow Connector 26"/>
        <xdr:cNvCxnSpPr/>
      </xdr:nvCxnSpPr>
      <xdr:spPr>
        <a:xfrm flipV="1">
          <a:off x="118009" y="4501195"/>
          <a:ext cx="488894" cy="384371"/>
        </a:xfrm>
        <a:prstGeom prst="straightConnector1">
          <a:avLst/>
        </a:prstGeom>
        <a:ln w="12700">
          <a:solidFill>
            <a:srgbClr val="02AAEF"/>
          </a:solidFill>
          <a:tailEnd type="stealth"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26</xdr:row>
      <xdr:rowOff>180978</xdr:rowOff>
    </xdr:from>
    <xdr:to>
      <xdr:col>19</xdr:col>
      <xdr:colOff>466725</xdr:colOff>
      <xdr:row>28</xdr:row>
      <xdr:rowOff>190500</xdr:rowOff>
    </xdr:to>
    <xdr:cxnSp macro="">
      <xdr:nvCxnSpPr>
        <xdr:cNvPr id="28" name="Straight Arrow Connector 27"/>
        <xdr:cNvCxnSpPr/>
      </xdr:nvCxnSpPr>
      <xdr:spPr>
        <a:xfrm flipV="1">
          <a:off x="9478108" y="5371370"/>
          <a:ext cx="466725" cy="390522"/>
        </a:xfrm>
        <a:prstGeom prst="straightConnector1">
          <a:avLst/>
        </a:prstGeom>
        <a:ln w="12700">
          <a:solidFill>
            <a:srgbClr val="02AAEF"/>
          </a:solidFill>
          <a:tailEnd type="stealth" w="med" len="med"/>
        </a:ln>
      </xdr:spPr>
      <xdr:style>
        <a:lnRef idx="1">
          <a:schemeClr val="accent1"/>
        </a:lnRef>
        <a:fillRef idx="0">
          <a:schemeClr val="accent1"/>
        </a:fillRef>
        <a:effectRef idx="0">
          <a:schemeClr val="accent1"/>
        </a:effectRef>
        <a:fontRef idx="minor">
          <a:schemeClr val="tx1"/>
        </a:fontRef>
      </xdr:style>
    </xdr:cxnSp>
    <xdr:clientData fPrintsWithSheet="0"/>
  </xdr:twoCellAnchor>
  <xdr:twoCellAnchor>
    <xdr:from>
      <xdr:col>15</xdr:col>
      <xdr:colOff>247652</xdr:colOff>
      <xdr:row>18</xdr:row>
      <xdr:rowOff>190500</xdr:rowOff>
    </xdr:from>
    <xdr:to>
      <xdr:col>16</xdr:col>
      <xdr:colOff>0</xdr:colOff>
      <xdr:row>21</xdr:row>
      <xdr:rowOff>9525</xdr:rowOff>
    </xdr:to>
    <xdr:cxnSp macro="">
      <xdr:nvCxnSpPr>
        <xdr:cNvPr id="29" name="Straight Arrow Connector 28"/>
        <xdr:cNvCxnSpPr/>
      </xdr:nvCxnSpPr>
      <xdr:spPr>
        <a:xfrm flipH="1">
          <a:off x="8486044" y="3856892"/>
          <a:ext cx="332641" cy="390525"/>
        </a:xfrm>
        <a:prstGeom prst="straightConnector1">
          <a:avLst/>
        </a:prstGeom>
        <a:ln w="12700">
          <a:solidFill>
            <a:srgbClr val="02AAEF"/>
          </a:solidFill>
          <a:tailEnd type="stealth" w="med" len="med"/>
        </a:ln>
      </xdr:spPr>
      <xdr:style>
        <a:lnRef idx="1">
          <a:schemeClr val="accent1"/>
        </a:lnRef>
        <a:fillRef idx="0">
          <a:schemeClr val="accent1"/>
        </a:fillRef>
        <a:effectRef idx="0">
          <a:schemeClr val="accent1"/>
        </a:effectRef>
        <a:fontRef idx="minor">
          <a:schemeClr val="tx1"/>
        </a:fontRef>
      </xdr:style>
    </xdr:cxnSp>
    <xdr:clientData fPrintsWithSheet="0"/>
  </xdr:twoCellAnchor>
  <xdr:twoCellAnchor>
    <xdr:from>
      <xdr:col>10</xdr:col>
      <xdr:colOff>66675</xdr:colOff>
      <xdr:row>18</xdr:row>
      <xdr:rowOff>0</xdr:rowOff>
    </xdr:from>
    <xdr:to>
      <xdr:col>10</xdr:col>
      <xdr:colOff>361950</xdr:colOff>
      <xdr:row>21</xdr:row>
      <xdr:rowOff>9525</xdr:rowOff>
    </xdr:to>
    <xdr:cxnSp macro="">
      <xdr:nvCxnSpPr>
        <xdr:cNvPr id="30" name="Straight Arrow Connector 29"/>
        <xdr:cNvCxnSpPr/>
      </xdr:nvCxnSpPr>
      <xdr:spPr>
        <a:xfrm flipH="1">
          <a:off x="5410200" y="3667125"/>
          <a:ext cx="295275" cy="581025"/>
        </a:xfrm>
        <a:prstGeom prst="straightConnector1">
          <a:avLst/>
        </a:prstGeom>
        <a:ln w="12700">
          <a:solidFill>
            <a:srgbClr val="02AAEF"/>
          </a:solidFill>
          <a:tailEnd type="stealth" w="med" len="med"/>
        </a:ln>
      </xdr:spPr>
      <xdr:style>
        <a:lnRef idx="1">
          <a:schemeClr val="accent1"/>
        </a:lnRef>
        <a:fillRef idx="0">
          <a:schemeClr val="accent1"/>
        </a:fillRef>
        <a:effectRef idx="0">
          <a:schemeClr val="accent1"/>
        </a:effectRef>
        <a:fontRef idx="minor">
          <a:schemeClr val="tx1"/>
        </a:fontRef>
      </xdr:style>
    </xdr:cxnSp>
    <xdr:clientData fPrintsWithSheet="0"/>
  </xdr:twoCellAnchor>
  <xdr:twoCellAnchor>
    <xdr:from>
      <xdr:col>25</xdr:col>
      <xdr:colOff>238125</xdr:colOff>
      <xdr:row>13</xdr:row>
      <xdr:rowOff>190500</xdr:rowOff>
    </xdr:from>
    <xdr:to>
      <xdr:col>26</xdr:col>
      <xdr:colOff>0</xdr:colOff>
      <xdr:row>16</xdr:row>
      <xdr:rowOff>19050</xdr:rowOff>
    </xdr:to>
    <xdr:cxnSp macro="">
      <xdr:nvCxnSpPr>
        <xdr:cNvPr id="32" name="Straight Arrow Connector 31"/>
        <xdr:cNvCxnSpPr/>
      </xdr:nvCxnSpPr>
      <xdr:spPr>
        <a:xfrm flipH="1">
          <a:off x="13197987" y="2904392"/>
          <a:ext cx="342167" cy="400050"/>
        </a:xfrm>
        <a:prstGeom prst="straightConnector1">
          <a:avLst/>
        </a:prstGeom>
        <a:ln w="12700">
          <a:solidFill>
            <a:srgbClr val="02AAEF"/>
          </a:solidFill>
          <a:tailEnd type="stealth"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12</xdr:row>
      <xdr:rowOff>190500</xdr:rowOff>
    </xdr:from>
    <xdr:to>
      <xdr:col>20</xdr:col>
      <xdr:colOff>733</xdr:colOff>
      <xdr:row>15</xdr:row>
      <xdr:rowOff>190500</xdr:rowOff>
    </xdr:to>
    <xdr:cxnSp macro="">
      <xdr:nvCxnSpPr>
        <xdr:cNvPr id="33" name="Straight Arrow Connector 32"/>
        <xdr:cNvCxnSpPr/>
      </xdr:nvCxnSpPr>
      <xdr:spPr>
        <a:xfrm>
          <a:off x="9478108" y="2713892"/>
          <a:ext cx="581025" cy="571500"/>
        </a:xfrm>
        <a:prstGeom prst="straightConnector1">
          <a:avLst/>
        </a:prstGeom>
        <a:ln w="12700">
          <a:solidFill>
            <a:srgbClr val="02AAEF"/>
          </a:solidFill>
          <a:tailEnd type="stealth" w="med" len="med"/>
        </a:ln>
      </xdr:spPr>
      <xdr:style>
        <a:lnRef idx="1">
          <a:schemeClr val="accent1"/>
        </a:lnRef>
        <a:fillRef idx="0">
          <a:schemeClr val="accent1"/>
        </a:fillRef>
        <a:effectRef idx="0">
          <a:schemeClr val="accent1"/>
        </a:effectRef>
        <a:fontRef idx="minor">
          <a:schemeClr val="tx1"/>
        </a:fontRef>
      </xdr:style>
    </xdr:cxnSp>
    <xdr:clientData fPrintsWithSheet="0"/>
  </xdr:twoCellAnchor>
  <xdr:twoCellAnchor>
    <xdr:from>
      <xdr:col>18</xdr:col>
      <xdr:colOff>89298</xdr:colOff>
      <xdr:row>20</xdr:row>
      <xdr:rowOff>79131</xdr:rowOff>
    </xdr:from>
    <xdr:to>
      <xdr:col>19</xdr:col>
      <xdr:colOff>1</xdr:colOff>
      <xdr:row>21</xdr:row>
      <xdr:rowOff>81088</xdr:rowOff>
    </xdr:to>
    <xdr:cxnSp macro="">
      <xdr:nvCxnSpPr>
        <xdr:cNvPr id="34" name="Straight Arrow Connector 33"/>
        <xdr:cNvCxnSpPr>
          <a:endCxn id="3" idx="6"/>
        </xdr:cNvCxnSpPr>
      </xdr:nvCxnSpPr>
      <xdr:spPr>
        <a:xfrm flipH="1">
          <a:off x="9369851" y="4192582"/>
          <a:ext cx="129862" cy="195829"/>
        </a:xfrm>
        <a:prstGeom prst="straightConnector1">
          <a:avLst/>
        </a:prstGeom>
        <a:ln w="12700">
          <a:solidFill>
            <a:srgbClr val="02AAEF"/>
          </a:solidFill>
          <a:tailEnd type="stealth" w="med" len="med"/>
        </a:ln>
      </xdr:spPr>
      <xdr:style>
        <a:lnRef idx="1">
          <a:schemeClr val="accent1"/>
        </a:lnRef>
        <a:fillRef idx="0">
          <a:schemeClr val="accent1"/>
        </a:fillRef>
        <a:effectRef idx="0">
          <a:schemeClr val="accent1"/>
        </a:effectRef>
        <a:fontRef idx="minor">
          <a:schemeClr val="tx1"/>
        </a:fontRef>
      </xdr:style>
    </xdr:cxnSp>
    <xdr:clientData fPrintsWithSheet="0"/>
  </xdr:twoCellAnchor>
  <mc:AlternateContent xmlns:mc="http://schemas.openxmlformats.org/markup-compatibility/2006">
    <mc:Choice xmlns:a14="http://schemas.microsoft.com/office/drawing/2010/main" Requires="a14">
      <xdr:twoCellAnchor editAs="oneCell">
        <xdr:from>
          <xdr:col>13</xdr:col>
          <xdr:colOff>19050</xdr:colOff>
          <xdr:row>8</xdr:row>
          <xdr:rowOff>19050</xdr:rowOff>
        </xdr:from>
        <xdr:to>
          <xdr:col>13</xdr:col>
          <xdr:colOff>571500</xdr:colOff>
          <xdr:row>8</xdr:row>
          <xdr:rowOff>180975</xdr:rowOff>
        </xdr:to>
        <xdr:sp macro="" textlink="">
          <xdr:nvSpPr>
            <xdr:cNvPr id="2071" name="Scroll Bar 23" hidden="1">
              <a:extLst>
                <a:ext uri="{63B3BB69-23CF-44E3-9099-C40C66FF867C}">
                  <a14:compatExt spid="_x0000_s2071"/>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1</xdr:col>
      <xdr:colOff>9072</xdr:colOff>
      <xdr:row>0</xdr:row>
      <xdr:rowOff>284844</xdr:rowOff>
    </xdr:from>
    <xdr:to>
      <xdr:col>4</xdr:col>
      <xdr:colOff>232901</xdr:colOff>
      <xdr:row>1</xdr:row>
      <xdr:rowOff>147058</xdr:rowOff>
    </xdr:to>
    <xdr:sp macro="[0]!Duct_Deleter" textlink="">
      <xdr:nvSpPr>
        <xdr:cNvPr id="38" name="Rectangle 37"/>
        <xdr:cNvSpPr/>
      </xdr:nvSpPr>
      <xdr:spPr>
        <a:xfrm>
          <a:off x="128135" y="284844"/>
          <a:ext cx="1980000" cy="219402"/>
        </a:xfrm>
        <a:prstGeom prst="rect">
          <a:avLst/>
        </a:prstGeom>
        <a:solidFill>
          <a:srgbClr val="000066"/>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l"/>
          <a:r>
            <a:rPr lang="en-GB" sz="1000" b="1">
              <a:latin typeface="Trebuchet MS" pitchFamily="34" charset="0"/>
            </a:rPr>
            <a:t>Delete Duct Information Only</a:t>
          </a:r>
        </a:p>
      </xdr:txBody>
    </xdr:sp>
    <xdr:clientData fPrintsWithSheet="0"/>
  </xdr:twoCellAnchor>
  <xdr:twoCellAnchor>
    <xdr:from>
      <xdr:col>1</xdr:col>
      <xdr:colOff>9072</xdr:colOff>
      <xdr:row>1</xdr:row>
      <xdr:rowOff>197757</xdr:rowOff>
    </xdr:from>
    <xdr:to>
      <xdr:col>4</xdr:col>
      <xdr:colOff>232901</xdr:colOff>
      <xdr:row>2</xdr:row>
      <xdr:rowOff>150686</xdr:rowOff>
    </xdr:to>
    <xdr:sp macro="[0]!Deleter" textlink="">
      <xdr:nvSpPr>
        <xdr:cNvPr id="71" name="Rectangle 70"/>
        <xdr:cNvSpPr/>
      </xdr:nvSpPr>
      <xdr:spPr>
        <a:xfrm>
          <a:off x="128135" y="554945"/>
          <a:ext cx="1980000" cy="220819"/>
        </a:xfrm>
        <a:prstGeom prst="rect">
          <a:avLst/>
        </a:prstGeom>
        <a:solidFill>
          <a:srgbClr val="C00000"/>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l"/>
          <a:r>
            <a:rPr lang="en-GB" sz="1000" b="1">
              <a:latin typeface="Trebuchet MS" pitchFamily="34" charset="0"/>
            </a:rPr>
            <a:t>Clear Sheet of all Information</a:t>
          </a:r>
        </a:p>
      </xdr:txBody>
    </xdr:sp>
    <xdr:clientData fPrintsWithSheet="0"/>
  </xdr:twoCellAnchor>
  <xdr:twoCellAnchor>
    <xdr:from>
      <xdr:col>1</xdr:col>
      <xdr:colOff>9072</xdr:colOff>
      <xdr:row>0</xdr:row>
      <xdr:rowOff>27214</xdr:rowOff>
    </xdr:from>
    <xdr:to>
      <xdr:col>4</xdr:col>
      <xdr:colOff>232901</xdr:colOff>
      <xdr:row>0</xdr:row>
      <xdr:rowOff>243214</xdr:rowOff>
    </xdr:to>
    <xdr:sp macro="[0]!_xlnm.Auto_Open" textlink="">
      <xdr:nvSpPr>
        <xdr:cNvPr id="46" name="Rectangle 45"/>
        <xdr:cNvSpPr/>
      </xdr:nvSpPr>
      <xdr:spPr>
        <a:xfrm>
          <a:off x="128135" y="27214"/>
          <a:ext cx="1980000" cy="216000"/>
        </a:xfrm>
        <a:prstGeom prst="rect">
          <a:avLst/>
        </a:prstGeom>
        <a:solidFill>
          <a:schemeClr val="accent6">
            <a:lumMod val="50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l"/>
          <a:r>
            <a:rPr lang="en-GB" sz="1000" b="1">
              <a:latin typeface="Trebuchet MS" pitchFamily="34" charset="0"/>
            </a:rPr>
            <a:t>Refit to Screen</a:t>
          </a:r>
        </a:p>
      </xdr:txBody>
    </xdr:sp>
    <xdr:clientData fPrintsWithSheet="0"/>
  </xdr:twoCellAnchor>
  <xdr:twoCellAnchor>
    <xdr:from>
      <xdr:col>16</xdr:col>
      <xdr:colOff>128984</xdr:colOff>
      <xdr:row>19</xdr:row>
      <xdr:rowOff>69453</xdr:rowOff>
    </xdr:from>
    <xdr:to>
      <xdr:col>18</xdr:col>
      <xdr:colOff>89298</xdr:colOff>
      <xdr:row>23</xdr:row>
      <xdr:rowOff>92722</xdr:rowOff>
    </xdr:to>
    <xdr:sp macro="" textlink="">
      <xdr:nvSpPr>
        <xdr:cNvPr id="3" name="Oval 2"/>
        <xdr:cNvSpPr/>
      </xdr:nvSpPr>
      <xdr:spPr>
        <a:xfrm>
          <a:off x="8971219" y="3989033"/>
          <a:ext cx="398632" cy="798755"/>
        </a:xfrm>
        <a:prstGeom prst="ellipse">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219159</xdr:colOff>
      <xdr:row>18</xdr:row>
      <xdr:rowOff>25288</xdr:rowOff>
    </xdr:from>
    <xdr:to>
      <xdr:col>6</xdr:col>
      <xdr:colOff>556328</xdr:colOff>
      <xdr:row>20</xdr:row>
      <xdr:rowOff>177014</xdr:rowOff>
    </xdr:to>
    <xdr:cxnSp macro="">
      <xdr:nvCxnSpPr>
        <xdr:cNvPr id="51" name="Straight Arrow Connector 50"/>
        <xdr:cNvCxnSpPr/>
      </xdr:nvCxnSpPr>
      <xdr:spPr>
        <a:xfrm>
          <a:off x="3245243" y="3750996"/>
          <a:ext cx="337169" cy="539469"/>
        </a:xfrm>
        <a:prstGeom prst="straightConnector1">
          <a:avLst/>
        </a:prstGeom>
        <a:ln w="12700">
          <a:solidFill>
            <a:srgbClr val="02AAEF"/>
          </a:solidFill>
          <a:tailEnd type="stealth" w="med" len="med"/>
        </a:ln>
      </xdr:spPr>
      <xdr:style>
        <a:lnRef idx="1">
          <a:schemeClr val="accent1"/>
        </a:lnRef>
        <a:fillRef idx="0">
          <a:schemeClr val="accent1"/>
        </a:fillRef>
        <a:effectRef idx="0">
          <a:schemeClr val="accent1"/>
        </a:effectRef>
        <a:fontRef idx="minor">
          <a:schemeClr val="tx1"/>
        </a:fontRef>
      </xdr:style>
    </xdr:cxnSp>
    <xdr:clientData fPrintsWithSheet="0"/>
  </xdr:twoCellAnchor>
  <xdr:twoCellAnchor editAs="oneCell">
    <xdr:from>
      <xdr:col>22</xdr:col>
      <xdr:colOff>525859</xdr:colOff>
      <xdr:row>0</xdr:row>
      <xdr:rowOff>69453</xdr:rowOff>
    </xdr:from>
    <xdr:to>
      <xdr:col>25</xdr:col>
      <xdr:colOff>562375</xdr:colOff>
      <xdr:row>1</xdr:row>
      <xdr:rowOff>355387</xdr:rowOff>
    </xdr:to>
    <xdr:pic>
      <xdr:nvPicPr>
        <xdr:cNvPr id="52" name="Picture 51" descr="Videx Mining Products">
          <a:hlinkClick xmlns:r="http://schemas.openxmlformats.org/officeDocument/2006/relationships" r:id="rId1"/>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836797" y="69453"/>
          <a:ext cx="1792684" cy="693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13</xdr:col>
          <xdr:colOff>19050</xdr:colOff>
          <xdr:row>9</xdr:row>
          <xdr:rowOff>19050</xdr:rowOff>
        </xdr:from>
        <xdr:to>
          <xdr:col>13</xdr:col>
          <xdr:colOff>571500</xdr:colOff>
          <xdr:row>9</xdr:row>
          <xdr:rowOff>180975</xdr:rowOff>
        </xdr:to>
        <xdr:sp macro="" textlink="">
          <xdr:nvSpPr>
            <xdr:cNvPr id="2095" name="Scroll Bar 47" hidden="1">
              <a:extLst>
                <a:ext uri="{63B3BB69-23CF-44E3-9099-C40C66FF867C}">
                  <a14:compatExt spid="_x0000_s2095"/>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19050</xdr:colOff>
          <xdr:row>10</xdr:row>
          <xdr:rowOff>19050</xdr:rowOff>
        </xdr:from>
        <xdr:to>
          <xdr:col>13</xdr:col>
          <xdr:colOff>571500</xdr:colOff>
          <xdr:row>10</xdr:row>
          <xdr:rowOff>180975</xdr:rowOff>
        </xdr:to>
        <xdr:sp macro="" textlink="">
          <xdr:nvSpPr>
            <xdr:cNvPr id="2096" name="Scroll Bar 48" hidden="1">
              <a:extLst>
                <a:ext uri="{63B3BB69-23CF-44E3-9099-C40C66FF867C}">
                  <a14:compatExt spid="_x0000_s2096"/>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19050</xdr:colOff>
          <xdr:row>11</xdr:row>
          <xdr:rowOff>19050</xdr:rowOff>
        </xdr:from>
        <xdr:to>
          <xdr:col>13</xdr:col>
          <xdr:colOff>571500</xdr:colOff>
          <xdr:row>11</xdr:row>
          <xdr:rowOff>180975</xdr:rowOff>
        </xdr:to>
        <xdr:sp macro="" textlink="">
          <xdr:nvSpPr>
            <xdr:cNvPr id="2097" name="Scroll Bar 49" hidden="1">
              <a:extLst>
                <a:ext uri="{63B3BB69-23CF-44E3-9099-C40C66FF867C}">
                  <a14:compatExt spid="_x0000_s2097"/>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19050</xdr:colOff>
          <xdr:row>12</xdr:row>
          <xdr:rowOff>19050</xdr:rowOff>
        </xdr:from>
        <xdr:to>
          <xdr:col>13</xdr:col>
          <xdr:colOff>571500</xdr:colOff>
          <xdr:row>12</xdr:row>
          <xdr:rowOff>180975</xdr:rowOff>
        </xdr:to>
        <xdr:sp macro="" textlink="">
          <xdr:nvSpPr>
            <xdr:cNvPr id="2098" name="Scroll Bar 50" hidden="1">
              <a:extLst>
                <a:ext uri="{63B3BB69-23CF-44E3-9099-C40C66FF867C}">
                  <a14:compatExt spid="_x0000_s2098"/>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19050</xdr:colOff>
          <xdr:row>13</xdr:row>
          <xdr:rowOff>19050</xdr:rowOff>
        </xdr:from>
        <xdr:to>
          <xdr:col>13</xdr:col>
          <xdr:colOff>571500</xdr:colOff>
          <xdr:row>13</xdr:row>
          <xdr:rowOff>180975</xdr:rowOff>
        </xdr:to>
        <xdr:sp macro="" textlink="">
          <xdr:nvSpPr>
            <xdr:cNvPr id="2099" name="Scroll Bar 51" hidden="1">
              <a:extLst>
                <a:ext uri="{63B3BB69-23CF-44E3-9099-C40C66FF867C}">
                  <a14:compatExt spid="_x0000_s2099"/>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19050</xdr:colOff>
          <xdr:row>14</xdr:row>
          <xdr:rowOff>19050</xdr:rowOff>
        </xdr:from>
        <xdr:to>
          <xdr:col>13</xdr:col>
          <xdr:colOff>571500</xdr:colOff>
          <xdr:row>14</xdr:row>
          <xdr:rowOff>180975</xdr:rowOff>
        </xdr:to>
        <xdr:sp macro="" textlink="">
          <xdr:nvSpPr>
            <xdr:cNvPr id="2100" name="Scroll Bar 52" hidden="1">
              <a:extLst>
                <a:ext uri="{63B3BB69-23CF-44E3-9099-C40C66FF867C}">
                  <a14:compatExt spid="_x0000_s21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19050</xdr:colOff>
          <xdr:row>15</xdr:row>
          <xdr:rowOff>19050</xdr:rowOff>
        </xdr:from>
        <xdr:to>
          <xdr:col>13</xdr:col>
          <xdr:colOff>571500</xdr:colOff>
          <xdr:row>15</xdr:row>
          <xdr:rowOff>180975</xdr:rowOff>
        </xdr:to>
        <xdr:sp macro="" textlink="">
          <xdr:nvSpPr>
            <xdr:cNvPr id="2101" name="Scroll Bar 53" hidden="1">
              <a:extLst>
                <a:ext uri="{63B3BB69-23CF-44E3-9099-C40C66FF867C}">
                  <a14:compatExt spid="_x0000_s2101"/>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19050</xdr:colOff>
          <xdr:row>16</xdr:row>
          <xdr:rowOff>19050</xdr:rowOff>
        </xdr:from>
        <xdr:to>
          <xdr:col>13</xdr:col>
          <xdr:colOff>571500</xdr:colOff>
          <xdr:row>16</xdr:row>
          <xdr:rowOff>180975</xdr:rowOff>
        </xdr:to>
        <xdr:sp macro="" textlink="">
          <xdr:nvSpPr>
            <xdr:cNvPr id="2102" name="Scroll Bar 54" hidden="1">
              <a:extLst>
                <a:ext uri="{63B3BB69-23CF-44E3-9099-C40C66FF867C}">
                  <a14:compatExt spid="_x0000_s2102"/>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19050</xdr:colOff>
          <xdr:row>17</xdr:row>
          <xdr:rowOff>19050</xdr:rowOff>
        </xdr:from>
        <xdr:to>
          <xdr:col>13</xdr:col>
          <xdr:colOff>571500</xdr:colOff>
          <xdr:row>17</xdr:row>
          <xdr:rowOff>180975</xdr:rowOff>
        </xdr:to>
        <xdr:sp macro="" textlink="">
          <xdr:nvSpPr>
            <xdr:cNvPr id="2103" name="Scroll Bar 55" hidden="1">
              <a:extLst>
                <a:ext uri="{63B3BB69-23CF-44E3-9099-C40C66FF867C}">
                  <a14:compatExt spid="_x0000_s2103"/>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29</xdr:row>
          <xdr:rowOff>19050</xdr:rowOff>
        </xdr:from>
        <xdr:to>
          <xdr:col>5</xdr:col>
          <xdr:colOff>571500</xdr:colOff>
          <xdr:row>29</xdr:row>
          <xdr:rowOff>180975</xdr:rowOff>
        </xdr:to>
        <xdr:sp macro="" textlink="">
          <xdr:nvSpPr>
            <xdr:cNvPr id="2104" name="Scroll Bar 56" hidden="1">
              <a:extLst>
                <a:ext uri="{63B3BB69-23CF-44E3-9099-C40C66FF867C}">
                  <a14:compatExt spid="_x0000_s2104"/>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30</xdr:row>
          <xdr:rowOff>19050</xdr:rowOff>
        </xdr:from>
        <xdr:to>
          <xdr:col>5</xdr:col>
          <xdr:colOff>571500</xdr:colOff>
          <xdr:row>30</xdr:row>
          <xdr:rowOff>180975</xdr:rowOff>
        </xdr:to>
        <xdr:sp macro="" textlink="">
          <xdr:nvSpPr>
            <xdr:cNvPr id="2105" name="Scroll Bar 57" hidden="1">
              <a:extLst>
                <a:ext uri="{63B3BB69-23CF-44E3-9099-C40C66FF867C}">
                  <a14:compatExt spid="_x0000_s2105"/>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31</xdr:row>
          <xdr:rowOff>19050</xdr:rowOff>
        </xdr:from>
        <xdr:to>
          <xdr:col>5</xdr:col>
          <xdr:colOff>571500</xdr:colOff>
          <xdr:row>31</xdr:row>
          <xdr:rowOff>180975</xdr:rowOff>
        </xdr:to>
        <xdr:sp macro="" textlink="">
          <xdr:nvSpPr>
            <xdr:cNvPr id="2106" name="Scroll Bar 58" hidden="1">
              <a:extLst>
                <a:ext uri="{63B3BB69-23CF-44E3-9099-C40C66FF867C}">
                  <a14:compatExt spid="_x0000_s2106"/>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32</xdr:row>
          <xdr:rowOff>19050</xdr:rowOff>
        </xdr:from>
        <xdr:to>
          <xdr:col>5</xdr:col>
          <xdr:colOff>571500</xdr:colOff>
          <xdr:row>32</xdr:row>
          <xdr:rowOff>180975</xdr:rowOff>
        </xdr:to>
        <xdr:sp macro="" textlink="">
          <xdr:nvSpPr>
            <xdr:cNvPr id="2107" name="Scroll Bar 59" hidden="1">
              <a:extLst>
                <a:ext uri="{63B3BB69-23CF-44E3-9099-C40C66FF867C}">
                  <a14:compatExt spid="_x0000_s2107"/>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33</xdr:row>
          <xdr:rowOff>19050</xdr:rowOff>
        </xdr:from>
        <xdr:to>
          <xdr:col>5</xdr:col>
          <xdr:colOff>571500</xdr:colOff>
          <xdr:row>33</xdr:row>
          <xdr:rowOff>180975</xdr:rowOff>
        </xdr:to>
        <xdr:sp macro="" textlink="">
          <xdr:nvSpPr>
            <xdr:cNvPr id="2108" name="Scroll Bar 60" hidden="1">
              <a:extLst>
                <a:ext uri="{63B3BB69-23CF-44E3-9099-C40C66FF867C}">
                  <a14:compatExt spid="_x0000_s2108"/>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34</xdr:row>
          <xdr:rowOff>19050</xdr:rowOff>
        </xdr:from>
        <xdr:to>
          <xdr:col>5</xdr:col>
          <xdr:colOff>571500</xdr:colOff>
          <xdr:row>34</xdr:row>
          <xdr:rowOff>180975</xdr:rowOff>
        </xdr:to>
        <xdr:sp macro="" textlink="">
          <xdr:nvSpPr>
            <xdr:cNvPr id="2109" name="Scroll Bar 61" hidden="1">
              <a:extLst>
                <a:ext uri="{63B3BB69-23CF-44E3-9099-C40C66FF867C}">
                  <a14:compatExt spid="_x0000_s2109"/>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35</xdr:row>
          <xdr:rowOff>19050</xdr:rowOff>
        </xdr:from>
        <xdr:to>
          <xdr:col>5</xdr:col>
          <xdr:colOff>571500</xdr:colOff>
          <xdr:row>35</xdr:row>
          <xdr:rowOff>180975</xdr:rowOff>
        </xdr:to>
        <xdr:sp macro="" textlink="">
          <xdr:nvSpPr>
            <xdr:cNvPr id="2110" name="Scroll Bar 62" hidden="1">
              <a:extLst>
                <a:ext uri="{63B3BB69-23CF-44E3-9099-C40C66FF867C}">
                  <a14:compatExt spid="_x0000_s211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36</xdr:row>
          <xdr:rowOff>19050</xdr:rowOff>
        </xdr:from>
        <xdr:to>
          <xdr:col>5</xdr:col>
          <xdr:colOff>571500</xdr:colOff>
          <xdr:row>36</xdr:row>
          <xdr:rowOff>180975</xdr:rowOff>
        </xdr:to>
        <xdr:sp macro="" textlink="">
          <xdr:nvSpPr>
            <xdr:cNvPr id="2111" name="Scroll Bar 63" hidden="1">
              <a:extLst>
                <a:ext uri="{63B3BB69-23CF-44E3-9099-C40C66FF867C}">
                  <a14:compatExt spid="_x0000_s2111"/>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19050</xdr:rowOff>
        </xdr:from>
        <xdr:to>
          <xdr:col>5</xdr:col>
          <xdr:colOff>571500</xdr:colOff>
          <xdr:row>37</xdr:row>
          <xdr:rowOff>180975</xdr:rowOff>
        </xdr:to>
        <xdr:sp macro="" textlink="">
          <xdr:nvSpPr>
            <xdr:cNvPr id="2112" name="Scroll Bar 64" hidden="1">
              <a:extLst>
                <a:ext uri="{63B3BB69-23CF-44E3-9099-C40C66FF867C}">
                  <a14:compatExt spid="_x0000_s2112"/>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38</xdr:row>
          <xdr:rowOff>19050</xdr:rowOff>
        </xdr:from>
        <xdr:to>
          <xdr:col>5</xdr:col>
          <xdr:colOff>571500</xdr:colOff>
          <xdr:row>38</xdr:row>
          <xdr:rowOff>180975</xdr:rowOff>
        </xdr:to>
        <xdr:sp macro="" textlink="">
          <xdr:nvSpPr>
            <xdr:cNvPr id="2113" name="Scroll Bar 65" hidden="1">
              <a:extLst>
                <a:ext uri="{63B3BB69-23CF-44E3-9099-C40C66FF867C}">
                  <a14:compatExt spid="_x0000_s2113"/>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19050</xdr:colOff>
          <xdr:row>8</xdr:row>
          <xdr:rowOff>19050</xdr:rowOff>
        </xdr:from>
        <xdr:to>
          <xdr:col>23</xdr:col>
          <xdr:colOff>571500</xdr:colOff>
          <xdr:row>8</xdr:row>
          <xdr:rowOff>180975</xdr:rowOff>
        </xdr:to>
        <xdr:sp macro="" textlink="">
          <xdr:nvSpPr>
            <xdr:cNvPr id="2114" name="Scroll Bar 66" hidden="1">
              <a:extLst>
                <a:ext uri="{63B3BB69-23CF-44E3-9099-C40C66FF867C}">
                  <a14:compatExt spid="_x0000_s2114"/>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19050</xdr:colOff>
          <xdr:row>9</xdr:row>
          <xdr:rowOff>19050</xdr:rowOff>
        </xdr:from>
        <xdr:to>
          <xdr:col>23</xdr:col>
          <xdr:colOff>571500</xdr:colOff>
          <xdr:row>9</xdr:row>
          <xdr:rowOff>180975</xdr:rowOff>
        </xdr:to>
        <xdr:sp macro="" textlink="">
          <xdr:nvSpPr>
            <xdr:cNvPr id="2115" name="Scroll Bar 67" hidden="1">
              <a:extLst>
                <a:ext uri="{63B3BB69-23CF-44E3-9099-C40C66FF867C}">
                  <a14:compatExt spid="_x0000_s2115"/>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19050</xdr:colOff>
          <xdr:row>10</xdr:row>
          <xdr:rowOff>19050</xdr:rowOff>
        </xdr:from>
        <xdr:to>
          <xdr:col>23</xdr:col>
          <xdr:colOff>571500</xdr:colOff>
          <xdr:row>10</xdr:row>
          <xdr:rowOff>180975</xdr:rowOff>
        </xdr:to>
        <xdr:sp macro="" textlink="">
          <xdr:nvSpPr>
            <xdr:cNvPr id="2116" name="Scroll Bar 68" hidden="1">
              <a:extLst>
                <a:ext uri="{63B3BB69-23CF-44E3-9099-C40C66FF867C}">
                  <a14:compatExt spid="_x0000_s2116"/>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19050</xdr:colOff>
          <xdr:row>11</xdr:row>
          <xdr:rowOff>19050</xdr:rowOff>
        </xdr:from>
        <xdr:to>
          <xdr:col>23</xdr:col>
          <xdr:colOff>571500</xdr:colOff>
          <xdr:row>11</xdr:row>
          <xdr:rowOff>180975</xdr:rowOff>
        </xdr:to>
        <xdr:sp macro="" textlink="">
          <xdr:nvSpPr>
            <xdr:cNvPr id="2117" name="Scroll Bar 69" hidden="1">
              <a:extLst>
                <a:ext uri="{63B3BB69-23CF-44E3-9099-C40C66FF867C}">
                  <a14:compatExt spid="_x0000_s2117"/>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19050</xdr:colOff>
          <xdr:row>12</xdr:row>
          <xdr:rowOff>19050</xdr:rowOff>
        </xdr:from>
        <xdr:to>
          <xdr:col>23</xdr:col>
          <xdr:colOff>571500</xdr:colOff>
          <xdr:row>12</xdr:row>
          <xdr:rowOff>180975</xdr:rowOff>
        </xdr:to>
        <xdr:sp macro="" textlink="">
          <xdr:nvSpPr>
            <xdr:cNvPr id="2118" name="Scroll Bar 70" hidden="1">
              <a:extLst>
                <a:ext uri="{63B3BB69-23CF-44E3-9099-C40C66FF867C}">
                  <a14:compatExt spid="_x0000_s2118"/>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19050</xdr:colOff>
          <xdr:row>34</xdr:row>
          <xdr:rowOff>19050</xdr:rowOff>
        </xdr:from>
        <xdr:to>
          <xdr:col>23</xdr:col>
          <xdr:colOff>571500</xdr:colOff>
          <xdr:row>34</xdr:row>
          <xdr:rowOff>180975</xdr:rowOff>
        </xdr:to>
        <xdr:sp macro="" textlink="">
          <xdr:nvSpPr>
            <xdr:cNvPr id="2119" name="Scroll Bar 71" hidden="1">
              <a:extLst>
                <a:ext uri="{63B3BB69-23CF-44E3-9099-C40C66FF867C}">
                  <a14:compatExt spid="_x0000_s2119"/>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19050</xdr:colOff>
          <xdr:row>35</xdr:row>
          <xdr:rowOff>19050</xdr:rowOff>
        </xdr:from>
        <xdr:to>
          <xdr:col>23</xdr:col>
          <xdr:colOff>571500</xdr:colOff>
          <xdr:row>35</xdr:row>
          <xdr:rowOff>180975</xdr:rowOff>
        </xdr:to>
        <xdr:sp macro="" textlink="">
          <xdr:nvSpPr>
            <xdr:cNvPr id="2120" name="Scroll Bar 72" hidden="1">
              <a:extLst>
                <a:ext uri="{63B3BB69-23CF-44E3-9099-C40C66FF867C}">
                  <a14:compatExt spid="_x0000_s212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19050</xdr:colOff>
          <xdr:row>36</xdr:row>
          <xdr:rowOff>19050</xdr:rowOff>
        </xdr:from>
        <xdr:to>
          <xdr:col>23</xdr:col>
          <xdr:colOff>571500</xdr:colOff>
          <xdr:row>36</xdr:row>
          <xdr:rowOff>180975</xdr:rowOff>
        </xdr:to>
        <xdr:sp macro="" textlink="">
          <xdr:nvSpPr>
            <xdr:cNvPr id="2121" name="Scroll Bar 73" hidden="1">
              <a:extLst>
                <a:ext uri="{63B3BB69-23CF-44E3-9099-C40C66FF867C}">
                  <a14:compatExt spid="_x0000_s2121"/>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19050</xdr:colOff>
          <xdr:row>37</xdr:row>
          <xdr:rowOff>19050</xdr:rowOff>
        </xdr:from>
        <xdr:to>
          <xdr:col>23</xdr:col>
          <xdr:colOff>571500</xdr:colOff>
          <xdr:row>37</xdr:row>
          <xdr:rowOff>180975</xdr:rowOff>
        </xdr:to>
        <xdr:sp macro="" textlink="">
          <xdr:nvSpPr>
            <xdr:cNvPr id="2122" name="Scroll Bar 74" hidden="1">
              <a:extLst>
                <a:ext uri="{63B3BB69-23CF-44E3-9099-C40C66FF867C}">
                  <a14:compatExt spid="_x0000_s2122"/>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19050</xdr:colOff>
          <xdr:row>38</xdr:row>
          <xdr:rowOff>19050</xdr:rowOff>
        </xdr:from>
        <xdr:to>
          <xdr:col>23</xdr:col>
          <xdr:colOff>571500</xdr:colOff>
          <xdr:row>38</xdr:row>
          <xdr:rowOff>180975</xdr:rowOff>
        </xdr:to>
        <xdr:sp macro="" textlink="">
          <xdr:nvSpPr>
            <xdr:cNvPr id="2123" name="Scroll Bar 75" hidden="1">
              <a:extLst>
                <a:ext uri="{63B3BB69-23CF-44E3-9099-C40C66FF867C}">
                  <a14:compatExt spid="_x0000_s2123"/>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10</xdr:col>
      <xdr:colOff>50575</xdr:colOff>
      <xdr:row>44</xdr:row>
      <xdr:rowOff>16858</xdr:rowOff>
    </xdr:from>
    <xdr:to>
      <xdr:col>26</xdr:col>
      <xdr:colOff>0</xdr:colOff>
      <xdr:row>93</xdr:row>
      <xdr:rowOff>134870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18</xdr:row>
      <xdr:rowOff>8429</xdr:rowOff>
    </xdr:from>
    <xdr:to>
      <xdr:col>1</xdr:col>
      <xdr:colOff>429889</xdr:colOff>
      <xdr:row>20</xdr:row>
      <xdr:rowOff>140403</xdr:rowOff>
    </xdr:to>
    <xdr:pic>
      <xdr:nvPicPr>
        <xdr:cNvPr id="50" name="Picture 49">
          <a:hlinkClick xmlns:r="http://schemas.openxmlformats.org/officeDocument/2006/relationships" r:id="rId4"/>
        </xdr:cNvPr>
        <xdr:cNvPicPr>
          <a:picLocks noChangeAspect="1" noChangeArrowheads="1"/>
        </xdr:cNvPicPr>
      </xdr:nvPicPr>
      <xdr:blipFill rotWithShape="1">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l="6984" t="31346" r="74784" b="33388"/>
        <a:stretch/>
      </xdr:blipFill>
      <xdr:spPr bwMode="auto">
        <a:xfrm>
          <a:off x="118009" y="3734137"/>
          <a:ext cx="429889" cy="51971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fPrintsWithSheet="0"/>
  </xdr:twoCellAnchor>
  <xdr:oneCellAnchor>
    <xdr:from>
      <xdr:col>1</xdr:col>
      <xdr:colOff>450272</xdr:colOff>
      <xdr:row>18</xdr:row>
      <xdr:rowOff>181841</xdr:rowOff>
    </xdr:from>
    <xdr:ext cx="1296893" cy="181716"/>
    <xdr:sp macro="" textlink="">
      <xdr:nvSpPr>
        <xdr:cNvPr id="4" name="TextBox 3"/>
        <xdr:cNvSpPr txBox="1"/>
      </xdr:nvSpPr>
      <xdr:spPr>
        <a:xfrm>
          <a:off x="562840" y="3848966"/>
          <a:ext cx="1296893" cy="1817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600" i="1">
              <a:solidFill>
                <a:schemeClr val="tx1">
                  <a:lumMod val="50000"/>
                  <a:lumOff val="50000"/>
                </a:schemeClr>
              </a:solidFill>
              <a:latin typeface="Trebuchet MS" pitchFamily="34" charset="0"/>
            </a:rPr>
            <a:t>&lt;&lt;</a:t>
          </a:r>
          <a:r>
            <a:rPr lang="en-GB" sz="600" i="1" baseline="0">
              <a:solidFill>
                <a:schemeClr val="tx1">
                  <a:lumMod val="50000"/>
                  <a:lumOff val="50000"/>
                </a:schemeClr>
              </a:solidFill>
              <a:latin typeface="Trebuchet MS" pitchFamily="34" charset="0"/>
            </a:rPr>
            <a:t> Click here for contact details</a:t>
          </a:r>
          <a:endParaRPr lang="en-GB" sz="600" i="1">
            <a:solidFill>
              <a:schemeClr val="tx1">
                <a:lumMod val="50000"/>
                <a:lumOff val="50000"/>
              </a:schemeClr>
            </a:solidFill>
            <a:latin typeface="Trebuchet MS" pitchFamily="34" charset="0"/>
          </a:endParaRPr>
        </a:p>
      </xdr:txBody>
    </xdr:sp>
    <xdr:clientData fPrintsWithSheet="0"/>
  </xdr:oneCellAnchor>
  <xdr:oneCellAnchor>
    <xdr:from>
      <xdr:col>20</xdr:col>
      <xdr:colOff>369607</xdr:colOff>
      <xdr:row>0</xdr:row>
      <xdr:rowOff>81350</xdr:rowOff>
    </xdr:from>
    <xdr:ext cx="1307281" cy="181716"/>
    <xdr:sp macro="" textlink="">
      <xdr:nvSpPr>
        <xdr:cNvPr id="53" name="TextBox 52"/>
        <xdr:cNvSpPr txBox="1"/>
      </xdr:nvSpPr>
      <xdr:spPr>
        <a:xfrm>
          <a:off x="10451068" y="81350"/>
          <a:ext cx="1307281" cy="1817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600" i="1" baseline="0">
              <a:solidFill>
                <a:schemeClr val="tx1">
                  <a:lumMod val="50000"/>
                  <a:lumOff val="50000"/>
                </a:schemeClr>
              </a:solidFill>
              <a:latin typeface="Trebuchet MS" pitchFamily="34" charset="0"/>
            </a:rPr>
            <a:t>Click here for contact details &gt;&gt;</a:t>
          </a:r>
          <a:endParaRPr lang="en-GB" sz="600" i="1">
            <a:solidFill>
              <a:schemeClr val="tx1">
                <a:lumMod val="50000"/>
                <a:lumOff val="50000"/>
              </a:schemeClr>
            </a:solidFill>
            <a:latin typeface="Trebuchet MS" pitchFamily="34" charset="0"/>
          </a:endParaRPr>
        </a:p>
      </xdr:txBody>
    </xdr:sp>
    <xdr:clientData fPrintsWithSheet="0"/>
  </xdr:oneCellAnchor>
</xdr:wsDr>
</file>

<file path=xl/drawings/drawing23.xml><?xml version="1.0" encoding="utf-8"?>
<xdr:wsDr xmlns:xdr="http://schemas.openxmlformats.org/drawingml/2006/spreadsheetDrawing" xmlns:a="http://schemas.openxmlformats.org/drawingml/2006/main">
  <xdr:twoCellAnchor>
    <xdr:from>
      <xdr:col>19</xdr:col>
      <xdr:colOff>401782</xdr:colOff>
      <xdr:row>8</xdr:row>
      <xdr:rowOff>190006</xdr:rowOff>
    </xdr:from>
    <xdr:to>
      <xdr:col>31</xdr:col>
      <xdr:colOff>457200</xdr:colOff>
      <xdr:row>54</xdr:row>
      <xdr:rowOff>290945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176150</xdr:colOff>
      <xdr:row>117</xdr:row>
      <xdr:rowOff>101931</xdr:rowOff>
    </xdr:from>
    <xdr:to>
      <xdr:col>11</xdr:col>
      <xdr:colOff>716247</xdr:colOff>
      <xdr:row>140</xdr:row>
      <xdr:rowOff>32658</xdr:rowOff>
    </xdr:to>
    <xdr:pic>
      <xdr:nvPicPr>
        <xdr:cNvPr id="3" name="Picture 2"/>
        <xdr:cNvPicPr>
          <a:picLocks noChangeAspect="1"/>
        </xdr:cNvPicPr>
      </xdr:nvPicPr>
      <xdr:blipFill>
        <a:blip xmlns:r="http://schemas.openxmlformats.org/officeDocument/2006/relationships" r:embed="rId2"/>
        <a:stretch>
          <a:fillRect/>
        </a:stretch>
      </xdr:blipFill>
      <xdr:spPr>
        <a:xfrm>
          <a:off x="3521330" y="15029511"/>
          <a:ext cx="8388697" cy="4136967"/>
        </a:xfrm>
        <a:prstGeom prst="rect">
          <a:avLst/>
        </a:prstGeom>
      </xdr:spPr>
    </xdr:pic>
    <xdr:clientData/>
  </xdr:twoCellAnchor>
  <xdr:twoCellAnchor>
    <xdr:from>
      <xdr:col>1</xdr:col>
      <xdr:colOff>1634836</xdr:colOff>
      <xdr:row>60</xdr:row>
      <xdr:rowOff>110836</xdr:rowOff>
    </xdr:from>
    <xdr:to>
      <xdr:col>1</xdr:col>
      <xdr:colOff>2937163</xdr:colOff>
      <xdr:row>60</xdr:row>
      <xdr:rowOff>110836</xdr:rowOff>
    </xdr:to>
    <xdr:cxnSp macro="">
      <xdr:nvCxnSpPr>
        <xdr:cNvPr id="4" name="Straight Arrow Connector 3"/>
        <xdr:cNvCxnSpPr/>
      </xdr:nvCxnSpPr>
      <xdr:spPr>
        <a:xfrm>
          <a:off x="1977736" y="9811096"/>
          <a:ext cx="1302327" cy="0"/>
        </a:xfrm>
        <a:prstGeom prst="straightConnector1">
          <a:avLst/>
        </a:prstGeom>
        <a:ln w="28575">
          <a:tailEnd type="stealth"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482138</xdr:colOff>
      <xdr:row>57</xdr:row>
      <xdr:rowOff>70656</xdr:rowOff>
    </xdr:from>
    <xdr:to>
      <xdr:col>51</xdr:col>
      <xdr:colOff>451461</xdr:colOff>
      <xdr:row>128</xdr:row>
      <xdr:rowOff>46906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387927</xdr:colOff>
      <xdr:row>9</xdr:row>
      <xdr:rowOff>0</xdr:rowOff>
    </xdr:from>
    <xdr:to>
      <xdr:col>51</xdr:col>
      <xdr:colOff>357250</xdr:colOff>
      <xdr:row>55</xdr:row>
      <xdr:rowOff>45521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213360</xdr:colOff>
      <xdr:row>55</xdr:row>
      <xdr:rowOff>110837</xdr:rowOff>
    </xdr:from>
    <xdr:to>
      <xdr:col>31</xdr:col>
      <xdr:colOff>548640</xdr:colOff>
      <xdr:row>89</xdr:row>
      <xdr:rowOff>30481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4.xml><?xml version="1.0" encoding="utf-8"?>
<c:userShapes xmlns:c="http://schemas.openxmlformats.org/drawingml/2006/chart">
  <cdr:relSizeAnchor xmlns:cdr="http://schemas.openxmlformats.org/drawingml/2006/chartDrawing">
    <cdr:from>
      <cdr:x>0.0175</cdr:x>
      <cdr:y>0.33933</cdr:y>
    </cdr:from>
    <cdr:to>
      <cdr:x>0.05769</cdr:x>
      <cdr:y>0.53034</cdr:y>
    </cdr:to>
    <cdr:sp macro="" textlink="">
      <cdr:nvSpPr>
        <cdr:cNvPr id="2" name="TextBox 1"/>
        <cdr:cNvSpPr txBox="1"/>
      </cdr:nvSpPr>
      <cdr:spPr>
        <a:xfrm xmlns:a="http://schemas.openxmlformats.org/drawingml/2006/main" rot="16200000">
          <a:off x="-290883" y="2521605"/>
          <a:ext cx="1177654" cy="3185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ZA" sz="1400" b="1"/>
            <a:t>Qty  m³/s</a:t>
          </a:r>
        </a:p>
      </cdr:txBody>
    </cdr:sp>
  </cdr:relSizeAnchor>
  <cdr:relSizeAnchor xmlns:cdr="http://schemas.openxmlformats.org/drawingml/2006/chartDrawing">
    <cdr:from>
      <cdr:x>0.09464</cdr:x>
      <cdr:y>0.03036</cdr:y>
    </cdr:from>
    <cdr:to>
      <cdr:x>0.95489</cdr:x>
      <cdr:y>0.11157</cdr:y>
    </cdr:to>
    <cdr:sp macro="" textlink="'Vehicle Qty &amp; heat graph'!$B$63">
      <cdr:nvSpPr>
        <cdr:cNvPr id="4" name="TextBox 3"/>
        <cdr:cNvSpPr txBox="1"/>
      </cdr:nvSpPr>
      <cdr:spPr>
        <a:xfrm xmlns:a="http://schemas.openxmlformats.org/drawingml/2006/main">
          <a:off x="697555" y="209170"/>
          <a:ext cx="6340574" cy="5595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4F51B2CB-1B63-4CF8-A5EA-B08BEC8DEE6F}" type="TxLink">
            <a:rPr lang="en-US" sz="1400" b="1" i="0" u="none" strike="noStrike">
              <a:solidFill>
                <a:srgbClr val="000000"/>
              </a:solidFill>
              <a:latin typeface="Calibri"/>
            </a:rPr>
            <a:pPr algn="ctr"/>
            <a:t>Airflow Required for different Vehicles to achieve 27.5°CWB  if intake temperature is            °CWB</a:t>
          </a:fld>
          <a:endParaRPr lang="en-US" sz="1400" b="1" i="0" u="none" strike="noStrike">
            <a:solidFill>
              <a:srgbClr val="000000"/>
            </a:solidFill>
            <a:latin typeface="Calibri"/>
          </a:endParaRPr>
        </a:p>
      </cdr:txBody>
    </cdr:sp>
  </cdr:relSizeAnchor>
  <cdr:relSizeAnchor xmlns:cdr="http://schemas.openxmlformats.org/drawingml/2006/chartDrawing">
    <cdr:from>
      <cdr:x>0.45598</cdr:x>
      <cdr:y>0.06502</cdr:y>
    </cdr:from>
    <cdr:to>
      <cdr:x>0.5527</cdr:x>
      <cdr:y>0.11128</cdr:y>
    </cdr:to>
    <cdr:sp macro="" textlink="'Vehicle Qty &amp; heat graph'!$G$63">
      <cdr:nvSpPr>
        <cdr:cNvPr id="5" name="TextBox 1"/>
        <cdr:cNvSpPr txBox="1"/>
      </cdr:nvSpPr>
      <cdr:spPr>
        <a:xfrm xmlns:a="http://schemas.openxmlformats.org/drawingml/2006/main">
          <a:off x="3360851" y="446657"/>
          <a:ext cx="712862" cy="31776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2B8E2B88-915D-4E7E-A2F3-CF2B033DB559}" type="TxLink">
            <a:rPr lang="en-US" sz="1200" b="1" i="0" u="none" strike="noStrike">
              <a:solidFill>
                <a:srgbClr val="000000"/>
              </a:solidFill>
              <a:latin typeface="+mn-lt"/>
              <a:cs typeface="Arial" panose="020B0604020202020204" pitchFamily="34" charset="0"/>
            </a:rPr>
            <a:pPr algn="ctr"/>
            <a:t>23.0</a:t>
          </a:fld>
          <a:endParaRPr lang="en-US" sz="1200" b="1" i="0" u="none" strike="noStrike">
            <a:solidFill>
              <a:srgbClr val="000000"/>
            </a:solidFill>
            <a:latin typeface="+mn-lt"/>
            <a:cs typeface="Arial" panose="020B0604020202020204" pitchFamily="34" charset="0"/>
          </a:endParaRPr>
        </a:p>
      </cdr:txBody>
    </cdr:sp>
  </cdr:relSizeAnchor>
  <cdr:relSizeAnchor xmlns:cdr="http://schemas.openxmlformats.org/drawingml/2006/chartDrawing">
    <cdr:from>
      <cdr:x>0.35662</cdr:x>
      <cdr:y>0.8327</cdr:y>
    </cdr:from>
    <cdr:to>
      <cdr:x>0.65602</cdr:x>
      <cdr:y>0.89076</cdr:y>
    </cdr:to>
    <cdr:sp macro="" textlink="">
      <cdr:nvSpPr>
        <cdr:cNvPr id="8" name="TextBox 1"/>
        <cdr:cNvSpPr txBox="1"/>
      </cdr:nvSpPr>
      <cdr:spPr>
        <a:xfrm xmlns:a="http://schemas.openxmlformats.org/drawingml/2006/main">
          <a:off x="2628480" y="6336933"/>
          <a:ext cx="2206756" cy="44184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ZA" sz="1400" b="1"/>
            <a:t>Distance (m)</a:t>
          </a:r>
        </a:p>
      </cdr:txBody>
    </cdr:sp>
  </cdr:relSizeAnchor>
</c:userShapes>
</file>

<file path=xl/drawings/drawing25.xml><?xml version="1.0" encoding="utf-8"?>
<c:userShapes xmlns:c="http://schemas.openxmlformats.org/drawingml/2006/chart">
  <cdr:relSizeAnchor xmlns:cdr="http://schemas.openxmlformats.org/drawingml/2006/chartDrawing">
    <cdr:from>
      <cdr:x>0.0175</cdr:x>
      <cdr:y>0.33933</cdr:y>
    </cdr:from>
    <cdr:to>
      <cdr:x>0.05769</cdr:x>
      <cdr:y>0.53034</cdr:y>
    </cdr:to>
    <cdr:sp macro="" textlink="">
      <cdr:nvSpPr>
        <cdr:cNvPr id="2" name="TextBox 1"/>
        <cdr:cNvSpPr txBox="1"/>
      </cdr:nvSpPr>
      <cdr:spPr>
        <a:xfrm xmlns:a="http://schemas.openxmlformats.org/drawingml/2006/main" rot="16200000">
          <a:off x="-290883" y="2521605"/>
          <a:ext cx="1177654" cy="3185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ZA" sz="1400" b="1"/>
            <a:t>Qty  m³/s</a:t>
          </a:r>
        </a:p>
      </cdr:txBody>
    </cdr:sp>
  </cdr:relSizeAnchor>
  <cdr:relSizeAnchor xmlns:cdr="http://schemas.openxmlformats.org/drawingml/2006/chartDrawing">
    <cdr:from>
      <cdr:x>0.45624</cdr:x>
      <cdr:y>0.8327</cdr:y>
    </cdr:from>
    <cdr:to>
      <cdr:x>0.58362</cdr:x>
      <cdr:y>0.89076</cdr:y>
    </cdr:to>
    <cdr:sp macro="" textlink="">
      <cdr:nvSpPr>
        <cdr:cNvPr id="3" name="TextBox 1"/>
        <cdr:cNvSpPr txBox="1"/>
      </cdr:nvSpPr>
      <cdr:spPr>
        <a:xfrm xmlns:a="http://schemas.openxmlformats.org/drawingml/2006/main">
          <a:off x="5013936" y="5835884"/>
          <a:ext cx="1399858" cy="4069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ZA" sz="1400" b="1"/>
            <a:t>Distance (m)</a:t>
          </a:r>
        </a:p>
      </cdr:txBody>
    </cdr:sp>
  </cdr:relSizeAnchor>
  <cdr:relSizeAnchor xmlns:cdr="http://schemas.openxmlformats.org/drawingml/2006/chartDrawing">
    <cdr:from>
      <cdr:x>0.09464</cdr:x>
      <cdr:y>0.03036</cdr:y>
    </cdr:from>
    <cdr:to>
      <cdr:x>0.92472</cdr:x>
      <cdr:y>0.08006</cdr:y>
    </cdr:to>
    <cdr:sp macro="" textlink="'Vehicle Qty &amp; heat graph'!$B$82">
      <cdr:nvSpPr>
        <cdr:cNvPr id="4" name="TextBox 3"/>
        <cdr:cNvSpPr txBox="1"/>
      </cdr:nvSpPr>
      <cdr:spPr>
        <a:xfrm xmlns:a="http://schemas.openxmlformats.org/drawingml/2006/main">
          <a:off x="1040084" y="212764"/>
          <a:ext cx="9122226" cy="3483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B00CFB11-7CFD-4C49-BE8E-8BA8AF2EBF45}" type="TxLink">
            <a:rPr lang="en-US" sz="1400" b="1" i="0" u="none" strike="noStrike">
              <a:solidFill>
                <a:srgbClr val="000000"/>
              </a:solidFill>
              <a:latin typeface="Calibri"/>
            </a:rPr>
            <a:pPr algn="ctr"/>
            <a:t>Vuma End Face Temps for different Vehicles at 23°CWB Intake (If Qty does not change)</a:t>
          </a:fld>
          <a:endParaRPr lang="en-US" sz="1400" b="1" i="0" u="none" strike="noStrike">
            <a:solidFill>
              <a:srgbClr val="000000"/>
            </a:solidFill>
            <a:latin typeface="Calibri"/>
          </a:endParaRPr>
        </a:p>
      </cdr:txBody>
    </cdr:sp>
  </cdr:relSizeAnchor>
</c:userShapes>
</file>

<file path=xl/drawings/drawing26.xml><?xml version="1.0" encoding="utf-8"?>
<c:userShapes xmlns:c="http://schemas.openxmlformats.org/drawingml/2006/chart">
  <cdr:relSizeAnchor xmlns:cdr="http://schemas.openxmlformats.org/drawingml/2006/chartDrawing">
    <cdr:from>
      <cdr:x>0.0175</cdr:x>
      <cdr:y>0.33933</cdr:y>
    </cdr:from>
    <cdr:to>
      <cdr:x>0.05769</cdr:x>
      <cdr:y>0.53034</cdr:y>
    </cdr:to>
    <cdr:sp macro="" textlink="">
      <cdr:nvSpPr>
        <cdr:cNvPr id="2" name="TextBox 1"/>
        <cdr:cNvSpPr txBox="1"/>
      </cdr:nvSpPr>
      <cdr:spPr>
        <a:xfrm xmlns:a="http://schemas.openxmlformats.org/drawingml/2006/main" rot="16200000">
          <a:off x="-290883" y="2521605"/>
          <a:ext cx="1177654" cy="3185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ZA" sz="1400" b="1"/>
            <a:t>Qty  m³/s</a:t>
          </a:r>
        </a:p>
      </cdr:txBody>
    </cdr:sp>
  </cdr:relSizeAnchor>
  <cdr:relSizeAnchor xmlns:cdr="http://schemas.openxmlformats.org/drawingml/2006/chartDrawing">
    <cdr:from>
      <cdr:x>0.45624</cdr:x>
      <cdr:y>0.8327</cdr:y>
    </cdr:from>
    <cdr:to>
      <cdr:x>0.58362</cdr:x>
      <cdr:y>0.89076</cdr:y>
    </cdr:to>
    <cdr:sp macro="" textlink="">
      <cdr:nvSpPr>
        <cdr:cNvPr id="3" name="TextBox 1"/>
        <cdr:cNvSpPr txBox="1"/>
      </cdr:nvSpPr>
      <cdr:spPr>
        <a:xfrm xmlns:a="http://schemas.openxmlformats.org/drawingml/2006/main">
          <a:off x="5013936" y="5835884"/>
          <a:ext cx="1399858" cy="4069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ZA" sz="1400" b="1"/>
            <a:t>Distance (m)</a:t>
          </a:r>
        </a:p>
      </cdr:txBody>
    </cdr:sp>
  </cdr:relSizeAnchor>
  <cdr:relSizeAnchor xmlns:cdr="http://schemas.openxmlformats.org/drawingml/2006/chartDrawing">
    <cdr:from>
      <cdr:x>0.09464</cdr:x>
      <cdr:y>0.03036</cdr:y>
    </cdr:from>
    <cdr:to>
      <cdr:x>0.92472</cdr:x>
      <cdr:y>0.08006</cdr:y>
    </cdr:to>
    <cdr:sp macro="" textlink="'Vehicle Qty &amp; heat graph'!$B$63">
      <cdr:nvSpPr>
        <cdr:cNvPr id="4" name="TextBox 3"/>
        <cdr:cNvSpPr txBox="1"/>
      </cdr:nvSpPr>
      <cdr:spPr>
        <a:xfrm xmlns:a="http://schemas.openxmlformats.org/drawingml/2006/main">
          <a:off x="1040084" y="212764"/>
          <a:ext cx="9122226" cy="3483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4F51B2CB-1B63-4CF8-A5EA-B08BEC8DEE6F}" type="TxLink">
            <a:rPr lang="en-US" sz="1600" b="1" i="0" u="none" strike="noStrike">
              <a:solidFill>
                <a:srgbClr val="000000"/>
              </a:solidFill>
              <a:latin typeface="Calibri"/>
            </a:rPr>
            <a:pPr algn="ctr"/>
            <a:t>Airflow Required for different Vehicles to achieve 27.5°CWB  if intake temperature is            °CWB</a:t>
          </a:fld>
          <a:endParaRPr lang="en-US" sz="1600" b="1" i="0" u="none" strike="noStrike">
            <a:solidFill>
              <a:srgbClr val="000000"/>
            </a:solidFill>
            <a:latin typeface="Calibri"/>
          </a:endParaRPr>
        </a:p>
      </cdr:txBody>
    </cdr:sp>
  </cdr:relSizeAnchor>
  <cdr:relSizeAnchor xmlns:cdr="http://schemas.openxmlformats.org/drawingml/2006/chartDrawing">
    <cdr:from>
      <cdr:x>0.76982</cdr:x>
      <cdr:y>0.03073</cdr:y>
    </cdr:from>
    <cdr:to>
      <cdr:x>0.82629</cdr:x>
      <cdr:y>0.07422</cdr:y>
    </cdr:to>
    <cdr:sp macro="" textlink="'Vehicle Qty &amp; heat graph'!$G$63">
      <cdr:nvSpPr>
        <cdr:cNvPr id="5" name="TextBox 1"/>
        <cdr:cNvSpPr txBox="1"/>
      </cdr:nvSpPr>
      <cdr:spPr>
        <a:xfrm xmlns:a="http://schemas.openxmlformats.org/drawingml/2006/main">
          <a:off x="8892801" y="245746"/>
          <a:ext cx="652223" cy="34783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2B8E2B88-915D-4E7E-A2F3-CF2B033DB559}" type="TxLink">
            <a:rPr lang="en-US" sz="1600" b="1" i="0" u="none" strike="noStrike">
              <a:solidFill>
                <a:srgbClr val="000000"/>
              </a:solidFill>
              <a:latin typeface="+mn-lt"/>
              <a:cs typeface="Arial" panose="020B0604020202020204" pitchFamily="34" charset="0"/>
            </a:rPr>
            <a:pPr algn="ctr"/>
            <a:t>23.0</a:t>
          </a:fld>
          <a:endParaRPr lang="en-US" sz="1600" b="1" i="0" u="none" strike="noStrike">
            <a:solidFill>
              <a:srgbClr val="000000"/>
            </a:solidFill>
            <a:latin typeface="+mn-lt"/>
            <a:cs typeface="Arial" panose="020B0604020202020204" pitchFamily="34" charset="0"/>
          </a:endParaRPr>
        </a:p>
      </cdr:txBody>
    </cdr:sp>
  </cdr:relSizeAnchor>
</c:userShapes>
</file>

<file path=xl/drawings/drawing27.xml><?xml version="1.0" encoding="utf-8"?>
<c:userShapes xmlns:c="http://schemas.openxmlformats.org/drawingml/2006/chart">
  <cdr:relSizeAnchor xmlns:cdr="http://schemas.openxmlformats.org/drawingml/2006/chartDrawing">
    <cdr:from>
      <cdr:x>0.0175</cdr:x>
      <cdr:y>0.33933</cdr:y>
    </cdr:from>
    <cdr:to>
      <cdr:x>0.05769</cdr:x>
      <cdr:y>0.53034</cdr:y>
    </cdr:to>
    <cdr:sp macro="" textlink="">
      <cdr:nvSpPr>
        <cdr:cNvPr id="2" name="TextBox 1"/>
        <cdr:cNvSpPr txBox="1"/>
      </cdr:nvSpPr>
      <cdr:spPr>
        <a:xfrm xmlns:a="http://schemas.openxmlformats.org/drawingml/2006/main" rot="16200000">
          <a:off x="-290883" y="2521605"/>
          <a:ext cx="1177654" cy="3185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ZA" sz="1400" b="1"/>
            <a:t>Qty  m³/s</a:t>
          </a:r>
        </a:p>
      </cdr:txBody>
    </cdr:sp>
  </cdr:relSizeAnchor>
  <cdr:relSizeAnchor xmlns:cdr="http://schemas.openxmlformats.org/drawingml/2006/chartDrawing">
    <cdr:from>
      <cdr:x>0.45624</cdr:x>
      <cdr:y>0.8327</cdr:y>
    </cdr:from>
    <cdr:to>
      <cdr:x>0.58362</cdr:x>
      <cdr:y>0.89076</cdr:y>
    </cdr:to>
    <cdr:sp macro="" textlink="">
      <cdr:nvSpPr>
        <cdr:cNvPr id="3" name="TextBox 1"/>
        <cdr:cNvSpPr txBox="1"/>
      </cdr:nvSpPr>
      <cdr:spPr>
        <a:xfrm xmlns:a="http://schemas.openxmlformats.org/drawingml/2006/main">
          <a:off x="5013936" y="5835884"/>
          <a:ext cx="1399858" cy="4069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ZA" sz="1400" b="1"/>
            <a:t>Distance (m)</a:t>
          </a:r>
        </a:p>
      </cdr:txBody>
    </cdr:sp>
  </cdr:relSizeAnchor>
  <cdr:relSizeAnchor xmlns:cdr="http://schemas.openxmlformats.org/drawingml/2006/chartDrawing">
    <cdr:from>
      <cdr:x>0.09464</cdr:x>
      <cdr:y>0.03036</cdr:y>
    </cdr:from>
    <cdr:to>
      <cdr:x>0.92472</cdr:x>
      <cdr:y>0.08006</cdr:y>
    </cdr:to>
    <cdr:sp macro="" textlink="'Vehicle Qty &amp; heat graph'!$B$82">
      <cdr:nvSpPr>
        <cdr:cNvPr id="4" name="TextBox 3"/>
        <cdr:cNvSpPr txBox="1"/>
      </cdr:nvSpPr>
      <cdr:spPr>
        <a:xfrm xmlns:a="http://schemas.openxmlformats.org/drawingml/2006/main">
          <a:off x="1040084" y="212764"/>
          <a:ext cx="9122226" cy="3483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B00CFB11-7CFD-4C49-BE8E-8BA8AF2EBF45}" type="TxLink">
            <a:rPr lang="en-US" sz="1400" b="1" i="0" u="none" strike="noStrike">
              <a:solidFill>
                <a:srgbClr val="000000"/>
              </a:solidFill>
              <a:latin typeface="Calibri"/>
            </a:rPr>
            <a:pPr algn="ctr"/>
            <a:t>Vuma End Face Temps for different Vehicles at 23°CWB Intake (If Qty does not change)</a:t>
          </a:fld>
          <a:endParaRPr lang="en-US" sz="1400" b="1" i="0" u="none" strike="noStrike">
            <a:solidFill>
              <a:srgbClr val="000000"/>
            </a:solidFill>
            <a:latin typeface="Calibri"/>
          </a:endParaRPr>
        </a:p>
      </cdr:txBody>
    </cdr:sp>
  </cdr:relSizeAnchor>
</c:userShapes>
</file>

<file path=xl/drawings/drawing28.xml><?xml version="1.0" encoding="utf-8"?>
<xdr:wsDr xmlns:xdr="http://schemas.openxmlformats.org/drawingml/2006/spreadsheetDrawing" xmlns:a="http://schemas.openxmlformats.org/drawingml/2006/main">
  <xdr:twoCellAnchor>
    <xdr:from>
      <xdr:col>21</xdr:col>
      <xdr:colOff>9072</xdr:colOff>
      <xdr:row>0</xdr:row>
      <xdr:rowOff>197757</xdr:rowOff>
    </xdr:from>
    <xdr:to>
      <xdr:col>24</xdr:col>
      <xdr:colOff>232901</xdr:colOff>
      <xdr:row>0</xdr:row>
      <xdr:rowOff>150686</xdr:rowOff>
    </xdr:to>
    <xdr:sp macro="[0]!Deleter" textlink="">
      <xdr:nvSpPr>
        <xdr:cNvPr id="2" name="Rectangle 1"/>
        <xdr:cNvSpPr/>
      </xdr:nvSpPr>
      <xdr:spPr>
        <a:xfrm>
          <a:off x="123372" y="607332"/>
          <a:ext cx="1966904" cy="391079"/>
        </a:xfrm>
        <a:prstGeom prst="rect">
          <a:avLst/>
        </a:prstGeom>
        <a:solidFill>
          <a:srgbClr val="C00000"/>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l"/>
          <a:r>
            <a:rPr lang="en-GB" sz="1000" b="1">
              <a:latin typeface="Trebuchet MS" pitchFamily="34" charset="0"/>
            </a:rPr>
            <a:t>Clear Sheet of all Information</a:t>
          </a:r>
        </a:p>
      </xdr:txBody>
    </xdr:sp>
    <xdr:clientData fPrintsWithSheet="0"/>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1526598</xdr:colOff>
      <xdr:row>0</xdr:row>
      <xdr:rowOff>28575</xdr:rowOff>
    </xdr:from>
    <xdr:to>
      <xdr:col>1</xdr:col>
      <xdr:colOff>885826</xdr:colOff>
      <xdr:row>1</xdr:row>
      <xdr:rowOff>247650</xdr:rowOff>
    </xdr:to>
    <xdr:pic>
      <xdr:nvPicPr>
        <xdr:cNvPr id="5" name="Picture 4" descr="Videx Mining Products">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526598" y="28575"/>
          <a:ext cx="1454728" cy="5715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2095490</xdr:colOff>
      <xdr:row>2</xdr:row>
      <xdr:rowOff>190499</xdr:rowOff>
    </xdr:from>
    <xdr:to>
      <xdr:col>1</xdr:col>
      <xdr:colOff>2682099</xdr:colOff>
      <xdr:row>4</xdr:row>
      <xdr:rowOff>1874</xdr:rowOff>
    </xdr:to>
    <xdr:pic>
      <xdr:nvPicPr>
        <xdr:cNvPr id="6" name="Picture 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95490" y="809624"/>
          <a:ext cx="2682109" cy="1764000"/>
        </a:xfrm>
        <a:prstGeom prst="rect">
          <a:avLst/>
        </a:prstGeom>
      </xdr:spPr>
    </xdr:pic>
    <xdr:clientData/>
  </xdr:twoCellAnchor>
  <xdr:twoCellAnchor editAs="oneCell">
    <xdr:from>
      <xdr:col>0</xdr:col>
      <xdr:colOff>2095492</xdr:colOff>
      <xdr:row>4</xdr:row>
      <xdr:rowOff>0</xdr:rowOff>
    </xdr:from>
    <xdr:to>
      <xdr:col>1</xdr:col>
      <xdr:colOff>2682100</xdr:colOff>
      <xdr:row>5</xdr:row>
      <xdr:rowOff>1875</xdr:rowOff>
    </xdr:to>
    <xdr:pic>
      <xdr:nvPicPr>
        <xdr:cNvPr id="7" name="Picture 6"/>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492" y="2571750"/>
          <a:ext cx="2682108" cy="1764000"/>
        </a:xfrm>
        <a:prstGeom prst="rect">
          <a:avLst/>
        </a:prstGeom>
      </xdr:spPr>
    </xdr:pic>
    <xdr:clientData/>
  </xdr:twoCellAnchor>
  <xdr:twoCellAnchor editAs="oneCell">
    <xdr:from>
      <xdr:col>0</xdr:col>
      <xdr:colOff>2095491</xdr:colOff>
      <xdr:row>5</xdr:row>
      <xdr:rowOff>0</xdr:rowOff>
    </xdr:from>
    <xdr:to>
      <xdr:col>1</xdr:col>
      <xdr:colOff>2682100</xdr:colOff>
      <xdr:row>6</xdr:row>
      <xdr:rowOff>1875</xdr:rowOff>
    </xdr:to>
    <xdr:pic>
      <xdr:nvPicPr>
        <xdr:cNvPr id="8" name="Picture 7"/>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95491" y="4333875"/>
          <a:ext cx="2682109" cy="1764000"/>
        </a:xfrm>
        <a:prstGeom prst="rect">
          <a:avLst/>
        </a:prstGeom>
      </xdr:spPr>
    </xdr:pic>
    <xdr:clientData/>
  </xdr:twoCellAnchor>
  <xdr:twoCellAnchor editAs="oneCell">
    <xdr:from>
      <xdr:col>0</xdr:col>
      <xdr:colOff>2095491</xdr:colOff>
      <xdr:row>6</xdr:row>
      <xdr:rowOff>0</xdr:rowOff>
    </xdr:from>
    <xdr:to>
      <xdr:col>1</xdr:col>
      <xdr:colOff>2682100</xdr:colOff>
      <xdr:row>7</xdr:row>
      <xdr:rowOff>1875</xdr:rowOff>
    </xdr:to>
    <xdr:pic>
      <xdr:nvPicPr>
        <xdr:cNvPr id="9" name="Picture 8"/>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095491" y="6096000"/>
          <a:ext cx="2682109" cy="1764000"/>
        </a:xfrm>
        <a:prstGeom prst="rect">
          <a:avLst/>
        </a:prstGeom>
      </xdr:spPr>
    </xdr:pic>
    <xdr:clientData/>
  </xdr:twoCellAnchor>
  <xdr:twoCellAnchor editAs="oneCell">
    <xdr:from>
      <xdr:col>0</xdr:col>
      <xdr:colOff>2095492</xdr:colOff>
      <xdr:row>7</xdr:row>
      <xdr:rowOff>0</xdr:rowOff>
    </xdr:from>
    <xdr:to>
      <xdr:col>1</xdr:col>
      <xdr:colOff>2682101</xdr:colOff>
      <xdr:row>8</xdr:row>
      <xdr:rowOff>1875</xdr:rowOff>
    </xdr:to>
    <xdr:pic>
      <xdr:nvPicPr>
        <xdr:cNvPr id="10" name="Picture 9"/>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95492" y="7858125"/>
          <a:ext cx="2682109" cy="1764000"/>
        </a:xfrm>
        <a:prstGeom prst="rect">
          <a:avLst/>
        </a:prstGeom>
      </xdr:spPr>
    </xdr:pic>
    <xdr:clientData/>
  </xdr:twoCellAnchor>
  <xdr:twoCellAnchor editAs="oneCell">
    <xdr:from>
      <xdr:col>0</xdr:col>
      <xdr:colOff>2095491</xdr:colOff>
      <xdr:row>8</xdr:row>
      <xdr:rowOff>0</xdr:rowOff>
    </xdr:from>
    <xdr:to>
      <xdr:col>1</xdr:col>
      <xdr:colOff>2682100</xdr:colOff>
      <xdr:row>9</xdr:row>
      <xdr:rowOff>1875</xdr:rowOff>
    </xdr:to>
    <xdr:pic>
      <xdr:nvPicPr>
        <xdr:cNvPr id="11" name="Picture 10"/>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095491" y="9620250"/>
          <a:ext cx="2682109" cy="1764000"/>
        </a:xfrm>
        <a:prstGeom prst="rect">
          <a:avLst/>
        </a:prstGeom>
      </xdr:spPr>
    </xdr:pic>
    <xdr:clientData/>
  </xdr:twoCellAnchor>
  <xdr:twoCellAnchor editAs="oneCell">
    <xdr:from>
      <xdr:col>0</xdr:col>
      <xdr:colOff>2095492</xdr:colOff>
      <xdr:row>9</xdr:row>
      <xdr:rowOff>0</xdr:rowOff>
    </xdr:from>
    <xdr:to>
      <xdr:col>1</xdr:col>
      <xdr:colOff>2682100</xdr:colOff>
      <xdr:row>10</xdr:row>
      <xdr:rowOff>0</xdr:rowOff>
    </xdr:to>
    <xdr:pic>
      <xdr:nvPicPr>
        <xdr:cNvPr id="12" name="Picture 11"/>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095492" y="11382375"/>
          <a:ext cx="2682108" cy="1764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cagi.org/files/installation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13%20J%20van%20Sittert\ALL_Purpose_worksheet%20(Convers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ALLATION"/>
      <sheetName val="CONVERSION"/>
      <sheetName val="KW COST"/>
      <sheetName val="Langue"/>
      <sheetName val="GLOBAL DATA"/>
      <sheetName val="CONVERSION _DATA"/>
    </sheetNames>
    <sheetDataSet>
      <sheetData sheetId="0"/>
      <sheetData sheetId="1"/>
      <sheetData sheetId="2"/>
      <sheetData sheetId="3"/>
      <sheetData sheetId="4">
        <row r="9">
          <cell r="E9" t="str">
            <v>EURO</v>
          </cell>
        </row>
        <row r="12">
          <cell r="E12">
            <v>3.504</v>
          </cell>
        </row>
        <row r="58">
          <cell r="B58" t="str">
            <v xml:space="preserve"> 1/8 "</v>
          </cell>
          <cell r="C58" t="str">
            <v xml:space="preserve"> 5 -10</v>
          </cell>
        </row>
        <row r="59">
          <cell r="B59" t="str">
            <v xml:space="preserve"> 1/4 "</v>
          </cell>
          <cell r="C59" t="str">
            <v xml:space="preserve"> 8 -13</v>
          </cell>
        </row>
        <row r="60">
          <cell r="B60" t="str">
            <v xml:space="preserve"> 3/8 "</v>
          </cell>
          <cell r="C60" t="str">
            <v xml:space="preserve"> 12 - 17</v>
          </cell>
        </row>
        <row r="61">
          <cell r="B61" t="str">
            <v xml:space="preserve"> 1/2 "</v>
          </cell>
          <cell r="C61" t="str">
            <v xml:space="preserve"> 15 - 21</v>
          </cell>
        </row>
        <row r="62">
          <cell r="B62" t="str">
            <v xml:space="preserve"> 3/4 "</v>
          </cell>
          <cell r="C62" t="str">
            <v xml:space="preserve"> 20 - 27</v>
          </cell>
        </row>
        <row r="63">
          <cell r="B63" t="str">
            <v xml:space="preserve"> 1"</v>
          </cell>
          <cell r="C63" t="str">
            <v xml:space="preserve"> 26 - 34</v>
          </cell>
        </row>
        <row r="64">
          <cell r="B64" t="str">
            <v xml:space="preserve"> 1 " 1/4</v>
          </cell>
          <cell r="C64" t="str">
            <v xml:space="preserve"> 33 - 42</v>
          </cell>
        </row>
        <row r="65">
          <cell r="B65" t="str">
            <v xml:space="preserve"> 1 " 1/2</v>
          </cell>
          <cell r="C65" t="str">
            <v xml:space="preserve"> 40 - 49</v>
          </cell>
        </row>
        <row r="66">
          <cell r="B66" t="str">
            <v xml:space="preserve"> 2 "</v>
          </cell>
          <cell r="C66" t="str">
            <v xml:space="preserve"> 50 - 60</v>
          </cell>
        </row>
        <row r="67">
          <cell r="B67" t="str">
            <v xml:space="preserve"> 2 " 1/2</v>
          </cell>
          <cell r="C67" t="str">
            <v xml:space="preserve"> 66 - 76</v>
          </cell>
        </row>
        <row r="68">
          <cell r="B68" t="str">
            <v xml:space="preserve"> 3 "</v>
          </cell>
          <cell r="C68" t="str">
            <v xml:space="preserve"> 80 - 90</v>
          </cell>
        </row>
        <row r="69">
          <cell r="B69" t="str">
            <v xml:space="preserve"> 3 " 1/2</v>
          </cell>
          <cell r="C69" t="str">
            <v xml:space="preserve"> 90 -102</v>
          </cell>
        </row>
        <row r="70">
          <cell r="B70" t="str">
            <v xml:space="preserve"> 4"</v>
          </cell>
          <cell r="C70" t="str">
            <v xml:space="preserve"> 102 - 114</v>
          </cell>
        </row>
        <row r="71">
          <cell r="B71" t="str">
            <v xml:space="preserve"> 5"</v>
          </cell>
          <cell r="C71" t="str">
            <v>126 - 141</v>
          </cell>
        </row>
        <row r="72">
          <cell r="B72" t="str">
            <v xml:space="preserve"> 6"</v>
          </cell>
          <cell r="C72" t="str">
            <v>152 - 170</v>
          </cell>
        </row>
        <row r="105">
          <cell r="C105">
            <v>25</v>
          </cell>
        </row>
        <row r="106">
          <cell r="C106">
            <v>25</v>
          </cell>
        </row>
        <row r="107">
          <cell r="C107">
            <v>40</v>
          </cell>
        </row>
        <row r="140">
          <cell r="C140" t="str">
            <v>RING</v>
          </cell>
        </row>
        <row r="141">
          <cell r="C141" t="str">
            <v>RING</v>
          </cell>
        </row>
        <row r="142">
          <cell r="C142" t="str">
            <v>RING</v>
          </cell>
        </row>
      </sheetData>
      <sheetData sheetId="5">
        <row r="7">
          <cell r="B7">
            <v>0.58850000000000002</v>
          </cell>
          <cell r="F7">
            <v>0.27777777777777779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it Conversion"/>
      <sheetName val="Calendar"/>
      <sheetName val="Checkbook Balance"/>
      <sheetName val="Loan Payment"/>
      <sheetName val="BMI &amp; Calorie"/>
      <sheetName val="Blood Pressure"/>
      <sheetName val="Conversion"/>
      <sheetName val="Convert"/>
      <sheetName val="Right Triangle"/>
      <sheetName val="Tap Drill"/>
      <sheetName val="Drill Bit Equivalence"/>
      <sheetName val="Chart 1"/>
      <sheetName val="Chart 2"/>
      <sheetName val="Bolt Circle"/>
      <sheetName val="Spiral"/>
      <sheetName val="Rotate"/>
      <sheetName val="Cone Fab"/>
      <sheetName val="Circle Segment"/>
      <sheetName val="Polygon"/>
      <sheetName val="Trig Function"/>
      <sheetName val="Data"/>
    </sheetNames>
    <sheetDataSet>
      <sheetData sheetId="0"/>
      <sheetData sheetId="1">
        <row r="22">
          <cell r="C22" t="str">
            <v>SUN</v>
          </cell>
          <cell r="D22" t="str">
            <v>MON</v>
          </cell>
          <cell r="E22" t="str">
            <v>TUE</v>
          </cell>
          <cell r="F22" t="str">
            <v>WED</v>
          </cell>
          <cell r="G22" t="str">
            <v>THU</v>
          </cell>
          <cell r="H22" t="str">
            <v>FRI</v>
          </cell>
          <cell r="I22" t="str">
            <v>SAT</v>
          </cell>
          <cell r="L22" t="str">
            <v>SUN</v>
          </cell>
          <cell r="M22" t="str">
            <v>MON</v>
          </cell>
          <cell r="N22" t="str">
            <v>TUE</v>
          </cell>
          <cell r="O22" t="str">
            <v>WED</v>
          </cell>
          <cell r="P22" t="str">
            <v>THU</v>
          </cell>
          <cell r="Q22" t="str">
            <v>FRI</v>
          </cell>
          <cell r="R22" t="str">
            <v>SAT</v>
          </cell>
          <cell r="U22" t="str">
            <v>SUN</v>
          </cell>
          <cell r="V22" t="str">
            <v>MON</v>
          </cell>
          <cell r="W22" t="str">
            <v>TUE</v>
          </cell>
          <cell r="X22" t="str">
            <v>WED</v>
          </cell>
          <cell r="Y22" t="str">
            <v>THU</v>
          </cell>
          <cell r="Z22" t="str">
            <v>FRI</v>
          </cell>
          <cell r="AA22" t="str">
            <v>SAT</v>
          </cell>
        </row>
        <row r="23">
          <cell r="C23">
            <v>0</v>
          </cell>
          <cell r="D23">
            <v>0</v>
          </cell>
          <cell r="E23">
            <v>0</v>
          </cell>
          <cell r="F23">
            <v>0</v>
          </cell>
          <cell r="G23">
            <v>0</v>
          </cell>
          <cell r="H23">
            <v>0</v>
          </cell>
          <cell r="I23">
            <v>1</v>
          </cell>
          <cell r="L23">
            <v>0</v>
          </cell>
          <cell r="M23">
            <v>0</v>
          </cell>
          <cell r="N23">
            <v>1</v>
          </cell>
          <cell r="O23">
            <v>2</v>
          </cell>
          <cell r="P23">
            <v>3</v>
          </cell>
          <cell r="Q23">
            <v>4</v>
          </cell>
          <cell r="R23">
            <v>5</v>
          </cell>
          <cell r="U23">
            <v>0</v>
          </cell>
          <cell r="V23">
            <v>0</v>
          </cell>
          <cell r="W23">
            <v>1</v>
          </cell>
          <cell r="X23">
            <v>2</v>
          </cell>
          <cell r="Y23">
            <v>3</v>
          </cell>
          <cell r="Z23">
            <v>4</v>
          </cell>
          <cell r="AA23">
            <v>5</v>
          </cell>
        </row>
        <row r="24">
          <cell r="C24">
            <v>2</v>
          </cell>
          <cell r="D24">
            <v>3</v>
          </cell>
          <cell r="E24">
            <v>4</v>
          </cell>
          <cell r="F24">
            <v>5</v>
          </cell>
          <cell r="G24">
            <v>6</v>
          </cell>
          <cell r="H24">
            <v>7</v>
          </cell>
          <cell r="I24">
            <v>8</v>
          </cell>
          <cell r="L24">
            <v>6</v>
          </cell>
          <cell r="M24">
            <v>7</v>
          </cell>
          <cell r="N24">
            <v>8</v>
          </cell>
          <cell r="O24">
            <v>9</v>
          </cell>
          <cell r="P24">
            <v>10</v>
          </cell>
          <cell r="Q24">
            <v>11</v>
          </cell>
          <cell r="R24">
            <v>12</v>
          </cell>
          <cell r="U24">
            <v>6</v>
          </cell>
          <cell r="V24">
            <v>7</v>
          </cell>
          <cell r="W24">
            <v>8</v>
          </cell>
          <cell r="X24">
            <v>9</v>
          </cell>
          <cell r="Y24">
            <v>10</v>
          </cell>
          <cell r="Z24">
            <v>11</v>
          </cell>
          <cell r="AA24">
            <v>12</v>
          </cell>
        </row>
        <row r="25">
          <cell r="C25">
            <v>9</v>
          </cell>
          <cell r="D25">
            <v>10</v>
          </cell>
          <cell r="E25">
            <v>11</v>
          </cell>
          <cell r="F25">
            <v>12</v>
          </cell>
          <cell r="G25">
            <v>13</v>
          </cell>
          <cell r="H25">
            <v>14</v>
          </cell>
          <cell r="I25">
            <v>15</v>
          </cell>
          <cell r="L25">
            <v>13</v>
          </cell>
          <cell r="M25">
            <v>14</v>
          </cell>
          <cell r="N25">
            <v>15</v>
          </cell>
          <cell r="O25">
            <v>16</v>
          </cell>
          <cell r="P25">
            <v>17</v>
          </cell>
          <cell r="Q25">
            <v>18</v>
          </cell>
          <cell r="R25">
            <v>19</v>
          </cell>
          <cell r="U25">
            <v>13</v>
          </cell>
          <cell r="V25">
            <v>14</v>
          </cell>
          <cell r="W25">
            <v>15</v>
          </cell>
          <cell r="X25">
            <v>16</v>
          </cell>
          <cell r="Y25">
            <v>17</v>
          </cell>
          <cell r="Z25">
            <v>18</v>
          </cell>
          <cell r="AA25">
            <v>19</v>
          </cell>
        </row>
        <row r="26">
          <cell r="C26">
            <v>16</v>
          </cell>
          <cell r="D26">
            <v>17</v>
          </cell>
          <cell r="E26">
            <v>18</v>
          </cell>
          <cell r="F26">
            <v>19</v>
          </cell>
          <cell r="G26">
            <v>20</v>
          </cell>
          <cell r="H26">
            <v>21</v>
          </cell>
          <cell r="I26">
            <v>22</v>
          </cell>
          <cell r="L26">
            <v>20</v>
          </cell>
          <cell r="M26">
            <v>21</v>
          </cell>
          <cell r="N26">
            <v>22</v>
          </cell>
          <cell r="O26">
            <v>23</v>
          </cell>
          <cell r="P26">
            <v>24</v>
          </cell>
          <cell r="Q26">
            <v>25</v>
          </cell>
          <cell r="R26">
            <v>26</v>
          </cell>
          <cell r="U26">
            <v>20</v>
          </cell>
          <cell r="V26">
            <v>21</v>
          </cell>
          <cell r="W26">
            <v>22</v>
          </cell>
          <cell r="X26">
            <v>23</v>
          </cell>
          <cell r="Y26">
            <v>24</v>
          </cell>
          <cell r="Z26">
            <v>25</v>
          </cell>
          <cell r="AA26">
            <v>26</v>
          </cell>
        </row>
        <row r="27">
          <cell r="C27">
            <v>23</v>
          </cell>
          <cell r="D27">
            <v>24</v>
          </cell>
          <cell r="E27">
            <v>25</v>
          </cell>
          <cell r="F27">
            <v>26</v>
          </cell>
          <cell r="G27">
            <v>27</v>
          </cell>
          <cell r="H27">
            <v>28</v>
          </cell>
          <cell r="I27">
            <v>29</v>
          </cell>
          <cell r="L27">
            <v>27</v>
          </cell>
          <cell r="M27">
            <v>28</v>
          </cell>
          <cell r="N27">
            <v>0</v>
          </cell>
          <cell r="O27">
            <v>0</v>
          </cell>
          <cell r="P27">
            <v>0</v>
          </cell>
          <cell r="Q27">
            <v>0</v>
          </cell>
          <cell r="R27">
            <v>0</v>
          </cell>
          <cell r="U27">
            <v>27</v>
          </cell>
          <cell r="V27">
            <v>28</v>
          </cell>
          <cell r="W27">
            <v>29</v>
          </cell>
          <cell r="X27">
            <v>30</v>
          </cell>
          <cell r="Y27">
            <v>31</v>
          </cell>
          <cell r="Z27">
            <v>0</v>
          </cell>
          <cell r="AA27">
            <v>0</v>
          </cell>
        </row>
        <row r="28">
          <cell r="C28">
            <v>30</v>
          </cell>
          <cell r="D28">
            <v>31</v>
          </cell>
          <cell r="E28">
            <v>0</v>
          </cell>
          <cell r="F28">
            <v>0</v>
          </cell>
          <cell r="G28">
            <v>0</v>
          </cell>
          <cell r="H28">
            <v>0</v>
          </cell>
          <cell r="I28">
            <v>0</v>
          </cell>
          <cell r="L28">
            <v>0</v>
          </cell>
          <cell r="M28">
            <v>0</v>
          </cell>
          <cell r="N28">
            <v>0</v>
          </cell>
          <cell r="O28">
            <v>0</v>
          </cell>
          <cell r="P28">
            <v>0</v>
          </cell>
          <cell r="Q28">
            <v>0</v>
          </cell>
          <cell r="R28">
            <v>0</v>
          </cell>
          <cell r="U28">
            <v>0</v>
          </cell>
          <cell r="V28">
            <v>0</v>
          </cell>
          <cell r="W28">
            <v>0</v>
          </cell>
          <cell r="X28">
            <v>0</v>
          </cell>
          <cell r="Y28">
            <v>0</v>
          </cell>
          <cell r="Z28">
            <v>0</v>
          </cell>
          <cell r="AA28">
            <v>0</v>
          </cell>
        </row>
        <row r="36">
          <cell r="C36" t="str">
            <v>SUN</v>
          </cell>
          <cell r="D36" t="str">
            <v>MON</v>
          </cell>
          <cell r="E36" t="str">
            <v>TUE</v>
          </cell>
          <cell r="F36" t="str">
            <v>WED</v>
          </cell>
          <cell r="G36" t="str">
            <v>THU</v>
          </cell>
          <cell r="H36" t="str">
            <v>FRI</v>
          </cell>
          <cell r="I36" t="str">
            <v>SAT</v>
          </cell>
          <cell r="L36" t="str">
            <v>SUN</v>
          </cell>
          <cell r="M36" t="str">
            <v>MON</v>
          </cell>
          <cell r="N36" t="str">
            <v>TUE</v>
          </cell>
          <cell r="O36" t="str">
            <v>WED</v>
          </cell>
          <cell r="P36" t="str">
            <v>THU</v>
          </cell>
          <cell r="Q36" t="str">
            <v>FRI</v>
          </cell>
          <cell r="R36" t="str">
            <v>SAT</v>
          </cell>
          <cell r="U36" t="str">
            <v>SUN</v>
          </cell>
          <cell r="V36" t="str">
            <v>MON</v>
          </cell>
          <cell r="W36" t="str">
            <v>TUE</v>
          </cell>
          <cell r="X36" t="str">
            <v>WED</v>
          </cell>
          <cell r="Y36" t="str">
            <v>THU</v>
          </cell>
          <cell r="Z36" t="str">
            <v>FRI</v>
          </cell>
          <cell r="AA36" t="str">
            <v>SAT</v>
          </cell>
        </row>
        <row r="37">
          <cell r="C37">
            <v>0</v>
          </cell>
          <cell r="D37">
            <v>0</v>
          </cell>
          <cell r="E37">
            <v>0</v>
          </cell>
          <cell r="F37">
            <v>0</v>
          </cell>
          <cell r="G37">
            <v>0</v>
          </cell>
          <cell r="H37">
            <v>1</v>
          </cell>
          <cell r="I37">
            <v>2</v>
          </cell>
          <cell r="L37">
            <v>1</v>
          </cell>
          <cell r="M37">
            <v>2</v>
          </cell>
          <cell r="N37">
            <v>3</v>
          </cell>
          <cell r="O37">
            <v>4</v>
          </cell>
          <cell r="P37">
            <v>5</v>
          </cell>
          <cell r="Q37">
            <v>6</v>
          </cell>
          <cell r="R37">
            <v>7</v>
          </cell>
          <cell r="U37">
            <v>0</v>
          </cell>
          <cell r="V37">
            <v>0</v>
          </cell>
          <cell r="W37">
            <v>0</v>
          </cell>
          <cell r="X37">
            <v>1</v>
          </cell>
          <cell r="Y37">
            <v>2</v>
          </cell>
          <cell r="Z37">
            <v>3</v>
          </cell>
          <cell r="AA37">
            <v>4</v>
          </cell>
        </row>
        <row r="38">
          <cell r="C38">
            <v>3</v>
          </cell>
          <cell r="D38">
            <v>4</v>
          </cell>
          <cell r="E38">
            <v>5</v>
          </cell>
          <cell r="F38">
            <v>6</v>
          </cell>
          <cell r="G38">
            <v>7</v>
          </cell>
          <cell r="H38">
            <v>8</v>
          </cell>
          <cell r="I38">
            <v>9</v>
          </cell>
          <cell r="L38">
            <v>8</v>
          </cell>
          <cell r="M38">
            <v>9</v>
          </cell>
          <cell r="N38">
            <v>10</v>
          </cell>
          <cell r="O38">
            <v>11</v>
          </cell>
          <cell r="P38">
            <v>12</v>
          </cell>
          <cell r="Q38">
            <v>13</v>
          </cell>
          <cell r="R38">
            <v>14</v>
          </cell>
          <cell r="U38">
            <v>5</v>
          </cell>
          <cell r="V38">
            <v>6</v>
          </cell>
          <cell r="W38">
            <v>7</v>
          </cell>
          <cell r="X38">
            <v>8</v>
          </cell>
          <cell r="Y38">
            <v>9</v>
          </cell>
          <cell r="Z38">
            <v>10</v>
          </cell>
          <cell r="AA38">
            <v>11</v>
          </cell>
        </row>
        <row r="39">
          <cell r="C39">
            <v>10</v>
          </cell>
          <cell r="D39">
            <v>11</v>
          </cell>
          <cell r="E39">
            <v>12</v>
          </cell>
          <cell r="F39">
            <v>13</v>
          </cell>
          <cell r="G39">
            <v>14</v>
          </cell>
          <cell r="H39">
            <v>15</v>
          </cell>
          <cell r="I39">
            <v>16</v>
          </cell>
          <cell r="L39">
            <v>15</v>
          </cell>
          <cell r="M39">
            <v>16</v>
          </cell>
          <cell r="N39">
            <v>17</v>
          </cell>
          <cell r="O39">
            <v>18</v>
          </cell>
          <cell r="P39">
            <v>19</v>
          </cell>
          <cell r="Q39">
            <v>20</v>
          </cell>
          <cell r="R39">
            <v>21</v>
          </cell>
          <cell r="U39">
            <v>12</v>
          </cell>
          <cell r="V39">
            <v>13</v>
          </cell>
          <cell r="W39">
            <v>14</v>
          </cell>
          <cell r="X39">
            <v>15</v>
          </cell>
          <cell r="Y39">
            <v>16</v>
          </cell>
          <cell r="Z39">
            <v>17</v>
          </cell>
          <cell r="AA39">
            <v>18</v>
          </cell>
        </row>
        <row r="40">
          <cell r="C40">
            <v>17</v>
          </cell>
          <cell r="D40">
            <v>18</v>
          </cell>
          <cell r="E40">
            <v>19</v>
          </cell>
          <cell r="F40">
            <v>20</v>
          </cell>
          <cell r="G40">
            <v>21</v>
          </cell>
          <cell r="H40">
            <v>22</v>
          </cell>
          <cell r="I40">
            <v>23</v>
          </cell>
          <cell r="L40">
            <v>22</v>
          </cell>
          <cell r="M40">
            <v>23</v>
          </cell>
          <cell r="N40">
            <v>24</v>
          </cell>
          <cell r="O40">
            <v>25</v>
          </cell>
          <cell r="P40">
            <v>26</v>
          </cell>
          <cell r="Q40">
            <v>27</v>
          </cell>
          <cell r="R40">
            <v>28</v>
          </cell>
          <cell r="U40">
            <v>19</v>
          </cell>
          <cell r="V40">
            <v>20</v>
          </cell>
          <cell r="W40">
            <v>21</v>
          </cell>
          <cell r="X40">
            <v>22</v>
          </cell>
          <cell r="Y40">
            <v>23</v>
          </cell>
          <cell r="Z40">
            <v>24</v>
          </cell>
          <cell r="AA40">
            <v>25</v>
          </cell>
        </row>
        <row r="41">
          <cell r="C41">
            <v>24</v>
          </cell>
          <cell r="D41">
            <v>25</v>
          </cell>
          <cell r="E41">
            <v>26</v>
          </cell>
          <cell r="F41">
            <v>27</v>
          </cell>
          <cell r="G41">
            <v>28</v>
          </cell>
          <cell r="H41">
            <v>29</v>
          </cell>
          <cell r="I41">
            <v>30</v>
          </cell>
          <cell r="L41">
            <v>29</v>
          </cell>
          <cell r="M41">
            <v>30</v>
          </cell>
          <cell r="N41">
            <v>31</v>
          </cell>
          <cell r="O41">
            <v>0</v>
          </cell>
          <cell r="P41">
            <v>0</v>
          </cell>
          <cell r="Q41">
            <v>0</v>
          </cell>
          <cell r="R41">
            <v>0</v>
          </cell>
          <cell r="U41">
            <v>26</v>
          </cell>
          <cell r="V41">
            <v>27</v>
          </cell>
          <cell r="W41">
            <v>28</v>
          </cell>
          <cell r="X41">
            <v>29</v>
          </cell>
          <cell r="Y41">
            <v>30</v>
          </cell>
          <cell r="Z41">
            <v>0</v>
          </cell>
          <cell r="AA41">
            <v>0</v>
          </cell>
        </row>
        <row r="42">
          <cell r="C42">
            <v>0</v>
          </cell>
          <cell r="D42">
            <v>0</v>
          </cell>
          <cell r="E42">
            <v>0</v>
          </cell>
          <cell r="F42">
            <v>0</v>
          </cell>
          <cell r="G42">
            <v>0</v>
          </cell>
          <cell r="H42">
            <v>0</v>
          </cell>
          <cell r="I42">
            <v>0</v>
          </cell>
          <cell r="L42">
            <v>0</v>
          </cell>
          <cell r="M42">
            <v>0</v>
          </cell>
          <cell r="N42">
            <v>0</v>
          </cell>
          <cell r="O42">
            <v>0</v>
          </cell>
          <cell r="P42">
            <v>0</v>
          </cell>
          <cell r="Q42">
            <v>0</v>
          </cell>
          <cell r="R42">
            <v>0</v>
          </cell>
          <cell r="U42">
            <v>0</v>
          </cell>
          <cell r="V42">
            <v>0</v>
          </cell>
          <cell r="W42">
            <v>0</v>
          </cell>
          <cell r="X42">
            <v>0</v>
          </cell>
          <cell r="Y42">
            <v>0</v>
          </cell>
          <cell r="Z42">
            <v>0</v>
          </cell>
          <cell r="AA42">
            <v>0</v>
          </cell>
        </row>
        <row r="50">
          <cell r="C50" t="str">
            <v>SUN</v>
          </cell>
          <cell r="D50" t="str">
            <v>MON</v>
          </cell>
          <cell r="E50" t="str">
            <v>TUE</v>
          </cell>
          <cell r="F50" t="str">
            <v>WED</v>
          </cell>
          <cell r="G50" t="str">
            <v>THU</v>
          </cell>
          <cell r="H50" t="str">
            <v>FRI</v>
          </cell>
          <cell r="I50" t="str">
            <v>SAT</v>
          </cell>
          <cell r="L50" t="str">
            <v>SUN</v>
          </cell>
          <cell r="M50" t="str">
            <v>MON</v>
          </cell>
          <cell r="N50" t="str">
            <v>TUE</v>
          </cell>
          <cell r="O50" t="str">
            <v>WED</v>
          </cell>
          <cell r="P50" t="str">
            <v>THU</v>
          </cell>
          <cell r="Q50" t="str">
            <v>FRI</v>
          </cell>
          <cell r="R50" t="str">
            <v>SAT</v>
          </cell>
          <cell r="U50" t="str">
            <v>SUN</v>
          </cell>
          <cell r="V50" t="str">
            <v>MON</v>
          </cell>
          <cell r="W50" t="str">
            <v>TUE</v>
          </cell>
          <cell r="X50" t="str">
            <v>WED</v>
          </cell>
          <cell r="Y50" t="str">
            <v>THU</v>
          </cell>
          <cell r="Z50" t="str">
            <v>FRI</v>
          </cell>
          <cell r="AA50" t="str">
            <v>SAT</v>
          </cell>
        </row>
        <row r="51">
          <cell r="C51">
            <v>0</v>
          </cell>
          <cell r="D51">
            <v>0</v>
          </cell>
          <cell r="E51">
            <v>0</v>
          </cell>
          <cell r="F51">
            <v>0</v>
          </cell>
          <cell r="G51">
            <v>0</v>
          </cell>
          <cell r="H51">
            <v>1</v>
          </cell>
          <cell r="I51">
            <v>2</v>
          </cell>
          <cell r="L51">
            <v>0</v>
          </cell>
          <cell r="M51">
            <v>1</v>
          </cell>
          <cell r="N51">
            <v>2</v>
          </cell>
          <cell r="O51">
            <v>3</v>
          </cell>
          <cell r="P51">
            <v>4</v>
          </cell>
          <cell r="Q51">
            <v>5</v>
          </cell>
          <cell r="R51">
            <v>6</v>
          </cell>
          <cell r="U51">
            <v>0</v>
          </cell>
          <cell r="V51">
            <v>0</v>
          </cell>
          <cell r="W51">
            <v>0</v>
          </cell>
          <cell r="X51">
            <v>0</v>
          </cell>
          <cell r="Y51">
            <v>1</v>
          </cell>
          <cell r="Z51">
            <v>2</v>
          </cell>
          <cell r="AA51">
            <v>3</v>
          </cell>
        </row>
        <row r="52">
          <cell r="C52">
            <v>3</v>
          </cell>
          <cell r="D52">
            <v>4</v>
          </cell>
          <cell r="E52">
            <v>5</v>
          </cell>
          <cell r="F52">
            <v>6</v>
          </cell>
          <cell r="G52">
            <v>7</v>
          </cell>
          <cell r="H52">
            <v>8</v>
          </cell>
          <cell r="I52">
            <v>9</v>
          </cell>
          <cell r="L52">
            <v>7</v>
          </cell>
          <cell r="M52">
            <v>8</v>
          </cell>
          <cell r="N52">
            <v>9</v>
          </cell>
          <cell r="O52">
            <v>10</v>
          </cell>
          <cell r="P52">
            <v>11</v>
          </cell>
          <cell r="Q52">
            <v>12</v>
          </cell>
          <cell r="R52">
            <v>13</v>
          </cell>
          <cell r="U52">
            <v>4</v>
          </cell>
          <cell r="V52">
            <v>5</v>
          </cell>
          <cell r="W52">
            <v>6</v>
          </cell>
          <cell r="X52">
            <v>7</v>
          </cell>
          <cell r="Y52">
            <v>8</v>
          </cell>
          <cell r="Z52">
            <v>9</v>
          </cell>
          <cell r="AA52">
            <v>10</v>
          </cell>
        </row>
        <row r="53">
          <cell r="C53">
            <v>10</v>
          </cell>
          <cell r="D53">
            <v>11</v>
          </cell>
          <cell r="E53">
            <v>12</v>
          </cell>
          <cell r="F53">
            <v>13</v>
          </cell>
          <cell r="G53">
            <v>14</v>
          </cell>
          <cell r="H53">
            <v>15</v>
          </cell>
          <cell r="I53">
            <v>16</v>
          </cell>
          <cell r="L53">
            <v>14</v>
          </cell>
          <cell r="M53">
            <v>15</v>
          </cell>
          <cell r="N53">
            <v>16</v>
          </cell>
          <cell r="O53">
            <v>17</v>
          </cell>
          <cell r="P53">
            <v>18</v>
          </cell>
          <cell r="Q53">
            <v>19</v>
          </cell>
          <cell r="R53">
            <v>20</v>
          </cell>
          <cell r="U53">
            <v>11</v>
          </cell>
          <cell r="V53">
            <v>12</v>
          </cell>
          <cell r="W53">
            <v>13</v>
          </cell>
          <cell r="X53">
            <v>14</v>
          </cell>
          <cell r="Y53">
            <v>15</v>
          </cell>
          <cell r="Z53">
            <v>16</v>
          </cell>
          <cell r="AA53">
            <v>17</v>
          </cell>
        </row>
        <row r="54">
          <cell r="C54">
            <v>17</v>
          </cell>
          <cell r="D54">
            <v>18</v>
          </cell>
          <cell r="E54">
            <v>19</v>
          </cell>
          <cell r="F54">
            <v>20</v>
          </cell>
          <cell r="G54">
            <v>21</v>
          </cell>
          <cell r="H54">
            <v>22</v>
          </cell>
          <cell r="I54">
            <v>23</v>
          </cell>
          <cell r="L54">
            <v>21</v>
          </cell>
          <cell r="M54">
            <v>22</v>
          </cell>
          <cell r="N54">
            <v>23</v>
          </cell>
          <cell r="O54">
            <v>24</v>
          </cell>
          <cell r="P54">
            <v>25</v>
          </cell>
          <cell r="Q54">
            <v>26</v>
          </cell>
          <cell r="R54">
            <v>27</v>
          </cell>
          <cell r="U54">
            <v>18</v>
          </cell>
          <cell r="V54">
            <v>19</v>
          </cell>
          <cell r="W54">
            <v>20</v>
          </cell>
          <cell r="X54">
            <v>21</v>
          </cell>
          <cell r="Y54">
            <v>22</v>
          </cell>
          <cell r="Z54">
            <v>23</v>
          </cell>
          <cell r="AA54">
            <v>24</v>
          </cell>
        </row>
        <row r="55">
          <cell r="C55">
            <v>24</v>
          </cell>
          <cell r="D55">
            <v>25</v>
          </cell>
          <cell r="E55">
            <v>26</v>
          </cell>
          <cell r="F55">
            <v>27</v>
          </cell>
          <cell r="G55">
            <v>28</v>
          </cell>
          <cell r="H55">
            <v>29</v>
          </cell>
          <cell r="I55">
            <v>30</v>
          </cell>
          <cell r="L55">
            <v>28</v>
          </cell>
          <cell r="M55">
            <v>29</v>
          </cell>
          <cell r="N55">
            <v>30</v>
          </cell>
          <cell r="O55">
            <v>31</v>
          </cell>
          <cell r="P55">
            <v>0</v>
          </cell>
          <cell r="Q55">
            <v>0</v>
          </cell>
          <cell r="R55">
            <v>0</v>
          </cell>
          <cell r="U55">
            <v>25</v>
          </cell>
          <cell r="V55">
            <v>26</v>
          </cell>
          <cell r="W55">
            <v>27</v>
          </cell>
          <cell r="X55">
            <v>28</v>
          </cell>
          <cell r="Y55">
            <v>29</v>
          </cell>
          <cell r="Z55">
            <v>30</v>
          </cell>
          <cell r="AA55">
            <v>0</v>
          </cell>
        </row>
        <row r="56">
          <cell r="C56">
            <v>31</v>
          </cell>
          <cell r="D56">
            <v>0</v>
          </cell>
          <cell r="E56">
            <v>0</v>
          </cell>
          <cell r="F56">
            <v>0</v>
          </cell>
          <cell r="G56">
            <v>0</v>
          </cell>
          <cell r="H56">
            <v>0</v>
          </cell>
          <cell r="I56">
            <v>0</v>
          </cell>
          <cell r="L56">
            <v>0</v>
          </cell>
          <cell r="M56">
            <v>0</v>
          </cell>
          <cell r="N56">
            <v>0</v>
          </cell>
          <cell r="O56">
            <v>0</v>
          </cell>
          <cell r="P56">
            <v>0</v>
          </cell>
          <cell r="Q56">
            <v>0</v>
          </cell>
          <cell r="R56">
            <v>0</v>
          </cell>
          <cell r="U56">
            <v>0</v>
          </cell>
          <cell r="V56">
            <v>0</v>
          </cell>
          <cell r="W56">
            <v>0</v>
          </cell>
          <cell r="X56">
            <v>0</v>
          </cell>
          <cell r="Y56">
            <v>0</v>
          </cell>
          <cell r="Z56">
            <v>0</v>
          </cell>
          <cell r="AA56">
            <v>0</v>
          </cell>
        </row>
        <row r="64">
          <cell r="C64" t="str">
            <v>SUN</v>
          </cell>
          <cell r="D64" t="str">
            <v>MON</v>
          </cell>
          <cell r="E64" t="str">
            <v>TUE</v>
          </cell>
          <cell r="F64" t="str">
            <v>WED</v>
          </cell>
          <cell r="G64" t="str">
            <v>THU</v>
          </cell>
          <cell r="H64" t="str">
            <v>FRI</v>
          </cell>
          <cell r="I64" t="str">
            <v>SAT</v>
          </cell>
          <cell r="L64" t="str">
            <v>SUN</v>
          </cell>
          <cell r="M64" t="str">
            <v>MON</v>
          </cell>
          <cell r="N64" t="str">
            <v>TUE</v>
          </cell>
          <cell r="O64" t="str">
            <v>WED</v>
          </cell>
          <cell r="P64" t="str">
            <v>THU</v>
          </cell>
          <cell r="Q64" t="str">
            <v>FRI</v>
          </cell>
          <cell r="R64" t="str">
            <v>SAT</v>
          </cell>
          <cell r="U64" t="str">
            <v>SUN</v>
          </cell>
          <cell r="V64" t="str">
            <v>MON</v>
          </cell>
          <cell r="W64" t="str">
            <v>TUE</v>
          </cell>
          <cell r="X64" t="str">
            <v>WED</v>
          </cell>
          <cell r="Y64" t="str">
            <v>THU</v>
          </cell>
          <cell r="Z64" t="str">
            <v>FRI</v>
          </cell>
          <cell r="AA64" t="str">
            <v>SAT</v>
          </cell>
        </row>
        <row r="65">
          <cell r="C65">
            <v>0</v>
          </cell>
          <cell r="D65">
            <v>0</v>
          </cell>
          <cell r="E65">
            <v>0</v>
          </cell>
          <cell r="F65">
            <v>0</v>
          </cell>
          <cell r="G65">
            <v>0</v>
          </cell>
          <cell r="H65">
            <v>0</v>
          </cell>
          <cell r="I65">
            <v>1</v>
          </cell>
          <cell r="L65">
            <v>0</v>
          </cell>
          <cell r="M65">
            <v>0</v>
          </cell>
          <cell r="N65">
            <v>1</v>
          </cell>
          <cell r="O65">
            <v>2</v>
          </cell>
          <cell r="P65">
            <v>3</v>
          </cell>
          <cell r="Q65">
            <v>4</v>
          </cell>
          <cell r="R65">
            <v>5</v>
          </cell>
          <cell r="U65">
            <v>0</v>
          </cell>
          <cell r="V65">
            <v>0</v>
          </cell>
          <cell r="W65">
            <v>0</v>
          </cell>
          <cell r="X65">
            <v>0</v>
          </cell>
          <cell r="Y65">
            <v>1</v>
          </cell>
          <cell r="Z65">
            <v>2</v>
          </cell>
          <cell r="AA65">
            <v>3</v>
          </cell>
        </row>
        <row r="66">
          <cell r="C66">
            <v>2</v>
          </cell>
          <cell r="D66">
            <v>3</v>
          </cell>
          <cell r="E66">
            <v>4</v>
          </cell>
          <cell r="F66">
            <v>5</v>
          </cell>
          <cell r="G66">
            <v>6</v>
          </cell>
          <cell r="H66">
            <v>7</v>
          </cell>
          <cell r="I66">
            <v>8</v>
          </cell>
          <cell r="L66">
            <v>6</v>
          </cell>
          <cell r="M66">
            <v>7</v>
          </cell>
          <cell r="N66">
            <v>8</v>
          </cell>
          <cell r="O66">
            <v>9</v>
          </cell>
          <cell r="P66">
            <v>10</v>
          </cell>
          <cell r="Q66">
            <v>11</v>
          </cell>
          <cell r="R66">
            <v>12</v>
          </cell>
          <cell r="U66">
            <v>4</v>
          </cell>
          <cell r="V66">
            <v>5</v>
          </cell>
          <cell r="W66">
            <v>6</v>
          </cell>
          <cell r="X66">
            <v>7</v>
          </cell>
          <cell r="Y66">
            <v>8</v>
          </cell>
          <cell r="Z66">
            <v>9</v>
          </cell>
          <cell r="AA66">
            <v>10</v>
          </cell>
        </row>
        <row r="67">
          <cell r="C67">
            <v>9</v>
          </cell>
          <cell r="D67">
            <v>10</v>
          </cell>
          <cell r="E67">
            <v>11</v>
          </cell>
          <cell r="F67">
            <v>12</v>
          </cell>
          <cell r="G67">
            <v>13</v>
          </cell>
          <cell r="H67">
            <v>14</v>
          </cell>
          <cell r="I67">
            <v>15</v>
          </cell>
          <cell r="L67">
            <v>13</v>
          </cell>
          <cell r="M67">
            <v>14</v>
          </cell>
          <cell r="N67">
            <v>15</v>
          </cell>
          <cell r="O67">
            <v>16</v>
          </cell>
          <cell r="P67">
            <v>17</v>
          </cell>
          <cell r="Q67">
            <v>18</v>
          </cell>
          <cell r="R67">
            <v>19</v>
          </cell>
          <cell r="U67">
            <v>11</v>
          </cell>
          <cell r="V67">
            <v>12</v>
          </cell>
          <cell r="W67">
            <v>13</v>
          </cell>
          <cell r="X67">
            <v>14</v>
          </cell>
          <cell r="Y67">
            <v>15</v>
          </cell>
          <cell r="Z67">
            <v>16</v>
          </cell>
          <cell r="AA67">
            <v>17</v>
          </cell>
        </row>
        <row r="68">
          <cell r="C68">
            <v>16</v>
          </cell>
          <cell r="D68">
            <v>17</v>
          </cell>
          <cell r="E68">
            <v>18</v>
          </cell>
          <cell r="F68">
            <v>19</v>
          </cell>
          <cell r="G68">
            <v>20</v>
          </cell>
          <cell r="H68">
            <v>21</v>
          </cell>
          <cell r="I68">
            <v>22</v>
          </cell>
          <cell r="L68">
            <v>20</v>
          </cell>
          <cell r="M68">
            <v>21</v>
          </cell>
          <cell r="N68">
            <v>22</v>
          </cell>
          <cell r="O68">
            <v>23</v>
          </cell>
          <cell r="P68">
            <v>24</v>
          </cell>
          <cell r="Q68">
            <v>25</v>
          </cell>
          <cell r="R68">
            <v>26</v>
          </cell>
          <cell r="U68">
            <v>18</v>
          </cell>
          <cell r="V68">
            <v>19</v>
          </cell>
          <cell r="W68">
            <v>20</v>
          </cell>
          <cell r="X68">
            <v>21</v>
          </cell>
          <cell r="Y68">
            <v>22</v>
          </cell>
          <cell r="Z68">
            <v>23</v>
          </cell>
          <cell r="AA68">
            <v>24</v>
          </cell>
        </row>
        <row r="69">
          <cell r="C69">
            <v>23</v>
          </cell>
          <cell r="D69">
            <v>24</v>
          </cell>
          <cell r="E69">
            <v>25</v>
          </cell>
          <cell r="F69">
            <v>26</v>
          </cell>
          <cell r="G69">
            <v>27</v>
          </cell>
          <cell r="H69">
            <v>28</v>
          </cell>
          <cell r="I69">
            <v>29</v>
          </cell>
          <cell r="L69">
            <v>27</v>
          </cell>
          <cell r="M69">
            <v>28</v>
          </cell>
          <cell r="N69">
            <v>29</v>
          </cell>
          <cell r="O69">
            <v>30</v>
          </cell>
          <cell r="P69">
            <v>0</v>
          </cell>
          <cell r="Q69">
            <v>0</v>
          </cell>
          <cell r="R69">
            <v>0</v>
          </cell>
          <cell r="U69">
            <v>25</v>
          </cell>
          <cell r="V69">
            <v>26</v>
          </cell>
          <cell r="W69">
            <v>27</v>
          </cell>
          <cell r="X69">
            <v>28</v>
          </cell>
          <cell r="Y69">
            <v>29</v>
          </cell>
          <cell r="Z69">
            <v>30</v>
          </cell>
          <cell r="AA69">
            <v>31</v>
          </cell>
        </row>
        <row r="70">
          <cell r="C70">
            <v>30</v>
          </cell>
          <cell r="D70">
            <v>31</v>
          </cell>
          <cell r="E70">
            <v>0</v>
          </cell>
          <cell r="F70">
            <v>0</v>
          </cell>
          <cell r="G70">
            <v>0</v>
          </cell>
          <cell r="H70">
            <v>0</v>
          </cell>
          <cell r="I70">
            <v>0</v>
          </cell>
          <cell r="L70">
            <v>0</v>
          </cell>
          <cell r="M70">
            <v>0</v>
          </cell>
          <cell r="N70">
            <v>0</v>
          </cell>
          <cell r="O70">
            <v>0</v>
          </cell>
          <cell r="P70">
            <v>0</v>
          </cell>
          <cell r="Q70">
            <v>0</v>
          </cell>
          <cell r="R70">
            <v>0</v>
          </cell>
          <cell r="U70">
            <v>0</v>
          </cell>
          <cell r="V70">
            <v>0</v>
          </cell>
          <cell r="W70">
            <v>0</v>
          </cell>
          <cell r="X70">
            <v>0</v>
          </cell>
          <cell r="Y70">
            <v>0</v>
          </cell>
          <cell r="Z70">
            <v>0</v>
          </cell>
          <cell r="AA70">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3.wmf"/><Relationship Id="rId12" Type="http://schemas.openxmlformats.org/officeDocument/2006/relationships/image" Target="../media/image5.wmf"/><Relationship Id="rId2" Type="http://schemas.openxmlformats.org/officeDocument/2006/relationships/drawing" Target="../drawings/drawing4.xml"/><Relationship Id="rId1" Type="http://schemas.openxmlformats.org/officeDocument/2006/relationships/printerSettings" Target="../printerSettings/printerSettings8.bin"/><Relationship Id="rId6" Type="http://schemas.openxmlformats.org/officeDocument/2006/relationships/oleObject" Target="../embeddings/oleObject2.bin"/><Relationship Id="rId11" Type="http://schemas.openxmlformats.org/officeDocument/2006/relationships/oleObject" Target="../embeddings/oleObject5.bin"/><Relationship Id="rId5" Type="http://schemas.openxmlformats.org/officeDocument/2006/relationships/image" Target="../media/image2.w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4.wmf"/></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8" Type="http://schemas.openxmlformats.org/officeDocument/2006/relationships/oleObject" Target="../embeddings/oleObject8.bin"/><Relationship Id="rId3" Type="http://schemas.openxmlformats.org/officeDocument/2006/relationships/vmlDrawing" Target="../drawings/vmlDrawing7.vml"/><Relationship Id="rId7" Type="http://schemas.openxmlformats.org/officeDocument/2006/relationships/image" Target="../media/image13.wmf"/><Relationship Id="rId2" Type="http://schemas.openxmlformats.org/officeDocument/2006/relationships/drawing" Target="../drawings/drawing6.xml"/><Relationship Id="rId1" Type="http://schemas.openxmlformats.org/officeDocument/2006/relationships/printerSettings" Target="../printerSettings/printerSettings11.bin"/><Relationship Id="rId6" Type="http://schemas.openxmlformats.org/officeDocument/2006/relationships/oleObject" Target="../embeddings/oleObject7.bin"/><Relationship Id="rId11" Type="http://schemas.openxmlformats.org/officeDocument/2006/relationships/image" Target="../media/image15.wmf"/><Relationship Id="rId5" Type="http://schemas.openxmlformats.org/officeDocument/2006/relationships/image" Target="../media/image12.wmf"/><Relationship Id="rId10" Type="http://schemas.openxmlformats.org/officeDocument/2006/relationships/oleObject" Target="../embeddings/oleObject9.bin"/><Relationship Id="rId4" Type="http://schemas.openxmlformats.org/officeDocument/2006/relationships/oleObject" Target="../embeddings/oleObject6.bin"/><Relationship Id="rId9" Type="http://schemas.openxmlformats.org/officeDocument/2006/relationships/image" Target="../media/image14.wmf"/></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oleObject" Target="../embeddings/oleObject12.bin"/><Relationship Id="rId3" Type="http://schemas.openxmlformats.org/officeDocument/2006/relationships/vmlDrawing" Target="../drawings/vmlDrawing9.vml"/><Relationship Id="rId7" Type="http://schemas.openxmlformats.org/officeDocument/2006/relationships/image" Target="../media/image23.wmf"/><Relationship Id="rId2" Type="http://schemas.openxmlformats.org/officeDocument/2006/relationships/drawing" Target="../drawings/drawing10.xml"/><Relationship Id="rId1" Type="http://schemas.openxmlformats.org/officeDocument/2006/relationships/printerSettings" Target="../printerSettings/printerSettings15.bin"/><Relationship Id="rId6" Type="http://schemas.openxmlformats.org/officeDocument/2006/relationships/oleObject" Target="../embeddings/oleObject11.bin"/><Relationship Id="rId5" Type="http://schemas.openxmlformats.org/officeDocument/2006/relationships/image" Target="../media/image13.wmf"/><Relationship Id="rId10" Type="http://schemas.openxmlformats.org/officeDocument/2006/relationships/comments" Target="../comments7.xml"/><Relationship Id="rId4" Type="http://schemas.openxmlformats.org/officeDocument/2006/relationships/oleObject" Target="../embeddings/oleObject10.bin"/><Relationship Id="rId9" Type="http://schemas.openxmlformats.org/officeDocument/2006/relationships/image" Target="../media/image24.wmf"/></Relationships>
</file>

<file path=xl/worksheets/_rels/sheet17.xml.rels><?xml version="1.0" encoding="UTF-8" standalone="yes"?>
<Relationships xmlns="http://schemas.openxmlformats.org/package/2006/relationships"><Relationship Id="rId13" Type="http://schemas.openxmlformats.org/officeDocument/2006/relationships/image" Target="../media/image24.wmf"/><Relationship Id="rId18" Type="http://schemas.openxmlformats.org/officeDocument/2006/relationships/oleObject" Target="../embeddings/oleObject21.bin"/><Relationship Id="rId26" Type="http://schemas.openxmlformats.org/officeDocument/2006/relationships/image" Target="../media/image31.wmf"/><Relationship Id="rId3" Type="http://schemas.openxmlformats.org/officeDocument/2006/relationships/vmlDrawing" Target="../drawings/vmlDrawing10.vml"/><Relationship Id="rId21" Type="http://schemas.openxmlformats.org/officeDocument/2006/relationships/oleObject" Target="../embeddings/oleObject24.bin"/><Relationship Id="rId34" Type="http://schemas.openxmlformats.org/officeDocument/2006/relationships/image" Target="../media/image35.emf"/><Relationship Id="rId7" Type="http://schemas.openxmlformats.org/officeDocument/2006/relationships/image" Target="../media/image26.emf"/><Relationship Id="rId12" Type="http://schemas.openxmlformats.org/officeDocument/2006/relationships/oleObject" Target="../embeddings/oleObject17.bin"/><Relationship Id="rId17" Type="http://schemas.openxmlformats.org/officeDocument/2006/relationships/oleObject" Target="../embeddings/oleObject20.bin"/><Relationship Id="rId25" Type="http://schemas.openxmlformats.org/officeDocument/2006/relationships/oleObject" Target="../embeddings/oleObject26.bin"/><Relationship Id="rId33" Type="http://schemas.openxmlformats.org/officeDocument/2006/relationships/oleObject" Target="../embeddings/oleObject30.bin"/><Relationship Id="rId2" Type="http://schemas.openxmlformats.org/officeDocument/2006/relationships/drawing" Target="../drawings/drawing11.xml"/><Relationship Id="rId16" Type="http://schemas.openxmlformats.org/officeDocument/2006/relationships/oleObject" Target="../embeddings/oleObject19.bin"/><Relationship Id="rId20" Type="http://schemas.openxmlformats.org/officeDocument/2006/relationships/oleObject" Target="../embeddings/oleObject23.bin"/><Relationship Id="rId29" Type="http://schemas.openxmlformats.org/officeDocument/2006/relationships/oleObject" Target="../embeddings/oleObject28.bin"/><Relationship Id="rId1" Type="http://schemas.openxmlformats.org/officeDocument/2006/relationships/printerSettings" Target="../printerSettings/printerSettings16.bin"/><Relationship Id="rId6" Type="http://schemas.openxmlformats.org/officeDocument/2006/relationships/oleObject" Target="../embeddings/oleObject14.bin"/><Relationship Id="rId11" Type="http://schemas.openxmlformats.org/officeDocument/2006/relationships/image" Target="../media/image23.wmf"/><Relationship Id="rId24" Type="http://schemas.openxmlformats.org/officeDocument/2006/relationships/image" Target="../media/image30.wmf"/><Relationship Id="rId32" Type="http://schemas.openxmlformats.org/officeDocument/2006/relationships/image" Target="../media/image34.wmf"/><Relationship Id="rId5" Type="http://schemas.openxmlformats.org/officeDocument/2006/relationships/image" Target="../media/image25.wmf"/><Relationship Id="rId15" Type="http://schemas.openxmlformats.org/officeDocument/2006/relationships/image" Target="../media/image28.wmf"/><Relationship Id="rId23" Type="http://schemas.openxmlformats.org/officeDocument/2006/relationships/oleObject" Target="../embeddings/oleObject25.bin"/><Relationship Id="rId28" Type="http://schemas.openxmlformats.org/officeDocument/2006/relationships/image" Target="../media/image32.wmf"/><Relationship Id="rId10" Type="http://schemas.openxmlformats.org/officeDocument/2006/relationships/oleObject" Target="../embeddings/oleObject16.bin"/><Relationship Id="rId19" Type="http://schemas.openxmlformats.org/officeDocument/2006/relationships/oleObject" Target="../embeddings/oleObject22.bin"/><Relationship Id="rId31" Type="http://schemas.openxmlformats.org/officeDocument/2006/relationships/oleObject" Target="../embeddings/oleObject29.bin"/><Relationship Id="rId4" Type="http://schemas.openxmlformats.org/officeDocument/2006/relationships/oleObject" Target="../embeddings/oleObject13.bin"/><Relationship Id="rId9" Type="http://schemas.openxmlformats.org/officeDocument/2006/relationships/image" Target="../media/image27.emf"/><Relationship Id="rId14" Type="http://schemas.openxmlformats.org/officeDocument/2006/relationships/oleObject" Target="../embeddings/oleObject18.bin"/><Relationship Id="rId22" Type="http://schemas.openxmlformats.org/officeDocument/2006/relationships/image" Target="../media/image29.wmf"/><Relationship Id="rId27" Type="http://schemas.openxmlformats.org/officeDocument/2006/relationships/oleObject" Target="../embeddings/oleObject27.bin"/><Relationship Id="rId30" Type="http://schemas.openxmlformats.org/officeDocument/2006/relationships/image" Target="../media/image33.emf"/><Relationship Id="rId8" Type="http://schemas.openxmlformats.org/officeDocument/2006/relationships/oleObject" Target="../embeddings/oleObject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1.vml"/><Relationship Id="rId7" Type="http://schemas.openxmlformats.org/officeDocument/2006/relationships/comments" Target="../comments8.xml"/><Relationship Id="rId2" Type="http://schemas.openxmlformats.org/officeDocument/2006/relationships/drawing" Target="../drawings/drawing12.xml"/><Relationship Id="rId1" Type="http://schemas.openxmlformats.org/officeDocument/2006/relationships/printerSettings" Target="../printerSettings/printerSettings18.bin"/><Relationship Id="rId6" Type="http://schemas.openxmlformats.org/officeDocument/2006/relationships/oleObject" Target="../embeddings/oleObject32.bin"/><Relationship Id="rId5" Type="http://schemas.openxmlformats.org/officeDocument/2006/relationships/image" Target="../media/image36.emf"/><Relationship Id="rId4" Type="http://schemas.openxmlformats.org/officeDocument/2006/relationships/oleObject" Target="../embeddings/oleObject31.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4.xml"/><Relationship Id="rId1" Type="http://schemas.openxmlformats.org/officeDocument/2006/relationships/printerSettings" Target="../printerSettings/printerSettings20.bin"/><Relationship Id="rId4" Type="http://schemas.openxmlformats.org/officeDocument/2006/relationships/comments" Target="../comments9.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5.xml"/><Relationship Id="rId1" Type="http://schemas.openxmlformats.org/officeDocument/2006/relationships/printerSettings" Target="../printerSettings/printerSettings21.bin"/><Relationship Id="rId5" Type="http://schemas.openxmlformats.org/officeDocument/2006/relationships/image" Target="../media/image37.emf"/><Relationship Id="rId4" Type="http://schemas.openxmlformats.org/officeDocument/2006/relationships/oleObject" Target="../embeddings/oleObject3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8" Type="http://schemas.openxmlformats.org/officeDocument/2006/relationships/oleObject" Target="../embeddings/oleObject36.bin"/><Relationship Id="rId3" Type="http://schemas.openxmlformats.org/officeDocument/2006/relationships/vmlDrawing" Target="../drawings/vmlDrawing14.vml"/><Relationship Id="rId7" Type="http://schemas.openxmlformats.org/officeDocument/2006/relationships/image" Target="../media/image39.wmf"/><Relationship Id="rId2" Type="http://schemas.openxmlformats.org/officeDocument/2006/relationships/drawing" Target="../drawings/drawing16.xml"/><Relationship Id="rId1" Type="http://schemas.openxmlformats.org/officeDocument/2006/relationships/printerSettings" Target="../printerSettings/printerSettings24.bin"/><Relationship Id="rId6" Type="http://schemas.openxmlformats.org/officeDocument/2006/relationships/oleObject" Target="../embeddings/oleObject35.bin"/><Relationship Id="rId5" Type="http://schemas.openxmlformats.org/officeDocument/2006/relationships/image" Target="../media/image38.wmf"/><Relationship Id="rId10" Type="http://schemas.openxmlformats.org/officeDocument/2006/relationships/comments" Target="../comments10.xml"/><Relationship Id="rId4" Type="http://schemas.openxmlformats.org/officeDocument/2006/relationships/oleObject" Target="../embeddings/oleObject34.bin"/><Relationship Id="rId9" Type="http://schemas.openxmlformats.org/officeDocument/2006/relationships/image" Target="../media/image40.wmf"/></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5.v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9.xml"/><Relationship Id="rId1" Type="http://schemas.openxmlformats.org/officeDocument/2006/relationships/printerSettings" Target="../printerSettings/printerSettings29.bin"/><Relationship Id="rId5" Type="http://schemas.openxmlformats.org/officeDocument/2006/relationships/image" Target="../media/image39.wmf"/><Relationship Id="rId4" Type="http://schemas.openxmlformats.org/officeDocument/2006/relationships/oleObject" Target="../embeddings/oleObject3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 Type="http://schemas.openxmlformats.org/officeDocument/2006/relationships/drawing" Target="../drawings/drawing2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32.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 Id="rId3" Type="http://schemas.openxmlformats.org/officeDocument/2006/relationships/vmlDrawing" Target="../drawings/vmlDrawing17.vm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47.xml"/><Relationship Id="rId18" Type="http://schemas.openxmlformats.org/officeDocument/2006/relationships/ctrlProp" Target="../ctrlProps/ctrlProp52.xml"/><Relationship Id="rId26" Type="http://schemas.openxmlformats.org/officeDocument/2006/relationships/ctrlProp" Target="../ctrlProps/ctrlProp60.xml"/><Relationship Id="rId3" Type="http://schemas.openxmlformats.org/officeDocument/2006/relationships/vmlDrawing" Target="../drawings/vmlDrawing18.vml"/><Relationship Id="rId21" Type="http://schemas.openxmlformats.org/officeDocument/2006/relationships/ctrlProp" Target="../ctrlProps/ctrlProp55.xml"/><Relationship Id="rId7" Type="http://schemas.openxmlformats.org/officeDocument/2006/relationships/ctrlProp" Target="../ctrlProps/ctrlProp41.xml"/><Relationship Id="rId12" Type="http://schemas.openxmlformats.org/officeDocument/2006/relationships/ctrlProp" Target="../ctrlProps/ctrlProp46.xml"/><Relationship Id="rId17" Type="http://schemas.openxmlformats.org/officeDocument/2006/relationships/ctrlProp" Target="../ctrlProps/ctrlProp51.xml"/><Relationship Id="rId25" Type="http://schemas.openxmlformats.org/officeDocument/2006/relationships/ctrlProp" Target="../ctrlProps/ctrlProp59.xml"/><Relationship Id="rId33" Type="http://schemas.openxmlformats.org/officeDocument/2006/relationships/ctrlProp" Target="../ctrlProps/ctrlProp67.xml"/><Relationship Id="rId2" Type="http://schemas.openxmlformats.org/officeDocument/2006/relationships/drawing" Target="../drawings/drawing22.xml"/><Relationship Id="rId16" Type="http://schemas.openxmlformats.org/officeDocument/2006/relationships/ctrlProp" Target="../ctrlProps/ctrlProp50.xml"/><Relationship Id="rId20" Type="http://schemas.openxmlformats.org/officeDocument/2006/relationships/ctrlProp" Target="../ctrlProps/ctrlProp54.xml"/><Relationship Id="rId29" Type="http://schemas.openxmlformats.org/officeDocument/2006/relationships/ctrlProp" Target="../ctrlProps/ctrlProp63.xml"/><Relationship Id="rId1" Type="http://schemas.openxmlformats.org/officeDocument/2006/relationships/printerSettings" Target="../printerSettings/printerSettings33.bin"/><Relationship Id="rId6" Type="http://schemas.openxmlformats.org/officeDocument/2006/relationships/ctrlProp" Target="../ctrlProps/ctrlProp40.xml"/><Relationship Id="rId11" Type="http://schemas.openxmlformats.org/officeDocument/2006/relationships/ctrlProp" Target="../ctrlProps/ctrlProp45.xml"/><Relationship Id="rId24" Type="http://schemas.openxmlformats.org/officeDocument/2006/relationships/ctrlProp" Target="../ctrlProps/ctrlProp58.xml"/><Relationship Id="rId32" Type="http://schemas.openxmlformats.org/officeDocument/2006/relationships/ctrlProp" Target="../ctrlProps/ctrlProp66.xml"/><Relationship Id="rId5" Type="http://schemas.openxmlformats.org/officeDocument/2006/relationships/ctrlProp" Target="../ctrlProps/ctrlProp39.xml"/><Relationship Id="rId15" Type="http://schemas.openxmlformats.org/officeDocument/2006/relationships/ctrlProp" Target="../ctrlProps/ctrlProp49.xml"/><Relationship Id="rId23" Type="http://schemas.openxmlformats.org/officeDocument/2006/relationships/ctrlProp" Target="../ctrlProps/ctrlProp57.xml"/><Relationship Id="rId28" Type="http://schemas.openxmlformats.org/officeDocument/2006/relationships/ctrlProp" Target="../ctrlProps/ctrlProp62.xml"/><Relationship Id="rId10" Type="http://schemas.openxmlformats.org/officeDocument/2006/relationships/ctrlProp" Target="../ctrlProps/ctrlProp44.xml"/><Relationship Id="rId19" Type="http://schemas.openxmlformats.org/officeDocument/2006/relationships/ctrlProp" Target="../ctrlProps/ctrlProp53.xml"/><Relationship Id="rId31" Type="http://schemas.openxmlformats.org/officeDocument/2006/relationships/ctrlProp" Target="../ctrlProps/ctrlProp65.xml"/><Relationship Id="rId4" Type="http://schemas.openxmlformats.org/officeDocument/2006/relationships/ctrlProp" Target="../ctrlProps/ctrlProp38.xml"/><Relationship Id="rId9" Type="http://schemas.openxmlformats.org/officeDocument/2006/relationships/ctrlProp" Target="../ctrlProps/ctrlProp43.xml"/><Relationship Id="rId14" Type="http://schemas.openxmlformats.org/officeDocument/2006/relationships/ctrlProp" Target="../ctrlProps/ctrlProp48.xml"/><Relationship Id="rId22" Type="http://schemas.openxmlformats.org/officeDocument/2006/relationships/ctrlProp" Target="../ctrlProps/ctrlProp56.xml"/><Relationship Id="rId27" Type="http://schemas.openxmlformats.org/officeDocument/2006/relationships/ctrlProp" Target="../ctrlProps/ctrlProp61.xml"/><Relationship Id="rId30" Type="http://schemas.openxmlformats.org/officeDocument/2006/relationships/ctrlProp" Target="../ctrlProps/ctrlProp64.xml"/><Relationship Id="rId8" Type="http://schemas.openxmlformats.org/officeDocument/2006/relationships/ctrlProp" Target="../ctrlProps/ctrlProp42.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3.xml"/><Relationship Id="rId1" Type="http://schemas.openxmlformats.org/officeDocument/2006/relationships/printerSettings" Target="../printerSettings/printerSettings34.bin"/><Relationship Id="rId4" Type="http://schemas.openxmlformats.org/officeDocument/2006/relationships/comments" Target="../comments12.xml"/></Relationships>
</file>

<file path=xl/worksheets/_rels/sheet3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20.vml"/><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8.xml"/><Relationship Id="rId1" Type="http://schemas.openxmlformats.org/officeDocument/2006/relationships/printerSettings" Target="../printerSettings/printerSettings36.bin"/><Relationship Id="rId4" Type="http://schemas.openxmlformats.org/officeDocument/2006/relationships/comments" Target="../comments14.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Z352"/>
  <sheetViews>
    <sheetView zoomScale="85" zoomScaleNormal="85" workbookViewId="0">
      <selection activeCell="E22" sqref="E22"/>
    </sheetView>
  </sheetViews>
  <sheetFormatPr defaultColWidth="9.140625" defaultRowHeight="15"/>
  <cols>
    <col min="1" max="1" width="40.28515625" style="2140" customWidth="1"/>
    <col min="2" max="2" width="51" style="2123" customWidth="1"/>
    <col min="3" max="3" width="41.42578125" style="2123" customWidth="1"/>
    <col min="4" max="4" width="34" style="2123" customWidth="1"/>
    <col min="5" max="5" width="27.7109375" style="2123" customWidth="1"/>
    <col min="6" max="6" width="22.28515625" style="2123" customWidth="1"/>
    <col min="7" max="7" width="28.28515625" style="2123" customWidth="1"/>
    <col min="8" max="8" width="20" style="1883" bestFit="1" customWidth="1"/>
    <col min="9" max="9" width="15.140625" style="1883" customWidth="1"/>
    <col min="10" max="10" width="15.28515625" style="1883" customWidth="1"/>
    <col min="11" max="11" width="18.85546875" style="1883" customWidth="1"/>
    <col min="12" max="14" width="15.42578125" style="1883" customWidth="1"/>
    <col min="15" max="26" width="9.140625" style="1882"/>
    <col min="27" max="16384" width="9.140625" style="1881"/>
  </cols>
  <sheetData>
    <row r="2" spans="1:26">
      <c r="A2" s="1944" t="s">
        <v>1764</v>
      </c>
      <c r="B2" s="2752" t="s">
        <v>1765</v>
      </c>
      <c r="C2" s="2753"/>
      <c r="D2" s="2753"/>
      <c r="E2" s="2753"/>
      <c r="F2" s="2753"/>
      <c r="G2" s="2753"/>
      <c r="H2" s="2753"/>
      <c r="I2" s="2753"/>
      <c r="J2" s="2754"/>
    </row>
    <row r="3" spans="1:26">
      <c r="A3" s="2134" t="s">
        <v>1747</v>
      </c>
      <c r="B3" s="2558" t="s">
        <v>1772</v>
      </c>
      <c r="C3" s="2658"/>
      <c r="D3" s="2658"/>
      <c r="E3" s="2658"/>
      <c r="F3" s="2658"/>
      <c r="G3" s="2658"/>
      <c r="H3" s="2658"/>
      <c r="I3" s="2658"/>
      <c r="J3" s="2658"/>
      <c r="K3" s="2659"/>
    </row>
    <row r="4" spans="1:26">
      <c r="A4" s="2135" t="s">
        <v>1717</v>
      </c>
      <c r="B4" s="2559" t="s">
        <v>1791</v>
      </c>
      <c r="C4" s="2660"/>
      <c r="D4" s="2660"/>
      <c r="E4" s="2658"/>
      <c r="F4" s="2658"/>
      <c r="G4" s="2658"/>
      <c r="H4" s="2658"/>
      <c r="I4" s="2658"/>
      <c r="J4" s="2658"/>
      <c r="K4" s="2659"/>
    </row>
    <row r="5" spans="1:26">
      <c r="A5" s="2135" t="s">
        <v>1718</v>
      </c>
      <c r="B5" s="2559" t="s">
        <v>578</v>
      </c>
      <c r="C5" s="2559" t="s">
        <v>571</v>
      </c>
      <c r="D5" s="2559" t="s">
        <v>579</v>
      </c>
      <c r="E5" s="2658"/>
      <c r="F5" s="2658"/>
      <c r="G5" s="2658"/>
      <c r="H5" s="2658"/>
      <c r="I5" s="2658"/>
      <c r="J5" s="2658"/>
      <c r="K5" s="2659"/>
    </row>
    <row r="6" spans="1:26" ht="22.5">
      <c r="A6" s="2136" t="s">
        <v>1719</v>
      </c>
      <c r="B6" s="2559" t="s">
        <v>1727</v>
      </c>
      <c r="C6" s="2558" t="s">
        <v>1726</v>
      </c>
      <c r="D6" s="2558" t="s">
        <v>591</v>
      </c>
      <c r="E6" s="2558" t="s">
        <v>1252</v>
      </c>
      <c r="F6" s="2658"/>
      <c r="G6" s="2658"/>
      <c r="H6" s="2658"/>
      <c r="I6" s="2658"/>
      <c r="J6" s="2658"/>
      <c r="K6" s="2659"/>
    </row>
    <row r="7" spans="1:26">
      <c r="A7" s="2147" t="s">
        <v>1720</v>
      </c>
      <c r="B7" s="2558" t="s">
        <v>597</v>
      </c>
      <c r="C7" s="2558" t="s">
        <v>1725</v>
      </c>
      <c r="D7" s="2558" t="s">
        <v>611</v>
      </c>
      <c r="E7" s="2658"/>
      <c r="F7" s="2658"/>
      <c r="G7" s="2658"/>
      <c r="H7" s="2658"/>
      <c r="I7" s="2658"/>
      <c r="J7" s="2658"/>
      <c r="K7" s="2659"/>
    </row>
    <row r="8" spans="1:26">
      <c r="A8" s="2557" t="s">
        <v>1811</v>
      </c>
      <c r="B8" s="2558" t="s">
        <v>1721</v>
      </c>
      <c r="C8" s="2558" t="s">
        <v>1812</v>
      </c>
      <c r="D8" s="2558" t="s">
        <v>1813</v>
      </c>
      <c r="E8" s="2658"/>
      <c r="F8" s="2658"/>
      <c r="G8" s="2658"/>
      <c r="H8" s="2658"/>
      <c r="I8" s="2658"/>
      <c r="J8" s="2658"/>
      <c r="K8" s="2659"/>
    </row>
    <row r="9" spans="1:26">
      <c r="A9" s="2148" t="s">
        <v>1722</v>
      </c>
      <c r="B9" s="2558" t="s">
        <v>1587</v>
      </c>
      <c r="C9" s="2558" t="s">
        <v>1597</v>
      </c>
      <c r="D9" s="2660"/>
      <c r="E9" s="2658"/>
      <c r="F9" s="2658"/>
      <c r="G9" s="2658"/>
      <c r="H9" s="2658"/>
      <c r="I9" s="2658"/>
      <c r="J9" s="2658"/>
      <c r="K9" s="2659"/>
    </row>
    <row r="10" spans="1:26" ht="33.75">
      <c r="A10" s="2137" t="s">
        <v>769</v>
      </c>
      <c r="B10" s="2560" t="s">
        <v>1723</v>
      </c>
      <c r="C10" s="2558" t="s">
        <v>1724</v>
      </c>
      <c r="D10" s="2558" t="s">
        <v>654</v>
      </c>
      <c r="E10" s="2558" t="s">
        <v>665</v>
      </c>
      <c r="F10" s="2558" t="s">
        <v>677</v>
      </c>
      <c r="G10" s="2558" t="s">
        <v>680</v>
      </c>
      <c r="H10" s="2558" t="s">
        <v>1270</v>
      </c>
      <c r="I10" s="2560" t="s">
        <v>2053</v>
      </c>
      <c r="J10" s="2558" t="s">
        <v>2129</v>
      </c>
      <c r="K10" s="2558" t="s">
        <v>2130</v>
      </c>
    </row>
    <row r="11" spans="1:26">
      <c r="A11" s="2141" t="s">
        <v>1748</v>
      </c>
      <c r="B11" s="2658" t="s">
        <v>1729</v>
      </c>
      <c r="C11" s="2658" t="s">
        <v>1728</v>
      </c>
      <c r="D11" s="2658" t="s">
        <v>1639</v>
      </c>
      <c r="E11" s="2658" t="s">
        <v>2071</v>
      </c>
      <c r="F11" s="2658"/>
      <c r="G11" s="2658"/>
      <c r="H11" s="2658"/>
      <c r="I11" s="2658"/>
      <c r="J11" s="2658"/>
      <c r="K11" s="2659"/>
    </row>
    <row r="12" spans="1:26" s="2654" customFormat="1">
      <c r="A12" s="2682" t="s">
        <v>2176</v>
      </c>
      <c r="B12" s="2558" t="str">
        <f>'Comp Air'!B3</f>
        <v>Pressure Loss through Piping for Air</v>
      </c>
      <c r="C12" s="2558" t="str">
        <f>'Comp Air'!B18</f>
        <v>Air Flow Rate through Piping</v>
      </c>
      <c r="D12" s="2558" t="str">
        <f>'Comp Air'!B53</f>
        <v>Effect of auto compression</v>
      </c>
      <c r="E12" s="2658"/>
      <c r="F12" s="2658"/>
      <c r="G12" s="2658"/>
      <c r="H12" s="2658"/>
      <c r="I12" s="2658"/>
      <c r="J12" s="2658"/>
      <c r="K12" s="2659"/>
      <c r="L12" s="1883"/>
      <c r="M12" s="1883"/>
      <c r="N12" s="1883"/>
      <c r="O12" s="1882"/>
      <c r="P12" s="1882"/>
      <c r="Q12" s="1882"/>
      <c r="R12" s="1882"/>
      <c r="S12" s="1882"/>
      <c r="T12" s="1882"/>
      <c r="U12" s="1882"/>
      <c r="V12" s="1882"/>
      <c r="W12" s="1882"/>
      <c r="X12" s="1882"/>
      <c r="Y12" s="1882"/>
      <c r="Z12" s="1882"/>
    </row>
    <row r="13" spans="1:26">
      <c r="A13" s="2149" t="s">
        <v>866</v>
      </c>
      <c r="B13" s="2558" t="s">
        <v>772</v>
      </c>
      <c r="C13" s="2558" t="s">
        <v>783</v>
      </c>
      <c r="D13" s="2558" t="s">
        <v>794</v>
      </c>
      <c r="E13" s="2558" t="s">
        <v>802</v>
      </c>
      <c r="F13" s="2658"/>
      <c r="G13" s="2658"/>
      <c r="H13" s="2658"/>
      <c r="I13" s="2658"/>
      <c r="J13" s="2658"/>
      <c r="K13" s="2659"/>
    </row>
    <row r="14" spans="1:26">
      <c r="A14" s="2142" t="s">
        <v>1758</v>
      </c>
      <c r="B14" s="2658" t="s">
        <v>1750</v>
      </c>
      <c r="C14" s="2658" t="s">
        <v>1751</v>
      </c>
      <c r="D14" s="2658" t="s">
        <v>1752</v>
      </c>
      <c r="E14" s="2658" t="s">
        <v>1753</v>
      </c>
      <c r="F14" s="2658" t="s">
        <v>1754</v>
      </c>
      <c r="G14" s="2658" t="s">
        <v>1755</v>
      </c>
      <c r="H14" s="2658" t="s">
        <v>1756</v>
      </c>
      <c r="I14" s="2658" t="s">
        <v>1756</v>
      </c>
      <c r="J14" s="2658" t="s">
        <v>1757</v>
      </c>
      <c r="K14" s="2659"/>
    </row>
    <row r="15" spans="1:26" s="2654" customFormat="1" ht="25.5">
      <c r="A15" s="2662" t="s">
        <v>2156</v>
      </c>
      <c r="B15" s="2558" t="str">
        <f>'FAN LAWS'!B4</f>
        <v>Fan Speed Change  - Qty Change</v>
      </c>
      <c r="C15" s="2558" t="str">
        <f>'FAN LAWS'!B17</f>
        <v>Fan Speed Change - Pressure Change</v>
      </c>
      <c r="D15" s="2558" t="str">
        <f>'FAN LAWS'!B30</f>
        <v>Fan Speed Change - Power Change</v>
      </c>
      <c r="E15" s="2520" t="str">
        <f>'FAN LAWS'!B43</f>
        <v>FAN PULLEY SIZE CHANGES</v>
      </c>
      <c r="F15" s="2520" t="str">
        <f>'FAN LAWS'!B56</f>
        <v>MOTOR PULLEY SIZE CHANGES</v>
      </c>
      <c r="G15" s="2658"/>
      <c r="H15" s="2658"/>
      <c r="I15" s="2658"/>
      <c r="J15" s="2658"/>
      <c r="K15" s="2659"/>
      <c r="L15" s="1883"/>
      <c r="M15" s="1883"/>
      <c r="N15" s="1883"/>
      <c r="O15" s="1882"/>
      <c r="P15" s="1882"/>
      <c r="Q15" s="1882"/>
      <c r="R15" s="1882"/>
      <c r="S15" s="1882"/>
      <c r="T15" s="1882"/>
      <c r="U15" s="1882"/>
      <c r="V15" s="1882"/>
      <c r="W15" s="1882"/>
      <c r="X15" s="1882"/>
      <c r="Y15" s="1882"/>
      <c r="Z15" s="1882"/>
    </row>
    <row r="16" spans="1:26" ht="21.6" customHeight="1">
      <c r="A16" s="2661" t="s">
        <v>2134</v>
      </c>
      <c r="B16" s="2558" t="s">
        <v>840</v>
      </c>
      <c r="C16" s="2656" t="s">
        <v>2136</v>
      </c>
      <c r="D16" s="2559" t="s">
        <v>2135</v>
      </c>
      <c r="E16" s="2658"/>
      <c r="F16" s="2658"/>
      <c r="G16" s="2658"/>
      <c r="H16" s="2658"/>
      <c r="I16" s="2658"/>
      <c r="J16" s="2658"/>
      <c r="K16" s="2659"/>
    </row>
    <row r="17" spans="1:11" ht="22.5">
      <c r="A17" s="2151" t="s">
        <v>1730</v>
      </c>
      <c r="B17" s="2558" t="s">
        <v>1762</v>
      </c>
      <c r="C17" s="2558" t="s">
        <v>1763</v>
      </c>
      <c r="D17" s="2558" t="s">
        <v>1266</v>
      </c>
      <c r="E17" s="2558" t="s">
        <v>1344</v>
      </c>
      <c r="F17" s="2558" t="s">
        <v>1520</v>
      </c>
      <c r="G17" s="2658"/>
      <c r="H17" s="2658"/>
      <c r="I17" s="2658"/>
      <c r="J17" s="2658"/>
      <c r="K17" s="2659"/>
    </row>
    <row r="18" spans="1:11" ht="22.5">
      <c r="A18" s="2143" t="s">
        <v>1731</v>
      </c>
      <c r="B18" s="2558" t="s">
        <v>882</v>
      </c>
      <c r="C18" s="2558" t="s">
        <v>1767</v>
      </c>
      <c r="D18" s="2558" t="s">
        <v>1766</v>
      </c>
      <c r="E18" s="2558" t="s">
        <v>872</v>
      </c>
      <c r="F18" s="2558" t="s">
        <v>908</v>
      </c>
      <c r="G18" s="2558" t="s">
        <v>914</v>
      </c>
      <c r="H18" s="2558" t="s">
        <v>1684</v>
      </c>
      <c r="I18" s="2558" t="s">
        <v>919</v>
      </c>
      <c r="J18" s="2657" t="s">
        <v>1693</v>
      </c>
      <c r="K18" s="2659"/>
    </row>
    <row r="19" spans="1:11">
      <c r="A19" s="2152" t="s">
        <v>1732</v>
      </c>
      <c r="B19" s="2658" t="s">
        <v>1768</v>
      </c>
      <c r="C19" s="2660"/>
      <c r="D19" s="2658"/>
      <c r="E19" s="2658"/>
      <c r="F19" s="2658"/>
      <c r="G19" s="2658"/>
      <c r="H19" s="2658"/>
      <c r="I19" s="2658"/>
      <c r="J19" s="2658"/>
      <c r="K19" s="2659"/>
    </row>
    <row r="20" spans="1:11">
      <c r="A20" s="2150" t="s">
        <v>1733</v>
      </c>
      <c r="B20" s="2658" t="s">
        <v>953</v>
      </c>
      <c r="C20" s="2558" t="s">
        <v>1416</v>
      </c>
      <c r="D20" s="2658" t="s">
        <v>1769</v>
      </c>
      <c r="E20" s="2558" t="s">
        <v>965</v>
      </c>
      <c r="F20" s="2658"/>
      <c r="G20" s="2658"/>
      <c r="H20" s="2658"/>
      <c r="I20" s="2658"/>
      <c r="J20" s="2658"/>
      <c r="K20" s="2659"/>
    </row>
    <row r="21" spans="1:11">
      <c r="A21" s="2150" t="s">
        <v>1734</v>
      </c>
      <c r="B21" s="2658" t="s">
        <v>1770</v>
      </c>
      <c r="C21" s="2658" t="s">
        <v>1771</v>
      </c>
      <c r="D21" s="2658"/>
      <c r="E21" s="2658"/>
      <c r="F21" s="2658"/>
      <c r="G21" s="2658"/>
      <c r="H21" s="2658"/>
      <c r="I21" s="2658"/>
      <c r="J21" s="2658"/>
      <c r="K21" s="2659"/>
    </row>
    <row r="22" spans="1:11">
      <c r="A22" s="2144" t="s">
        <v>1671</v>
      </c>
      <c r="B22" s="2658" t="s">
        <v>1671</v>
      </c>
      <c r="C22" s="2658"/>
      <c r="D22" s="2658"/>
      <c r="E22" s="2658"/>
      <c r="F22" s="2658"/>
      <c r="G22" s="2658"/>
      <c r="H22" s="2658"/>
      <c r="I22" s="2658"/>
      <c r="J22" s="2658"/>
      <c r="K22" s="2659"/>
    </row>
    <row r="23" spans="1:11">
      <c r="A23" s="2145" t="s">
        <v>1735</v>
      </c>
      <c r="B23" s="2658" t="s">
        <v>1773</v>
      </c>
      <c r="C23" s="2658"/>
      <c r="D23" s="2658"/>
      <c r="E23" s="2658"/>
      <c r="F23" s="2658"/>
      <c r="G23" s="2658"/>
      <c r="H23" s="2658"/>
      <c r="I23" s="2658"/>
      <c r="J23" s="2658"/>
      <c r="K23" s="2659"/>
    </row>
    <row r="24" spans="1:11">
      <c r="A24" s="2145" t="s">
        <v>1736</v>
      </c>
      <c r="B24" s="2658" t="s">
        <v>1774</v>
      </c>
      <c r="C24" s="2658" t="s">
        <v>1775</v>
      </c>
      <c r="D24" s="2658"/>
      <c r="E24" s="2658"/>
      <c r="F24" s="2658"/>
      <c r="G24" s="2658"/>
      <c r="H24" s="2658"/>
      <c r="I24" s="2658"/>
      <c r="J24" s="2658"/>
      <c r="K24" s="2659"/>
    </row>
    <row r="25" spans="1:11">
      <c r="A25" s="2153" t="s">
        <v>1737</v>
      </c>
      <c r="B25" s="2658" t="s">
        <v>1776</v>
      </c>
      <c r="C25" s="2658"/>
      <c r="D25" s="2658"/>
      <c r="E25" s="2658"/>
      <c r="F25" s="2658"/>
      <c r="G25" s="2658"/>
      <c r="H25" s="2658"/>
      <c r="I25" s="2658"/>
      <c r="J25" s="2658"/>
      <c r="K25" s="2659"/>
    </row>
    <row r="26" spans="1:11" ht="22.5">
      <c r="A26" s="2146" t="s">
        <v>1738</v>
      </c>
      <c r="B26" s="2558" t="s">
        <v>1631</v>
      </c>
      <c r="C26" s="2558" t="s">
        <v>1777</v>
      </c>
      <c r="D26" s="2558" t="s">
        <v>1778</v>
      </c>
      <c r="E26" s="2558" t="s">
        <v>2183</v>
      </c>
      <c r="F26" s="2558" t="s">
        <v>1779</v>
      </c>
      <c r="G26" s="2558" t="s">
        <v>1009</v>
      </c>
      <c r="H26" s="2660"/>
      <c r="I26" s="2660"/>
      <c r="J26" s="2660"/>
      <c r="K26" s="2659"/>
    </row>
    <row r="27" spans="1:11">
      <c r="A27" s="2154" t="s">
        <v>1739</v>
      </c>
      <c r="B27" s="2658" t="s">
        <v>1780</v>
      </c>
      <c r="C27" s="2658"/>
      <c r="D27" s="2658"/>
      <c r="E27" s="2658"/>
      <c r="F27" s="2658"/>
      <c r="G27" s="2658"/>
      <c r="H27" s="2658"/>
      <c r="I27" s="2658"/>
      <c r="J27" s="2658"/>
      <c r="K27" s="2659"/>
    </row>
    <row r="28" spans="1:11">
      <c r="A28" s="2155" t="s">
        <v>1740</v>
      </c>
      <c r="B28" s="2658" t="s">
        <v>1288</v>
      </c>
      <c r="C28" s="2658" t="s">
        <v>1325</v>
      </c>
      <c r="D28" s="2658"/>
      <c r="E28" s="2658"/>
      <c r="F28" s="2658"/>
      <c r="G28" s="2658"/>
      <c r="H28" s="2658"/>
      <c r="I28" s="2658"/>
      <c r="J28" s="2658"/>
      <c r="K28" s="2659"/>
    </row>
    <row r="29" spans="1:11">
      <c r="A29" s="2148" t="s">
        <v>1746</v>
      </c>
      <c r="B29" s="2658" t="s">
        <v>1019</v>
      </c>
      <c r="C29" s="2658" t="s">
        <v>1783</v>
      </c>
      <c r="D29" s="2658"/>
      <c r="E29" s="2658"/>
      <c r="F29" s="2658"/>
      <c r="G29" s="2658"/>
      <c r="H29" s="2658"/>
      <c r="I29" s="2658"/>
      <c r="J29" s="2658"/>
      <c r="K29" s="2659"/>
    </row>
    <row r="30" spans="1:11" ht="22.5">
      <c r="A30" s="2156" t="s">
        <v>1741</v>
      </c>
      <c r="B30" s="2658" t="s">
        <v>1514</v>
      </c>
      <c r="C30" s="2658" t="s">
        <v>1508</v>
      </c>
      <c r="D30" s="2658" t="s">
        <v>1509</v>
      </c>
      <c r="E30" s="2658" t="s">
        <v>1510</v>
      </c>
      <c r="F30" s="2658" t="s">
        <v>1784</v>
      </c>
      <c r="G30" s="2658"/>
      <c r="H30" s="2658"/>
      <c r="I30" s="2658"/>
      <c r="J30" s="2658"/>
      <c r="K30" s="2659"/>
    </row>
    <row r="31" spans="1:11">
      <c r="A31" s="2157" t="s">
        <v>1742</v>
      </c>
      <c r="B31" s="2658" t="s">
        <v>1035</v>
      </c>
      <c r="C31" s="2658" t="s">
        <v>1046</v>
      </c>
      <c r="D31" s="2658" t="s">
        <v>1542</v>
      </c>
      <c r="E31" s="2658"/>
      <c r="F31" s="2658"/>
      <c r="G31" s="2658"/>
      <c r="H31" s="2658"/>
      <c r="I31" s="2658"/>
      <c r="J31" s="2658"/>
      <c r="K31" s="2659"/>
    </row>
    <row r="32" spans="1:11" ht="33.75">
      <c r="A32" s="2141" t="s">
        <v>1743</v>
      </c>
      <c r="B32" s="2658" t="s">
        <v>1786</v>
      </c>
      <c r="C32" s="2658" t="s">
        <v>1787</v>
      </c>
      <c r="D32" s="2658" t="s">
        <v>1788</v>
      </c>
      <c r="E32" s="2658" t="s">
        <v>1789</v>
      </c>
      <c r="F32" s="2658"/>
      <c r="G32" s="2658"/>
      <c r="H32" s="2658"/>
      <c r="I32" s="2658"/>
      <c r="J32" s="2658"/>
      <c r="K32" s="2659"/>
    </row>
    <row r="33" spans="1:11">
      <c r="A33" s="2158" t="s">
        <v>1744</v>
      </c>
      <c r="B33" s="2658" t="s">
        <v>1790</v>
      </c>
      <c r="C33" s="2658"/>
      <c r="D33" s="2658"/>
      <c r="E33" s="2658"/>
      <c r="F33" s="2658"/>
      <c r="G33" s="2658"/>
      <c r="H33" s="2658"/>
      <c r="I33" s="2658"/>
      <c r="J33" s="2658"/>
      <c r="K33" s="2659"/>
    </row>
    <row r="34" spans="1:11">
      <c r="A34" s="2135" t="s">
        <v>1745</v>
      </c>
      <c r="B34" s="2658" t="s">
        <v>1791</v>
      </c>
      <c r="C34" s="2658"/>
      <c r="D34" s="2658"/>
      <c r="E34" s="2658"/>
      <c r="F34" s="2658"/>
      <c r="G34" s="2658"/>
      <c r="H34" s="2658"/>
      <c r="I34" s="2658"/>
      <c r="J34" s="2658"/>
      <c r="K34" s="2659"/>
    </row>
    <row r="35" spans="1:11" ht="14.45" customHeight="1">
      <c r="A35" s="2159" t="s">
        <v>1918</v>
      </c>
      <c r="B35" s="2558" t="s">
        <v>1932</v>
      </c>
      <c r="C35" s="2558" t="s">
        <v>2033</v>
      </c>
      <c r="D35" s="2559" t="s">
        <v>2034</v>
      </c>
      <c r="E35" s="2658"/>
      <c r="F35" s="2658"/>
      <c r="G35" s="2658"/>
      <c r="H35" s="2658"/>
      <c r="I35" s="2658"/>
      <c r="J35" s="2658"/>
      <c r="K35" s="2659"/>
    </row>
    <row r="36" spans="1:11">
      <c r="A36" s="2159" t="s">
        <v>2127</v>
      </c>
      <c r="B36" s="2659"/>
      <c r="C36" s="2658"/>
      <c r="D36" s="2658"/>
      <c r="E36" s="2658"/>
      <c r="F36" s="2658"/>
      <c r="G36" s="2658"/>
      <c r="H36" s="2658"/>
      <c r="I36" s="2658"/>
      <c r="J36" s="2658"/>
      <c r="K36" s="2659"/>
    </row>
    <row r="37" spans="1:11">
      <c r="A37" s="2138"/>
      <c r="B37" s="2658"/>
      <c r="C37" s="2658"/>
      <c r="D37" s="2658"/>
      <c r="E37" s="2658"/>
      <c r="F37" s="2658"/>
      <c r="G37" s="2658"/>
      <c r="H37" s="2658"/>
      <c r="I37" s="2658"/>
      <c r="J37" s="2658"/>
      <c r="K37" s="2659"/>
    </row>
    <row r="38" spans="1:11">
      <c r="A38" s="2138"/>
      <c r="B38" s="2658"/>
      <c r="C38" s="2658"/>
      <c r="D38" s="2658"/>
      <c r="E38" s="2658"/>
      <c r="F38" s="2658"/>
      <c r="G38" s="2658"/>
      <c r="H38" s="2658"/>
      <c r="I38" s="2658"/>
      <c r="J38" s="2658"/>
      <c r="K38" s="2659"/>
    </row>
    <row r="39" spans="1:11">
      <c r="A39" s="2138"/>
      <c r="B39" s="2658"/>
      <c r="C39" s="2658"/>
      <c r="D39" s="2658"/>
      <c r="E39" s="2658"/>
      <c r="F39" s="2658"/>
      <c r="G39" s="2658"/>
      <c r="H39" s="2658"/>
      <c r="I39" s="2658"/>
      <c r="J39" s="2658"/>
      <c r="K39" s="2659"/>
    </row>
    <row r="40" spans="1:11">
      <c r="A40" s="2161" t="s">
        <v>2036</v>
      </c>
    </row>
    <row r="41" spans="1:11">
      <c r="A41" s="2160" t="s">
        <v>2035</v>
      </c>
    </row>
    <row r="42" spans="1:11">
      <c r="A42" s="2160" t="s">
        <v>1914</v>
      </c>
    </row>
    <row r="43" spans="1:11">
      <c r="A43" s="2160" t="s">
        <v>1915</v>
      </c>
    </row>
    <row r="44" spans="1:11">
      <c r="A44" s="2160" t="s">
        <v>1917</v>
      </c>
    </row>
    <row r="45" spans="1:11">
      <c r="A45" s="2160" t="s">
        <v>2040</v>
      </c>
    </row>
    <row r="46" spans="1:11">
      <c r="A46" s="2160" t="s">
        <v>2065</v>
      </c>
    </row>
    <row r="47" spans="1:11">
      <c r="A47" s="2160" t="s">
        <v>2128</v>
      </c>
    </row>
    <row r="48" spans="1:11">
      <c r="A48" s="2160" t="s">
        <v>2157</v>
      </c>
    </row>
    <row r="49" spans="1:1">
      <c r="A49" s="2160" t="s">
        <v>2177</v>
      </c>
    </row>
    <row r="50" spans="1:1">
      <c r="A50" s="2139"/>
    </row>
    <row r="51" spans="1:1">
      <c r="A51" s="2139"/>
    </row>
    <row r="52" spans="1:1">
      <c r="A52" s="2139"/>
    </row>
    <row r="53" spans="1:1">
      <c r="A53" s="2139"/>
    </row>
    <row r="54" spans="1:1">
      <c r="A54" s="2139"/>
    </row>
    <row r="55" spans="1:1">
      <c r="A55" s="2139"/>
    </row>
    <row r="56" spans="1:1">
      <c r="A56" s="2139"/>
    </row>
    <row r="57" spans="1:1">
      <c r="A57" s="2139"/>
    </row>
    <row r="58" spans="1:1">
      <c r="A58" s="2139"/>
    </row>
    <row r="59" spans="1:1">
      <c r="A59" s="2139"/>
    </row>
    <row r="60" spans="1:1">
      <c r="A60" s="2139"/>
    </row>
    <row r="61" spans="1:1">
      <c r="A61" s="2139"/>
    </row>
    <row r="62" spans="1:1">
      <c r="A62" s="2139"/>
    </row>
    <row r="63" spans="1:1">
      <c r="A63" s="2139"/>
    </row>
    <row r="64" spans="1:1">
      <c r="A64" s="2139"/>
    </row>
    <row r="65" spans="1:1">
      <c r="A65" s="2139"/>
    </row>
    <row r="66" spans="1:1">
      <c r="A66" s="2139"/>
    </row>
    <row r="67" spans="1:1">
      <c r="A67" s="2139"/>
    </row>
    <row r="68" spans="1:1">
      <c r="A68" s="2139"/>
    </row>
    <row r="69" spans="1:1">
      <c r="A69" s="2139"/>
    </row>
    <row r="70" spans="1:1">
      <c r="A70" s="2139"/>
    </row>
    <row r="71" spans="1:1">
      <c r="A71" s="2139"/>
    </row>
    <row r="72" spans="1:1">
      <c r="A72" s="2139"/>
    </row>
    <row r="73" spans="1:1">
      <c r="A73" s="2139"/>
    </row>
    <row r="74" spans="1:1">
      <c r="A74" s="2139"/>
    </row>
    <row r="75" spans="1:1">
      <c r="A75" s="2139"/>
    </row>
    <row r="76" spans="1:1">
      <c r="A76" s="2139"/>
    </row>
    <row r="77" spans="1:1">
      <c r="A77" s="2139"/>
    </row>
    <row r="78" spans="1:1">
      <c r="A78" s="2139"/>
    </row>
    <row r="79" spans="1:1">
      <c r="A79" s="2139"/>
    </row>
    <row r="80" spans="1:1">
      <c r="A80" s="2139"/>
    </row>
    <row r="81" spans="1:1">
      <c r="A81" s="2139"/>
    </row>
    <row r="82" spans="1:1">
      <c r="A82" s="2139"/>
    </row>
    <row r="83" spans="1:1">
      <c r="A83" s="2139"/>
    </row>
    <row r="84" spans="1:1">
      <c r="A84" s="2139"/>
    </row>
    <row r="85" spans="1:1">
      <c r="A85" s="2139"/>
    </row>
    <row r="86" spans="1:1">
      <c r="A86" s="2139"/>
    </row>
    <row r="87" spans="1:1">
      <c r="A87" s="2139"/>
    </row>
    <row r="88" spans="1:1">
      <c r="A88" s="2139"/>
    </row>
    <row r="89" spans="1:1">
      <c r="A89" s="2139"/>
    </row>
    <row r="90" spans="1:1">
      <c r="A90" s="2139"/>
    </row>
    <row r="91" spans="1:1">
      <c r="A91" s="2139"/>
    </row>
    <row r="92" spans="1:1">
      <c r="A92" s="2139"/>
    </row>
    <row r="93" spans="1:1">
      <c r="A93" s="2139"/>
    </row>
    <row r="94" spans="1:1">
      <c r="A94" s="2139"/>
    </row>
    <row r="95" spans="1:1">
      <c r="A95" s="2139"/>
    </row>
    <row r="96" spans="1:1">
      <c r="A96" s="2139"/>
    </row>
    <row r="97" spans="1:1">
      <c r="A97" s="2139"/>
    </row>
    <row r="98" spans="1:1">
      <c r="A98" s="2139"/>
    </row>
    <row r="99" spans="1:1">
      <c r="A99" s="2139"/>
    </row>
    <row r="100" spans="1:1">
      <c r="A100" s="2139"/>
    </row>
    <row r="101" spans="1:1">
      <c r="A101" s="2139"/>
    </row>
    <row r="102" spans="1:1">
      <c r="A102" s="2139"/>
    </row>
    <row r="103" spans="1:1">
      <c r="A103" s="2139"/>
    </row>
    <row r="104" spans="1:1">
      <c r="A104" s="2139"/>
    </row>
    <row r="105" spans="1:1">
      <c r="A105" s="2139"/>
    </row>
    <row r="106" spans="1:1">
      <c r="A106" s="2139"/>
    </row>
    <row r="107" spans="1:1">
      <c r="A107" s="2139"/>
    </row>
    <row r="108" spans="1:1">
      <c r="A108" s="2139"/>
    </row>
    <row r="109" spans="1:1">
      <c r="A109" s="2139"/>
    </row>
    <row r="110" spans="1:1">
      <c r="A110" s="2139"/>
    </row>
    <row r="111" spans="1:1">
      <c r="A111" s="2139"/>
    </row>
    <row r="112" spans="1:1">
      <c r="A112" s="2139"/>
    </row>
    <row r="113" spans="1:1">
      <c r="A113" s="2139"/>
    </row>
    <row r="114" spans="1:1">
      <c r="A114" s="2139"/>
    </row>
    <row r="115" spans="1:1">
      <c r="A115" s="2139"/>
    </row>
    <row r="116" spans="1:1">
      <c r="A116" s="2139"/>
    </row>
    <row r="117" spans="1:1">
      <c r="A117" s="2139"/>
    </row>
    <row r="118" spans="1:1">
      <c r="A118" s="2139"/>
    </row>
    <row r="119" spans="1:1">
      <c r="A119" s="2139"/>
    </row>
    <row r="120" spans="1:1">
      <c r="A120" s="2139"/>
    </row>
    <row r="121" spans="1:1">
      <c r="A121" s="2139"/>
    </row>
    <row r="122" spans="1:1">
      <c r="A122" s="2139"/>
    </row>
    <row r="123" spans="1:1">
      <c r="A123" s="2139"/>
    </row>
    <row r="124" spans="1:1">
      <c r="A124" s="2139"/>
    </row>
    <row r="125" spans="1:1">
      <c r="A125" s="2139"/>
    </row>
    <row r="126" spans="1:1">
      <c r="A126" s="2139"/>
    </row>
    <row r="127" spans="1:1">
      <c r="A127" s="2139"/>
    </row>
    <row r="128" spans="1:1">
      <c r="A128" s="2139"/>
    </row>
    <row r="129" spans="1:1">
      <c r="A129" s="2139"/>
    </row>
    <row r="130" spans="1:1">
      <c r="A130" s="2139"/>
    </row>
    <row r="131" spans="1:1">
      <c r="A131" s="2139"/>
    </row>
    <row r="132" spans="1:1">
      <c r="A132" s="2139"/>
    </row>
    <row r="133" spans="1:1">
      <c r="A133" s="2139"/>
    </row>
    <row r="134" spans="1:1">
      <c r="A134" s="2139"/>
    </row>
    <row r="135" spans="1:1">
      <c r="A135" s="2139"/>
    </row>
    <row r="136" spans="1:1">
      <c r="A136" s="2139"/>
    </row>
    <row r="137" spans="1:1">
      <c r="A137" s="2139"/>
    </row>
    <row r="138" spans="1:1">
      <c r="A138" s="2139"/>
    </row>
    <row r="139" spans="1:1">
      <c r="A139" s="2139"/>
    </row>
    <row r="140" spans="1:1">
      <c r="A140" s="2139"/>
    </row>
    <row r="141" spans="1:1">
      <c r="A141" s="2139"/>
    </row>
    <row r="142" spans="1:1">
      <c r="A142" s="2139"/>
    </row>
    <row r="143" spans="1:1">
      <c r="A143" s="2139"/>
    </row>
    <row r="144" spans="1:1">
      <c r="A144" s="2139"/>
    </row>
    <row r="145" spans="1:1">
      <c r="A145" s="2139"/>
    </row>
    <row r="146" spans="1:1">
      <c r="A146" s="2139"/>
    </row>
    <row r="147" spans="1:1">
      <c r="A147" s="2139"/>
    </row>
    <row r="148" spans="1:1">
      <c r="A148" s="2139"/>
    </row>
    <row r="149" spans="1:1">
      <c r="A149" s="2139"/>
    </row>
    <row r="150" spans="1:1">
      <c r="A150" s="2139"/>
    </row>
    <row r="151" spans="1:1">
      <c r="A151" s="2139"/>
    </row>
    <row r="152" spans="1:1">
      <c r="A152" s="2139"/>
    </row>
    <row r="153" spans="1:1">
      <c r="A153" s="2139"/>
    </row>
    <row r="154" spans="1:1">
      <c r="A154" s="2139"/>
    </row>
    <row r="155" spans="1:1">
      <c r="A155" s="2139"/>
    </row>
    <row r="156" spans="1:1">
      <c r="A156" s="2139"/>
    </row>
    <row r="157" spans="1:1">
      <c r="A157" s="2139"/>
    </row>
    <row r="158" spans="1:1">
      <c r="A158" s="2139"/>
    </row>
    <row r="159" spans="1:1">
      <c r="A159" s="2139"/>
    </row>
    <row r="160" spans="1:1">
      <c r="A160" s="2139"/>
    </row>
    <row r="161" spans="1:1">
      <c r="A161" s="2139"/>
    </row>
    <row r="162" spans="1:1">
      <c r="A162" s="2139"/>
    </row>
    <row r="163" spans="1:1">
      <c r="A163" s="2139"/>
    </row>
    <row r="164" spans="1:1">
      <c r="A164" s="2139"/>
    </row>
    <row r="165" spans="1:1">
      <c r="A165" s="2139"/>
    </row>
    <row r="166" spans="1:1">
      <c r="A166" s="2139"/>
    </row>
    <row r="167" spans="1:1">
      <c r="A167" s="2139"/>
    </row>
    <row r="168" spans="1:1">
      <c r="A168" s="2139"/>
    </row>
    <row r="169" spans="1:1">
      <c r="A169" s="2139"/>
    </row>
    <row r="170" spans="1:1">
      <c r="A170" s="2139"/>
    </row>
    <row r="171" spans="1:1">
      <c r="A171" s="2139"/>
    </row>
    <row r="172" spans="1:1">
      <c r="A172" s="2139"/>
    </row>
    <row r="173" spans="1:1">
      <c r="A173" s="2139"/>
    </row>
    <row r="174" spans="1:1">
      <c r="A174" s="2139"/>
    </row>
    <row r="175" spans="1:1">
      <c r="A175" s="2139"/>
    </row>
    <row r="176" spans="1:1">
      <c r="A176" s="2139"/>
    </row>
    <row r="177" spans="1:1">
      <c r="A177" s="2139"/>
    </row>
    <row r="178" spans="1:1">
      <c r="A178" s="2139"/>
    </row>
    <row r="179" spans="1:1">
      <c r="A179" s="2139"/>
    </row>
    <row r="180" spans="1:1">
      <c r="A180" s="2139"/>
    </row>
    <row r="181" spans="1:1">
      <c r="A181" s="2139"/>
    </row>
    <row r="182" spans="1:1">
      <c r="A182" s="2139"/>
    </row>
    <row r="183" spans="1:1">
      <c r="A183" s="2139"/>
    </row>
    <row r="184" spans="1:1">
      <c r="A184" s="2139"/>
    </row>
    <row r="185" spans="1:1">
      <c r="A185" s="2139"/>
    </row>
    <row r="186" spans="1:1">
      <c r="A186" s="2139"/>
    </row>
    <row r="187" spans="1:1">
      <c r="A187" s="2139"/>
    </row>
    <row r="188" spans="1:1">
      <c r="A188" s="2139"/>
    </row>
    <row r="189" spans="1:1">
      <c r="A189" s="2139"/>
    </row>
    <row r="190" spans="1:1">
      <c r="A190" s="2139"/>
    </row>
    <row r="191" spans="1:1">
      <c r="A191" s="2139"/>
    </row>
    <row r="192" spans="1:1">
      <c r="A192" s="2139"/>
    </row>
    <row r="193" spans="1:1">
      <c r="A193" s="2139"/>
    </row>
    <row r="194" spans="1:1">
      <c r="A194" s="2139"/>
    </row>
    <row r="195" spans="1:1">
      <c r="A195" s="2139"/>
    </row>
    <row r="196" spans="1:1">
      <c r="A196" s="2139"/>
    </row>
    <row r="197" spans="1:1">
      <c r="A197" s="2139"/>
    </row>
    <row r="198" spans="1:1">
      <c r="A198" s="2139"/>
    </row>
    <row r="199" spans="1:1">
      <c r="A199" s="2139"/>
    </row>
    <row r="200" spans="1:1">
      <c r="A200" s="2139"/>
    </row>
    <row r="201" spans="1:1">
      <c r="A201" s="2139"/>
    </row>
    <row r="202" spans="1:1">
      <c r="A202" s="2139"/>
    </row>
    <row r="203" spans="1:1">
      <c r="A203" s="2139"/>
    </row>
    <row r="204" spans="1:1">
      <c r="A204" s="2139"/>
    </row>
    <row r="205" spans="1:1">
      <c r="A205" s="2139"/>
    </row>
    <row r="206" spans="1:1">
      <c r="A206" s="2139"/>
    </row>
    <row r="207" spans="1:1">
      <c r="A207" s="2139"/>
    </row>
    <row r="208" spans="1:1">
      <c r="A208" s="2139"/>
    </row>
    <row r="209" spans="1:1">
      <c r="A209" s="2139"/>
    </row>
    <row r="210" spans="1:1">
      <c r="A210" s="2139"/>
    </row>
    <row r="211" spans="1:1">
      <c r="A211" s="2139"/>
    </row>
    <row r="212" spans="1:1">
      <c r="A212" s="2139"/>
    </row>
    <row r="213" spans="1:1">
      <c r="A213" s="2139"/>
    </row>
    <row r="214" spans="1:1">
      <c r="A214" s="2139"/>
    </row>
    <row r="215" spans="1:1">
      <c r="A215" s="2139"/>
    </row>
    <row r="216" spans="1:1">
      <c r="A216" s="2139"/>
    </row>
    <row r="217" spans="1:1">
      <c r="A217" s="2139"/>
    </row>
    <row r="218" spans="1:1">
      <c r="A218" s="2139"/>
    </row>
    <row r="219" spans="1:1">
      <c r="A219" s="2139"/>
    </row>
    <row r="220" spans="1:1">
      <c r="A220" s="2139"/>
    </row>
    <row r="221" spans="1:1">
      <c r="A221" s="2139"/>
    </row>
    <row r="222" spans="1:1">
      <c r="A222" s="2139"/>
    </row>
    <row r="223" spans="1:1">
      <c r="A223" s="2139"/>
    </row>
    <row r="224" spans="1:1">
      <c r="A224" s="2139"/>
    </row>
    <row r="225" spans="1:1">
      <c r="A225" s="2139"/>
    </row>
    <row r="226" spans="1:1">
      <c r="A226" s="2139"/>
    </row>
    <row r="227" spans="1:1">
      <c r="A227" s="2139"/>
    </row>
    <row r="228" spans="1:1">
      <c r="A228" s="2139"/>
    </row>
    <row r="229" spans="1:1">
      <c r="A229" s="2139"/>
    </row>
    <row r="230" spans="1:1">
      <c r="A230" s="2139"/>
    </row>
    <row r="231" spans="1:1">
      <c r="A231" s="2139"/>
    </row>
    <row r="232" spans="1:1">
      <c r="A232" s="2139"/>
    </row>
    <row r="233" spans="1:1">
      <c r="A233" s="2139"/>
    </row>
    <row r="234" spans="1:1">
      <c r="A234" s="2139"/>
    </row>
    <row r="235" spans="1:1">
      <c r="A235" s="2139"/>
    </row>
    <row r="236" spans="1:1">
      <c r="A236" s="2139"/>
    </row>
    <row r="237" spans="1:1">
      <c r="A237" s="2139"/>
    </row>
    <row r="238" spans="1:1">
      <c r="A238" s="2139"/>
    </row>
    <row r="239" spans="1:1">
      <c r="A239" s="2139"/>
    </row>
    <row r="240" spans="1:1">
      <c r="A240" s="2139"/>
    </row>
    <row r="241" spans="1:1">
      <c r="A241" s="2139"/>
    </row>
    <row r="242" spans="1:1">
      <c r="A242" s="2139"/>
    </row>
    <row r="243" spans="1:1">
      <c r="A243" s="2139"/>
    </row>
    <row r="244" spans="1:1">
      <c r="A244" s="2139"/>
    </row>
    <row r="245" spans="1:1">
      <c r="A245" s="2139"/>
    </row>
    <row r="246" spans="1:1">
      <c r="A246" s="2139"/>
    </row>
    <row r="247" spans="1:1">
      <c r="A247" s="2139"/>
    </row>
    <row r="248" spans="1:1">
      <c r="A248" s="2139"/>
    </row>
    <row r="249" spans="1:1">
      <c r="A249" s="2139"/>
    </row>
    <row r="250" spans="1:1">
      <c r="A250" s="2139"/>
    </row>
    <row r="251" spans="1:1">
      <c r="A251" s="2139"/>
    </row>
    <row r="252" spans="1:1">
      <c r="A252" s="2139"/>
    </row>
    <row r="253" spans="1:1">
      <c r="A253" s="2139"/>
    </row>
    <row r="254" spans="1:1">
      <c r="A254" s="2139"/>
    </row>
    <row r="255" spans="1:1">
      <c r="A255" s="2139"/>
    </row>
    <row r="256" spans="1:1">
      <c r="A256" s="2139"/>
    </row>
    <row r="257" spans="1:1">
      <c r="A257" s="2139"/>
    </row>
    <row r="258" spans="1:1">
      <c r="A258" s="2139"/>
    </row>
    <row r="259" spans="1:1">
      <c r="A259" s="2139"/>
    </row>
    <row r="260" spans="1:1">
      <c r="A260" s="2139"/>
    </row>
    <row r="261" spans="1:1">
      <c r="A261" s="2139"/>
    </row>
    <row r="262" spans="1:1">
      <c r="A262" s="2139"/>
    </row>
    <row r="263" spans="1:1">
      <c r="A263" s="2139"/>
    </row>
    <row r="264" spans="1:1">
      <c r="A264" s="2139"/>
    </row>
    <row r="265" spans="1:1">
      <c r="A265" s="2139"/>
    </row>
    <row r="266" spans="1:1">
      <c r="A266" s="2139"/>
    </row>
    <row r="267" spans="1:1">
      <c r="A267" s="2139"/>
    </row>
    <row r="268" spans="1:1">
      <c r="A268" s="2139"/>
    </row>
    <row r="269" spans="1:1">
      <c r="A269" s="2139"/>
    </row>
    <row r="270" spans="1:1">
      <c r="A270" s="2139"/>
    </row>
    <row r="271" spans="1:1">
      <c r="A271" s="2139"/>
    </row>
    <row r="272" spans="1:1">
      <c r="A272" s="2139"/>
    </row>
    <row r="273" spans="1:1">
      <c r="A273" s="2139"/>
    </row>
    <row r="274" spans="1:1">
      <c r="A274" s="2139"/>
    </row>
    <row r="275" spans="1:1">
      <c r="A275" s="2139"/>
    </row>
    <row r="276" spans="1:1">
      <c r="A276" s="2139"/>
    </row>
    <row r="277" spans="1:1">
      <c r="A277" s="2139"/>
    </row>
    <row r="278" spans="1:1">
      <c r="A278" s="2139"/>
    </row>
    <row r="279" spans="1:1">
      <c r="A279" s="2139"/>
    </row>
    <row r="280" spans="1:1">
      <c r="A280" s="2139"/>
    </row>
    <row r="281" spans="1:1">
      <c r="A281" s="2139"/>
    </row>
    <row r="282" spans="1:1">
      <c r="A282" s="2139"/>
    </row>
    <row r="283" spans="1:1">
      <c r="A283" s="2139"/>
    </row>
    <row r="284" spans="1:1">
      <c r="A284" s="2139"/>
    </row>
    <row r="285" spans="1:1">
      <c r="A285" s="2139"/>
    </row>
    <row r="286" spans="1:1">
      <c r="A286" s="2139"/>
    </row>
    <row r="287" spans="1:1">
      <c r="A287" s="2139"/>
    </row>
    <row r="288" spans="1:1">
      <c r="A288" s="2139"/>
    </row>
    <row r="289" spans="1:1">
      <c r="A289" s="2139"/>
    </row>
    <row r="290" spans="1:1">
      <c r="A290" s="2139"/>
    </row>
    <row r="291" spans="1:1">
      <c r="A291" s="2139"/>
    </row>
    <row r="292" spans="1:1">
      <c r="A292" s="2139"/>
    </row>
    <row r="293" spans="1:1">
      <c r="A293" s="2139"/>
    </row>
    <row r="294" spans="1:1">
      <c r="A294" s="2139"/>
    </row>
    <row r="295" spans="1:1">
      <c r="A295" s="2139"/>
    </row>
    <row r="296" spans="1:1">
      <c r="A296" s="2139"/>
    </row>
    <row r="297" spans="1:1">
      <c r="A297" s="2139"/>
    </row>
    <row r="298" spans="1:1">
      <c r="A298" s="2139"/>
    </row>
    <row r="299" spans="1:1">
      <c r="A299" s="2139"/>
    </row>
    <row r="300" spans="1:1">
      <c r="A300" s="2139"/>
    </row>
    <row r="301" spans="1:1">
      <c r="A301" s="2139"/>
    </row>
    <row r="302" spans="1:1">
      <c r="A302" s="2139"/>
    </row>
    <row r="303" spans="1:1">
      <c r="A303" s="2139"/>
    </row>
    <row r="304" spans="1:1">
      <c r="A304" s="2139"/>
    </row>
    <row r="305" spans="1:1">
      <c r="A305" s="2139"/>
    </row>
    <row r="306" spans="1:1">
      <c r="A306" s="2139"/>
    </row>
    <row r="307" spans="1:1">
      <c r="A307" s="2139"/>
    </row>
    <row r="308" spans="1:1">
      <c r="A308" s="2139"/>
    </row>
    <row r="309" spans="1:1">
      <c r="A309" s="2139"/>
    </row>
    <row r="310" spans="1:1">
      <c r="A310" s="2139"/>
    </row>
    <row r="311" spans="1:1">
      <c r="A311" s="2139"/>
    </row>
    <row r="312" spans="1:1">
      <c r="A312" s="2139"/>
    </row>
    <row r="313" spans="1:1">
      <c r="A313" s="2139"/>
    </row>
    <row r="314" spans="1:1">
      <c r="A314" s="2139"/>
    </row>
    <row r="315" spans="1:1">
      <c r="A315" s="2139"/>
    </row>
    <row r="316" spans="1:1">
      <c r="A316" s="2139"/>
    </row>
    <row r="317" spans="1:1">
      <c r="A317" s="2139"/>
    </row>
    <row r="318" spans="1:1">
      <c r="A318" s="2139"/>
    </row>
    <row r="319" spans="1:1">
      <c r="A319" s="2139"/>
    </row>
    <row r="320" spans="1:1">
      <c r="A320" s="2139"/>
    </row>
    <row r="321" spans="1:1">
      <c r="A321" s="2139"/>
    </row>
    <row r="322" spans="1:1">
      <c r="A322" s="2139"/>
    </row>
    <row r="323" spans="1:1">
      <c r="A323" s="2139"/>
    </row>
    <row r="324" spans="1:1">
      <c r="A324" s="2139"/>
    </row>
    <row r="325" spans="1:1">
      <c r="A325" s="2139"/>
    </row>
    <row r="326" spans="1:1">
      <c r="A326" s="2139"/>
    </row>
    <row r="327" spans="1:1">
      <c r="A327" s="2139"/>
    </row>
    <row r="328" spans="1:1">
      <c r="A328" s="2139"/>
    </row>
    <row r="329" spans="1:1">
      <c r="A329" s="2139"/>
    </row>
    <row r="330" spans="1:1">
      <c r="A330" s="2139"/>
    </row>
    <row r="331" spans="1:1">
      <c r="A331" s="2139"/>
    </row>
    <row r="332" spans="1:1">
      <c r="A332" s="2139"/>
    </row>
    <row r="333" spans="1:1">
      <c r="A333" s="2139"/>
    </row>
    <row r="334" spans="1:1">
      <c r="A334" s="2139"/>
    </row>
    <row r="335" spans="1:1">
      <c r="A335" s="2139"/>
    </row>
    <row r="336" spans="1:1">
      <c r="A336" s="2139"/>
    </row>
    <row r="337" spans="1:1">
      <c r="A337" s="2139"/>
    </row>
    <row r="338" spans="1:1">
      <c r="A338" s="2139"/>
    </row>
    <row r="339" spans="1:1">
      <c r="A339" s="2139"/>
    </row>
    <row r="340" spans="1:1">
      <c r="A340" s="2139"/>
    </row>
    <row r="341" spans="1:1">
      <c r="A341" s="2139"/>
    </row>
    <row r="342" spans="1:1">
      <c r="A342" s="2139"/>
    </row>
    <row r="343" spans="1:1">
      <c r="A343" s="2139"/>
    </row>
    <row r="344" spans="1:1">
      <c r="A344" s="2139"/>
    </row>
    <row r="345" spans="1:1">
      <c r="A345" s="2139"/>
    </row>
    <row r="346" spans="1:1">
      <c r="A346" s="2139"/>
    </row>
    <row r="347" spans="1:1">
      <c r="A347" s="2139"/>
    </row>
    <row r="348" spans="1:1">
      <c r="A348" s="2139"/>
    </row>
    <row r="349" spans="1:1">
      <c r="A349" s="2139"/>
    </row>
    <row r="350" spans="1:1">
      <c r="A350" s="2139"/>
    </row>
    <row r="351" spans="1:1">
      <c r="A351" s="2139"/>
    </row>
    <row r="352" spans="1:1">
      <c r="A352" s="2139"/>
    </row>
  </sheetData>
  <mergeCells count="1">
    <mergeCell ref="B2:J2"/>
  </mergeCells>
  <hyperlinks>
    <hyperlink ref="A10" location="'Air Flow'!A1" display="Natural Ventilation Pressure [NVP] No Fans"/>
    <hyperlink ref="A3" location="Calendar!A1" display="Calender"/>
    <hyperlink ref="A4" location="'Planning Tool (New)'!A1" display="Planning Tool (New)"/>
    <hyperlink ref="A5" location="'Planning Graph Calcs 1 '!A1" display="Planning Graph Calcs 1 "/>
    <hyperlink ref="A6" location="'Planning Graph Calcs 2'!A1" display="Planning Graph Calcs 2"/>
    <hyperlink ref="A7" location="'Tons generator'!A1" display="Tons generator"/>
    <hyperlink ref="A8" location="'Refuge Bays'!A1" display="Refuge Bays"/>
    <hyperlink ref="A9" location="Gas!A1" display="Gas"/>
    <hyperlink ref="A11" location="Psychometry!A1" display="Psychometry"/>
    <hyperlink ref="A13" location="Water!A1" display="Water"/>
    <hyperlink ref="A14" location="Fans!A1" display="Fans"/>
    <hyperlink ref="A16" location="'Trig &amp; Volume'!A1" display="Trigonometry."/>
    <hyperlink ref="A17" location="Cost!A1" display="Cost"/>
    <hyperlink ref="A18" location="'PLoss Atkins &amp; Resist'!A1" display="PLoss Atkins &amp; Resist"/>
    <hyperlink ref="A19" location="'Stope Calcs'!A1" display="Stope Calcs"/>
    <hyperlink ref="A20" location="'Dev Calcs'!A1" display="Dev Calcs"/>
    <hyperlink ref="A21" location="'Dev Qtys'!A1" display="Dev Qtys"/>
    <hyperlink ref="A22" location="Interpolation!A1" display="Interpolation"/>
    <hyperlink ref="A23" location="Dust!A1" display="Dust"/>
    <hyperlink ref="A24" location="'DUST Treatment'!A1" display="DUST Treatment"/>
    <hyperlink ref="A25" location="'Stores Req Dev'!A1" display="Stores Req Dev"/>
    <hyperlink ref="A26" location="'Heat Calc'!A1" display="Heat Calc"/>
    <hyperlink ref="A27" location="'Vent calculator'!A1" display="Vent calculator"/>
    <hyperlink ref="A28" location="'Flammable gas'!A1" display="Flammable gas"/>
    <hyperlink ref="A29" location="'Airchange re-entry'!A1" display="Air change re-entry"/>
    <hyperlink ref="A30" location="'Cold Stress'!A1" display="Cold Stress"/>
    <hyperlink ref="A31" location="'SCP - Kata - Vel'!A1" display="SCP - Kata - Vel"/>
    <hyperlink ref="A32" location="'Unit Conversion'!A1" display="Unit Conversion"/>
    <hyperlink ref="A33" location="'Duct and Fan Selection'!A1" display="Duct and Fan Selection"/>
    <hyperlink ref="A34" location="'Planning Tool (Old)'!A1" display="Planning Tool (Old)"/>
    <hyperlink ref="A35" location="'T-less Veh + Qtys'!A1" display="Trackless Vehicles and Qty Requirements"/>
    <hyperlink ref="C35" location="'T-less Veh + Qtys'!C28" display="Vehicle kW Minimum Qty Calculator"/>
    <hyperlink ref="B35" location="'T-less Veh + Qtys'!C7" display="Trackless Vehicle Data"/>
    <hyperlink ref="D35" location="'T-less Veh + Qtys'!B74" display="Summary of Diesel Ventilation Air Requirements"/>
    <hyperlink ref="B4" location="'Planning Tool (New)'!D4" display="Heat and cooling calculations"/>
    <hyperlink ref="B5" location="'Planning Graph Calcs 1 '!E5" display="Planning Graph Calcs 2"/>
    <hyperlink ref="C5" location="'Planning Graph Calcs 1 '!E16" display="Graph calcs - Heat Flow rate prediction P959 Env Eng"/>
    <hyperlink ref="D5" location="'Planning Graph Calcs 1 '!E25" display="REJ. Temp. Correction %"/>
    <hyperlink ref="B6" location="'Planning Graph Calcs 2'!E15" display="Graph calcs - Heat Removal capacity of air P956 Env Eng (18°C NO BAC)"/>
    <hyperlink ref="C6" location="'Planning Graph Calcs 2'!E5" display="Graph calcs - Heat Removal capacity of air P956 Env Eng (10°C BAC)"/>
    <hyperlink ref="A36" location="'Vehicle Qty &amp; heat graph'!A1" display="Vehicle Qty &amp; heat graph"/>
    <hyperlink ref="B7" location="'Tons generator'!C4" display="Tunnel Square"/>
    <hyperlink ref="C7" location="'Tons generator'!C16" display="Raise bore Round"/>
    <hyperlink ref="D7" location="'Tons generator'!C28" display="Panel Rectangular"/>
    <hyperlink ref="D6" location="'Planning Graph Calcs 2'!E23" display="Expected Wet Bulb Temperature"/>
    <hyperlink ref="E6" location="'Planning Graph Calcs 2'!L32" display="Air cooling capacity"/>
    <hyperlink ref="B8" location="'Refuge Bays'!C4" display="Ref Bay Dist Calc"/>
    <hyperlink ref="C8" location="'Refuge Bays'!C29" display="Refuge Bay Requirement Calculator"/>
    <hyperlink ref="D8" location="'Refuge Bays'!B57" display="Refuge Bay Breathable Air Systems"/>
    <hyperlink ref="B9" location="Gas!C9" display="GAS DILUTION"/>
    <hyperlink ref="C9" location="Gas!C21" display="GAS MIXING"/>
    <hyperlink ref="B3" location="Calendar!I8" display="Calendar (Enter year)"/>
    <hyperlink ref="B10" location="'Air Flow'!C8" display="Natural Ventilation Pressure [NVP] No Fans"/>
    <hyperlink ref="C10" location="'Air Flow'!C21" display="Natural Ventilation Pressure [NVP] With fans"/>
    <hyperlink ref="D10" location="'Air Flow'!C31" display="REYNOLDS NUMBER"/>
    <hyperlink ref="E10" location="'Air Flow'!C44" display="CONSERVATION OF ENERGY"/>
    <hyperlink ref="F10" location="'Air Flow'!C56" display="Barometric increase with depth"/>
    <hyperlink ref="G10" location="'Air Flow'!C68" display="Pressure change with Density Change"/>
    <hyperlink ref="H10" location="'Air Flow'!C81" display="Mixing of Airstreams"/>
    <hyperlink ref="J10" location="'Air Flow'!O6" display="Fraction of Area Open Calculator (Round)"/>
    <hyperlink ref="I10" location="'Air Flow'!C93" display="Quantity change with Density Change"/>
    <hyperlink ref="K10" location="'Air Flow'!O18" display="Fraction of Area Open Calculator (Round)"/>
    <hyperlink ref="J10:K10" location="'Air Flow'!O12" display="Fraction of Area Open Calculator (Round)"/>
    <hyperlink ref="B16" location="'Trig &amp; Volume'!C5" display="Right Triangle Solver"/>
    <hyperlink ref="D16" location="'Trig &amp; Volume'!M16" display="Volume Calculator (Square / Rectangular)"/>
    <hyperlink ref="C16" location="'Trig &amp; Volume'!M6" display="Volume Calculator (Square / Rectangular)"/>
    <hyperlink ref="B13" location="Water!D11" display="Temperature Increase In Pipes"/>
    <hyperlink ref="C13" location="Water!E26" display="Pump Power Requirements"/>
    <hyperlink ref="D13" location="Water!E44" display="Pump Efficiency"/>
    <hyperlink ref="E13" location="Water!E58" display="Fissure Water Calculation"/>
    <hyperlink ref="B18" location="'PLoss Atkins &amp; Resist'!D6" display="ATKINSON’S FORMULA"/>
    <hyperlink ref="C18" location="'PLoss Atkins &amp; Resist'!R6" display="'PLoss Atkins &amp; Resist'!R6"/>
    <hyperlink ref="D18" location="'PLoss Atkins &amp; Resist'!D35" display="Pressure required to overcome frictional resistance"/>
    <hyperlink ref="E18" location="'PLoss Atkins &amp; Resist'!D45" display="AIR POWER"/>
    <hyperlink ref="F18" location="'PLoss Atkins &amp; Resist'!D53" display="VELOCITY PRESSURE"/>
    <hyperlink ref="G18" location="'PLoss Atkins &amp; Resist'!D62" display="DARCY-WEISBACH EQUATION"/>
    <hyperlink ref="H18" location="'PLoss Atkins &amp; Resist'!K52" display="Motor input power"/>
    <hyperlink ref="I18" location="'PLoss Atkins &amp; Resist'!D74" display="REGULATORS"/>
    <hyperlink ref="J18" location="'PLoss Atkins &amp; Resist'!R6" display="'PLoss Atkins &amp; Resist'!R6"/>
    <hyperlink ref="B17" location="Cost!C7" display="Cost - Water"/>
    <hyperlink ref="C17" location="Cost!C26" display="Cost - Air"/>
    <hyperlink ref="D17" location="Cost!C37" display="Running Cost -Fan (Known Kw)"/>
    <hyperlink ref="E17" location="Cost!C46" display="Running Cost -(Known Kw) Partial Hours or Shifts"/>
    <hyperlink ref="F17" location="Cost!G61" display="Vent Pipe and Accessories Cost Estimator"/>
    <hyperlink ref="B15" location="'FAN LAWS'!E11" display="'FAN LAWS'!E11"/>
    <hyperlink ref="C15:D15" location="'FAN LAWS'!E11" display="'FAN LAWS'!E11"/>
    <hyperlink ref="C15" location="'FAN LAWS'!E24" display="'FAN LAWS'!E24"/>
    <hyperlink ref="D15" location="'FAN LAWS'!E37" display="'FAN LAWS'!E37"/>
    <hyperlink ref="A15" location="'FAN LAWS'!A1" display="FAN LAWS"/>
    <hyperlink ref="E15:F15" location="'FAN LAWS'!E11" display="'FAN LAWS'!E11"/>
    <hyperlink ref="E15" location="'FAN LAWS'!E50" display="'FAN LAWS'!E50"/>
    <hyperlink ref="F15" location="'FAN LAWS'!E63" display="'FAN LAWS'!E63"/>
    <hyperlink ref="A12" location="'Comp Air'!A1" display="Comp Air"/>
    <hyperlink ref="B12" location="'Comp Air'!C7" display="'Comp Air'!C7"/>
    <hyperlink ref="C12" location="'Comp Air'!C25" display="'Comp Air'!C25"/>
    <hyperlink ref="D12" location="'Comp Air'!D57" display="'Comp Air'!D57"/>
    <hyperlink ref="B26" location="'Heat Calc'!C6" display="Expected increase in Temp Dev Ends (By M. Symons.)"/>
    <hyperlink ref="C26" location="'Heat Calc'!C17" display="Auto-compression or de-compression"/>
    <hyperlink ref="D26" location="'Heat Calc'!C26" display="Virgin rock temperature [approximate]"/>
    <hyperlink ref="E26" location="'Heat Calc'!L26" display="Virgin rock temperature [Calc]"/>
    <hyperlink ref="F26" location="'Heat Calc'!C37" display="Wet kata formula"/>
    <hyperlink ref="G26" location="'Heat Calc'!C47" display="Amount of Heat transferred (Conduction)"/>
    <hyperlink ref="E20" location="'Dev Calcs'!C34" display="K Factors"/>
    <hyperlink ref="C20" location="'Dev Calcs'!G4" display="Disch Qty Required "/>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2"/>
    <pageSetUpPr fitToPage="1"/>
  </sheetPr>
  <dimension ref="A1:AC51"/>
  <sheetViews>
    <sheetView showGridLines="0" showZeros="0" topLeftCell="A7" zoomScale="115" zoomScaleNormal="115" workbookViewId="0">
      <selection activeCell="Y8" sqref="Y8:AA8"/>
    </sheetView>
  </sheetViews>
  <sheetFormatPr defaultRowHeight="12.75"/>
  <cols>
    <col min="1" max="1" width="1.140625" style="195" customWidth="1"/>
    <col min="2" max="9" width="4" style="195" customWidth="1"/>
    <col min="10" max="10" width="1.140625" style="195" customWidth="1"/>
    <col min="11" max="11" width="4.28515625" style="195" customWidth="1"/>
    <col min="12" max="18" width="4" style="195" customWidth="1"/>
    <col min="19" max="19" width="1" style="195" customWidth="1"/>
    <col min="20" max="27" width="4" style="195" customWidth="1"/>
    <col min="28" max="28" width="1" style="195" customWidth="1"/>
    <col min="29" max="256" width="9.140625" style="195"/>
    <col min="257" max="284" width="4.7109375" style="195" customWidth="1"/>
    <col min="285" max="512" width="9.140625" style="195"/>
    <col min="513" max="540" width="4.7109375" style="195" customWidth="1"/>
    <col min="541" max="768" width="9.140625" style="195"/>
    <col min="769" max="796" width="4.7109375" style="195" customWidth="1"/>
    <col min="797" max="1024" width="9.140625" style="195"/>
    <col min="1025" max="1052" width="4.7109375" style="195" customWidth="1"/>
    <col min="1053" max="1280" width="9.140625" style="195"/>
    <col min="1281" max="1308" width="4.7109375" style="195" customWidth="1"/>
    <col min="1309" max="1536" width="9.140625" style="195"/>
    <col min="1537" max="1564" width="4.7109375" style="195" customWidth="1"/>
    <col min="1565" max="1792" width="9.140625" style="195"/>
    <col min="1793" max="1820" width="4.7109375" style="195" customWidth="1"/>
    <col min="1821" max="2048" width="9.140625" style="195"/>
    <col min="2049" max="2076" width="4.7109375" style="195" customWidth="1"/>
    <col min="2077" max="2304" width="9.140625" style="195"/>
    <col min="2305" max="2332" width="4.7109375" style="195" customWidth="1"/>
    <col min="2333" max="2560" width="9.140625" style="195"/>
    <col min="2561" max="2588" width="4.7109375" style="195" customWidth="1"/>
    <col min="2589" max="2816" width="9.140625" style="195"/>
    <col min="2817" max="2844" width="4.7109375" style="195" customWidth="1"/>
    <col min="2845" max="3072" width="9.140625" style="195"/>
    <col min="3073" max="3100" width="4.7109375" style="195" customWidth="1"/>
    <col min="3101" max="3328" width="9.140625" style="195"/>
    <col min="3329" max="3356" width="4.7109375" style="195" customWidth="1"/>
    <col min="3357" max="3584" width="9.140625" style="195"/>
    <col min="3585" max="3612" width="4.7109375" style="195" customWidth="1"/>
    <col min="3613" max="3840" width="9.140625" style="195"/>
    <col min="3841" max="3868" width="4.7109375" style="195" customWidth="1"/>
    <col min="3869" max="4096" width="9.140625" style="195"/>
    <col min="4097" max="4124" width="4.7109375" style="195" customWidth="1"/>
    <col min="4125" max="4352" width="9.140625" style="195"/>
    <col min="4353" max="4380" width="4.7109375" style="195" customWidth="1"/>
    <col min="4381" max="4608" width="9.140625" style="195"/>
    <col min="4609" max="4636" width="4.7109375" style="195" customWidth="1"/>
    <col min="4637" max="4864" width="9.140625" style="195"/>
    <col min="4865" max="4892" width="4.7109375" style="195" customWidth="1"/>
    <col min="4893" max="5120" width="9.140625" style="195"/>
    <col min="5121" max="5148" width="4.7109375" style="195" customWidth="1"/>
    <col min="5149" max="5376" width="9.140625" style="195"/>
    <col min="5377" max="5404" width="4.7109375" style="195" customWidth="1"/>
    <col min="5405" max="5632" width="9.140625" style="195"/>
    <col min="5633" max="5660" width="4.7109375" style="195" customWidth="1"/>
    <col min="5661" max="5888" width="9.140625" style="195"/>
    <col min="5889" max="5916" width="4.7109375" style="195" customWidth="1"/>
    <col min="5917" max="6144" width="9.140625" style="195"/>
    <col min="6145" max="6172" width="4.7109375" style="195" customWidth="1"/>
    <col min="6173" max="6400" width="9.140625" style="195"/>
    <col min="6401" max="6428" width="4.7109375" style="195" customWidth="1"/>
    <col min="6429" max="6656" width="9.140625" style="195"/>
    <col min="6657" max="6684" width="4.7109375" style="195" customWidth="1"/>
    <col min="6685" max="6912" width="9.140625" style="195"/>
    <col min="6913" max="6940" width="4.7109375" style="195" customWidth="1"/>
    <col min="6941" max="7168" width="9.140625" style="195"/>
    <col min="7169" max="7196" width="4.7109375" style="195" customWidth="1"/>
    <col min="7197" max="7424" width="9.140625" style="195"/>
    <col min="7425" max="7452" width="4.7109375" style="195" customWidth="1"/>
    <col min="7453" max="7680" width="9.140625" style="195"/>
    <col min="7681" max="7708" width="4.7109375" style="195" customWidth="1"/>
    <col min="7709" max="7936" width="9.140625" style="195"/>
    <col min="7937" max="7964" width="4.7109375" style="195" customWidth="1"/>
    <col min="7965" max="8192" width="9.140625" style="195"/>
    <col min="8193" max="8220" width="4.7109375" style="195" customWidth="1"/>
    <col min="8221" max="8448" width="9.140625" style="195"/>
    <col min="8449" max="8476" width="4.7109375" style="195" customWidth="1"/>
    <col min="8477" max="8704" width="9.140625" style="195"/>
    <col min="8705" max="8732" width="4.7109375" style="195" customWidth="1"/>
    <col min="8733" max="8960" width="9.140625" style="195"/>
    <col min="8961" max="8988" width="4.7109375" style="195" customWidth="1"/>
    <col min="8989" max="9216" width="9.140625" style="195"/>
    <col min="9217" max="9244" width="4.7109375" style="195" customWidth="1"/>
    <col min="9245" max="9472" width="9.140625" style="195"/>
    <col min="9473" max="9500" width="4.7109375" style="195" customWidth="1"/>
    <col min="9501" max="9728" width="9.140625" style="195"/>
    <col min="9729" max="9756" width="4.7109375" style="195" customWidth="1"/>
    <col min="9757" max="9984" width="9.140625" style="195"/>
    <col min="9985" max="10012" width="4.7109375" style="195" customWidth="1"/>
    <col min="10013" max="10240" width="9.140625" style="195"/>
    <col min="10241" max="10268" width="4.7109375" style="195" customWidth="1"/>
    <col min="10269" max="10496" width="9.140625" style="195"/>
    <col min="10497" max="10524" width="4.7109375" style="195" customWidth="1"/>
    <col min="10525" max="10752" width="9.140625" style="195"/>
    <col min="10753" max="10780" width="4.7109375" style="195" customWidth="1"/>
    <col min="10781" max="11008" width="9.140625" style="195"/>
    <col min="11009" max="11036" width="4.7109375" style="195" customWidth="1"/>
    <col min="11037" max="11264" width="9.140625" style="195"/>
    <col min="11265" max="11292" width="4.7109375" style="195" customWidth="1"/>
    <col min="11293" max="11520" width="9.140625" style="195"/>
    <col min="11521" max="11548" width="4.7109375" style="195" customWidth="1"/>
    <col min="11549" max="11776" width="9.140625" style="195"/>
    <col min="11777" max="11804" width="4.7109375" style="195" customWidth="1"/>
    <col min="11805" max="12032" width="9.140625" style="195"/>
    <col min="12033" max="12060" width="4.7109375" style="195" customWidth="1"/>
    <col min="12061" max="12288" width="9.140625" style="195"/>
    <col min="12289" max="12316" width="4.7109375" style="195" customWidth="1"/>
    <col min="12317" max="12544" width="9.140625" style="195"/>
    <col min="12545" max="12572" width="4.7109375" style="195" customWidth="1"/>
    <col min="12573" max="12800" width="9.140625" style="195"/>
    <col min="12801" max="12828" width="4.7109375" style="195" customWidth="1"/>
    <col min="12829" max="13056" width="9.140625" style="195"/>
    <col min="13057" max="13084" width="4.7109375" style="195" customWidth="1"/>
    <col min="13085" max="13312" width="9.140625" style="195"/>
    <col min="13313" max="13340" width="4.7109375" style="195" customWidth="1"/>
    <col min="13341" max="13568" width="9.140625" style="195"/>
    <col min="13569" max="13596" width="4.7109375" style="195" customWidth="1"/>
    <col min="13597" max="13824" width="9.140625" style="195"/>
    <col min="13825" max="13852" width="4.7109375" style="195" customWidth="1"/>
    <col min="13853" max="14080" width="9.140625" style="195"/>
    <col min="14081" max="14108" width="4.7109375" style="195" customWidth="1"/>
    <col min="14109" max="14336" width="9.140625" style="195"/>
    <col min="14337" max="14364" width="4.7109375" style="195" customWidth="1"/>
    <col min="14365" max="14592" width="9.140625" style="195"/>
    <col min="14593" max="14620" width="4.7109375" style="195" customWidth="1"/>
    <col min="14621" max="14848" width="9.140625" style="195"/>
    <col min="14849" max="14876" width="4.7109375" style="195" customWidth="1"/>
    <col min="14877" max="15104" width="9.140625" style="195"/>
    <col min="15105" max="15132" width="4.7109375" style="195" customWidth="1"/>
    <col min="15133" max="15360" width="9.140625" style="195"/>
    <col min="15361" max="15388" width="4.7109375" style="195" customWidth="1"/>
    <col min="15389" max="15616" width="9.140625" style="195"/>
    <col min="15617" max="15644" width="4.7109375" style="195" customWidth="1"/>
    <col min="15645" max="15872" width="9.140625" style="195"/>
    <col min="15873" max="15900" width="4.7109375" style="195" customWidth="1"/>
    <col min="15901" max="16128" width="9.140625" style="195"/>
    <col min="16129" max="16156" width="4.7109375" style="195" customWidth="1"/>
    <col min="16157" max="16384" width="9.140625" style="195"/>
  </cols>
  <sheetData>
    <row r="1" spans="1:29" ht="12.75" hidden="1" customHeight="1">
      <c r="A1" s="189"/>
      <c r="B1" s="190"/>
      <c r="C1" s="191" t="s">
        <v>468</v>
      </c>
      <c r="D1" s="191" t="s">
        <v>469</v>
      </c>
      <c r="E1" s="191" t="s">
        <v>470</v>
      </c>
      <c r="F1" s="191" t="s">
        <v>471</v>
      </c>
      <c r="G1" s="192"/>
      <c r="H1" s="192"/>
      <c r="I1" s="193"/>
      <c r="J1" s="192"/>
      <c r="K1" s="192"/>
      <c r="L1" s="192"/>
      <c r="M1" s="191" t="s">
        <v>472</v>
      </c>
      <c r="N1" s="191" t="s">
        <v>473</v>
      </c>
      <c r="O1" s="191" t="s">
        <v>474</v>
      </c>
      <c r="P1" s="191" t="s">
        <v>475</v>
      </c>
      <c r="Q1" s="192"/>
      <c r="R1" s="193"/>
      <c r="S1" s="192"/>
      <c r="T1" s="192"/>
      <c r="U1" s="191" t="s">
        <v>476</v>
      </c>
      <c r="V1" s="191" t="s">
        <v>477</v>
      </c>
      <c r="W1" s="191" t="s">
        <v>478</v>
      </c>
      <c r="X1" s="191" t="s">
        <v>479</v>
      </c>
      <c r="Y1" s="192"/>
      <c r="Z1" s="192"/>
      <c r="AA1" s="192"/>
      <c r="AB1" s="194"/>
    </row>
    <row r="2" spans="1:29" ht="13.5" hidden="1" customHeight="1">
      <c r="A2" s="196"/>
      <c r="B2" s="197"/>
      <c r="C2" s="198">
        <f>I8</f>
        <v>42370</v>
      </c>
      <c r="D2" s="197">
        <f>U2+31</f>
        <v>42461</v>
      </c>
      <c r="E2" s="197">
        <f>V2+30</f>
        <v>42552</v>
      </c>
      <c r="F2" s="197">
        <f>W2+30</f>
        <v>42644</v>
      </c>
      <c r="G2" s="197"/>
      <c r="H2" s="199"/>
      <c r="I2" s="200"/>
      <c r="J2" s="199"/>
      <c r="K2" s="199"/>
      <c r="L2" s="199">
        <f>IF(OR((AND(MOD(YEAR(C2),4)=0,MOD(YEAR(C2),100)&lt;&gt;0)), (MOD(YEAR(C2),400)=0)), 29,28)</f>
        <v>29</v>
      </c>
      <c r="M2" s="197">
        <f>C2+31</f>
        <v>42401</v>
      </c>
      <c r="N2" s="197">
        <f>D2+30</f>
        <v>42491</v>
      </c>
      <c r="O2" s="197">
        <f>E2+31</f>
        <v>42583</v>
      </c>
      <c r="P2" s="197">
        <f>F2+31</f>
        <v>42675</v>
      </c>
      <c r="Q2" s="199"/>
      <c r="R2" s="200"/>
      <c r="S2" s="199"/>
      <c r="T2" s="199"/>
      <c r="U2" s="197">
        <f>M2+L2</f>
        <v>42430</v>
      </c>
      <c r="V2" s="197">
        <f>N2+31</f>
        <v>42522</v>
      </c>
      <c r="W2" s="197">
        <f>O2+31</f>
        <v>42614</v>
      </c>
      <c r="X2" s="197">
        <f>P2+30</f>
        <v>42705</v>
      </c>
      <c r="Y2" s="199"/>
      <c r="Z2" s="199"/>
      <c r="AA2" s="199"/>
      <c r="AC2" s="201"/>
    </row>
    <row r="3" spans="1:29" ht="14.25" hidden="1" customHeight="1">
      <c r="A3" s="202" t="s">
        <v>468</v>
      </c>
      <c r="B3" s="203"/>
      <c r="C3" s="199">
        <f>IF(WEEKDAY($C$2)=1,1,0)</f>
        <v>0</v>
      </c>
      <c r="D3" s="199">
        <f>IF(WEEKDAY($C$2)=2,1,0)</f>
        <v>0</v>
      </c>
      <c r="E3" s="199">
        <f>IF(WEEKDAY($C$2)=3,1,0)</f>
        <v>0</v>
      </c>
      <c r="F3" s="199">
        <f>IF(WEEKDAY($C$2)=4,1,0)</f>
        <v>0</v>
      </c>
      <c r="G3" s="199">
        <f>IF(WEEKDAY($C$2)=5,1,0)</f>
        <v>0</v>
      </c>
      <c r="H3" s="199">
        <f>IF(WEEKDAY($C$2)=6,1,0)</f>
        <v>1</v>
      </c>
      <c r="I3" s="200">
        <f>IF(WEEKDAY($C$2)=7,1,0)</f>
        <v>0</v>
      </c>
      <c r="J3" s="203" t="s">
        <v>472</v>
      </c>
      <c r="K3" s="203"/>
      <c r="L3" s="199">
        <f>IF(WEEKDAY($M$2)=1,1,0)</f>
        <v>0</v>
      </c>
      <c r="M3" s="199">
        <f>IF(WEEKDAY($M$2)=2,1,0)</f>
        <v>1</v>
      </c>
      <c r="N3" s="199">
        <f>IF(WEEKDAY($M$2)=3,1,0)</f>
        <v>0</v>
      </c>
      <c r="O3" s="199">
        <f>IF(WEEKDAY($M$2)=4,1,0)</f>
        <v>0</v>
      </c>
      <c r="P3" s="199">
        <f>IF(WEEKDAY($M$2)=5,1,0)</f>
        <v>0</v>
      </c>
      <c r="Q3" s="199">
        <f>IF(WEEKDAY($M$2)=6,1,0)</f>
        <v>0</v>
      </c>
      <c r="R3" s="200">
        <f>IF(WEEKDAY($M$2)=7,1,0)</f>
        <v>0</v>
      </c>
      <c r="S3" s="203" t="s">
        <v>476</v>
      </c>
      <c r="T3" s="203"/>
      <c r="U3" s="199">
        <f>IF(WEEKDAY($U$2)=1,1,0)</f>
        <v>0</v>
      </c>
      <c r="V3" s="199">
        <f>IF(WEEKDAY($U$2)=2,1,0)</f>
        <v>0</v>
      </c>
      <c r="W3" s="199">
        <f>IF(WEEKDAY($U$2)=3,1,0)</f>
        <v>1</v>
      </c>
      <c r="X3" s="199">
        <f>IF(WEEKDAY($U$2)=4,1,0)</f>
        <v>0</v>
      </c>
      <c r="Y3" s="199">
        <f>IF(WEEKDAY($U$2)=5,1,0)</f>
        <v>0</v>
      </c>
      <c r="Z3" s="199">
        <f>IF(WEEKDAY($U$2)=6,1,0)</f>
        <v>0</v>
      </c>
      <c r="AA3" s="199">
        <f>IF(WEEKDAY($U$2)=7,1,0)</f>
        <v>0</v>
      </c>
    </row>
    <row r="4" spans="1:29" ht="16.5" hidden="1" customHeight="1">
      <c r="A4" s="202" t="s">
        <v>469</v>
      </c>
      <c r="B4" s="203"/>
      <c r="C4" s="199">
        <f>IF(WEEKDAY($D$2)=1,1,0)</f>
        <v>0</v>
      </c>
      <c r="D4" s="199">
        <f>IF(WEEKDAY($D$2)=2,1,0)</f>
        <v>0</v>
      </c>
      <c r="E4" s="199">
        <f>IF(WEEKDAY($D$2)=3,1,0)</f>
        <v>0</v>
      </c>
      <c r="F4" s="199">
        <f>IF(WEEKDAY($D$2)=4,1,0)</f>
        <v>0</v>
      </c>
      <c r="G4" s="199">
        <f>IF(WEEKDAY($D$2)=5,1,0)</f>
        <v>0</v>
      </c>
      <c r="H4" s="199">
        <f>IF(WEEKDAY($D$2)=6,1,0)</f>
        <v>1</v>
      </c>
      <c r="I4" s="200">
        <f>IF(WEEKDAY($D$2)=7,1,0)</f>
        <v>0</v>
      </c>
      <c r="J4" s="203" t="s">
        <v>473</v>
      </c>
      <c r="K4" s="203"/>
      <c r="L4" s="199">
        <f>IF(WEEKDAY($N$2)=1,1,0)</f>
        <v>1</v>
      </c>
      <c r="M4" s="199">
        <f>IF(WEEKDAY($N$2)=2,1,0)</f>
        <v>0</v>
      </c>
      <c r="N4" s="199">
        <f>IF(WEEKDAY($N$2)=3,1,0)</f>
        <v>0</v>
      </c>
      <c r="O4" s="199">
        <f>IF(WEEKDAY($N$2)=4,1,0)</f>
        <v>0</v>
      </c>
      <c r="P4" s="199">
        <f>IF(WEEKDAY($N$2)=5,1,0)</f>
        <v>0</v>
      </c>
      <c r="Q4" s="199">
        <f>IF(WEEKDAY($N$2)=6,1,0)</f>
        <v>0</v>
      </c>
      <c r="R4" s="200">
        <f>IF(WEEKDAY($N$2)=7,1,0)</f>
        <v>0</v>
      </c>
      <c r="S4" s="203" t="s">
        <v>477</v>
      </c>
      <c r="T4" s="203"/>
      <c r="U4" s="199">
        <f>IF(WEEKDAY($V$2)=1,1,0)</f>
        <v>0</v>
      </c>
      <c r="V4" s="199">
        <f>IF(WEEKDAY($V$2)=2,1,0)</f>
        <v>0</v>
      </c>
      <c r="W4" s="199">
        <f>IF(WEEKDAY($V$2)=3,1,0)</f>
        <v>0</v>
      </c>
      <c r="X4" s="199">
        <f>IF(WEEKDAY($V$2)=4,1,0)</f>
        <v>1</v>
      </c>
      <c r="Y4" s="199">
        <f>IF(WEEKDAY($V$2)=5,1,0)</f>
        <v>0</v>
      </c>
      <c r="Z4" s="199">
        <f>IF(WEEKDAY($V$2)=6,1,0)</f>
        <v>0</v>
      </c>
      <c r="AA4" s="199">
        <f>IF(WEEKDAY($V$2)=7,1,0)</f>
        <v>0</v>
      </c>
    </row>
    <row r="5" spans="1:29" ht="16.5" hidden="1" customHeight="1">
      <c r="A5" s="202" t="s">
        <v>470</v>
      </c>
      <c r="B5" s="203"/>
      <c r="C5" s="199">
        <f>IF(WEEKDAY($E$2)=1,1,0)</f>
        <v>0</v>
      </c>
      <c r="D5" s="199">
        <f>IF(WEEKDAY($E$2)=2,1,0)</f>
        <v>0</v>
      </c>
      <c r="E5" s="199">
        <f>IF(WEEKDAY($E$2)=3,1,0)</f>
        <v>0</v>
      </c>
      <c r="F5" s="199">
        <f>IF(WEEKDAY($E$2)=4,1,0)</f>
        <v>0</v>
      </c>
      <c r="G5" s="199">
        <f>IF(WEEKDAY($E$2)=5,1,0)</f>
        <v>0</v>
      </c>
      <c r="H5" s="199">
        <f>IF(WEEKDAY($E$2)=6,1,0)</f>
        <v>1</v>
      </c>
      <c r="I5" s="200">
        <f>IF(WEEKDAY($E$2)=7,1,0)</f>
        <v>0</v>
      </c>
      <c r="J5" s="203" t="s">
        <v>474</v>
      </c>
      <c r="K5" s="203"/>
      <c r="L5" s="199">
        <f>IF(WEEKDAY($O$2)=1,1,0)</f>
        <v>0</v>
      </c>
      <c r="M5" s="199">
        <f>IF(WEEKDAY($O$2)=2,1,0)</f>
        <v>1</v>
      </c>
      <c r="N5" s="199">
        <f>IF(WEEKDAY($O$2)=3,1,0)</f>
        <v>0</v>
      </c>
      <c r="O5" s="199">
        <f>IF(WEEKDAY($O$2)=4,1,0)</f>
        <v>0</v>
      </c>
      <c r="P5" s="199">
        <f>IF(WEEKDAY($O$2)=5,1,0)</f>
        <v>0</v>
      </c>
      <c r="Q5" s="199">
        <f>IF(WEEKDAY($O$2)=6,1,0)</f>
        <v>0</v>
      </c>
      <c r="R5" s="200">
        <f>IF(WEEKDAY($O$2)=7,1,0)</f>
        <v>0</v>
      </c>
      <c r="S5" s="203" t="s">
        <v>478</v>
      </c>
      <c r="T5" s="203"/>
      <c r="U5" s="199">
        <f>IF(WEEKDAY($W$2)=1,1,0)</f>
        <v>0</v>
      </c>
      <c r="V5" s="199">
        <f>IF(WEEKDAY($W$2)=2,1,0)</f>
        <v>0</v>
      </c>
      <c r="W5" s="199">
        <f>IF(WEEKDAY($W$2)=3,1,0)</f>
        <v>0</v>
      </c>
      <c r="X5" s="199">
        <f>IF(WEEKDAY($W$2)=4,1,0)</f>
        <v>0</v>
      </c>
      <c r="Y5" s="199">
        <f>IF(WEEKDAY($W$2)=5,1,0)</f>
        <v>1</v>
      </c>
      <c r="Z5" s="199">
        <f>IF(WEEKDAY($W$2)=6,1,0)</f>
        <v>0</v>
      </c>
      <c r="AA5" s="199">
        <f>IF(WEEKDAY($W$2)=7,1,0)</f>
        <v>0</v>
      </c>
    </row>
    <row r="6" spans="1:29" ht="20.25" hidden="1" customHeight="1">
      <c r="A6" s="202" t="s">
        <v>471</v>
      </c>
      <c r="B6" s="203"/>
      <c r="C6" s="199">
        <f>IF(WEEKDAY($F$2)=1,1,0)</f>
        <v>0</v>
      </c>
      <c r="D6" s="199">
        <f>IF(WEEKDAY($F$2)=2,1,0)</f>
        <v>0</v>
      </c>
      <c r="E6" s="199">
        <f>IF(WEEKDAY($F$2)=3,1,0)</f>
        <v>0</v>
      </c>
      <c r="F6" s="199">
        <f>IF(WEEKDAY($F$2)=4,1,0)</f>
        <v>0</v>
      </c>
      <c r="G6" s="199">
        <f>IF(WEEKDAY($F$2)=5,1,0)</f>
        <v>0</v>
      </c>
      <c r="H6" s="199">
        <f>IF(WEEKDAY($F$2)=6,1,0)</f>
        <v>0</v>
      </c>
      <c r="I6" s="200">
        <f>IF(WEEKDAY($F$2)=7,1,0)</f>
        <v>1</v>
      </c>
      <c r="J6" s="203" t="s">
        <v>475</v>
      </c>
      <c r="K6" s="203"/>
      <c r="L6" s="199">
        <f>IF(WEEKDAY($P$2)=1,1,0)</f>
        <v>0</v>
      </c>
      <c r="M6" s="199">
        <f>IF(WEEKDAY($P$2)=2,1,0)</f>
        <v>0</v>
      </c>
      <c r="N6" s="199">
        <f>IF(WEEKDAY($P$2)=3,1,0)</f>
        <v>1</v>
      </c>
      <c r="O6" s="199">
        <f>IF(WEEKDAY($P$2)=4,1,0)</f>
        <v>0</v>
      </c>
      <c r="P6" s="199">
        <f>IF(WEEKDAY($P$2)=5,1,0)</f>
        <v>0</v>
      </c>
      <c r="Q6" s="199">
        <f>IF(WEEKDAY($P$2)=6,1,0)</f>
        <v>0</v>
      </c>
      <c r="R6" s="200">
        <f>IF(WEEKDAY($P$2)=7,1,0)</f>
        <v>0</v>
      </c>
      <c r="S6" s="203" t="s">
        <v>479</v>
      </c>
      <c r="T6" s="203"/>
      <c r="U6" s="199">
        <f>IF(WEEKDAY($X$2)=1,1,0)</f>
        <v>0</v>
      </c>
      <c r="V6" s="199">
        <f>IF(WEEKDAY($X$2)=2,1,0)</f>
        <v>0</v>
      </c>
      <c r="W6" s="199">
        <f>IF(WEEKDAY($X$2)=3,1,0)</f>
        <v>0</v>
      </c>
      <c r="X6" s="199">
        <f>IF(WEEKDAY($X$2)=4,1,0)</f>
        <v>0</v>
      </c>
      <c r="Y6" s="199">
        <f>IF(WEEKDAY($X$2)=5,1,0)</f>
        <v>1</v>
      </c>
      <c r="Z6" s="199">
        <f>IF(WEEKDAY($X$2)=6,1,0)</f>
        <v>0</v>
      </c>
      <c r="AA6" s="199">
        <f>IF(WEEKDAY($X$2)=7,1,0)</f>
        <v>0</v>
      </c>
    </row>
    <row r="7" spans="1:29" ht="14.25" customHeight="1" thickBot="1"/>
    <row r="8" spans="1:29" ht="41.45" customHeight="1" thickBot="1">
      <c r="A8" s="204"/>
      <c r="B8" s="205" t="s">
        <v>480</v>
      </c>
      <c r="D8" s="206"/>
      <c r="E8" s="206"/>
      <c r="F8" s="206"/>
      <c r="G8" s="206"/>
      <c r="H8" s="207"/>
      <c r="I8" s="2757">
        <v>42370</v>
      </c>
      <c r="J8" s="2758"/>
      <c r="K8" s="2758"/>
      <c r="N8" s="208" t="s">
        <v>481</v>
      </c>
      <c r="O8" s="209"/>
      <c r="P8" s="209"/>
      <c r="Q8" s="209"/>
      <c r="R8" s="209"/>
      <c r="S8" s="209"/>
      <c r="Y8" s="2762" t="s">
        <v>1749</v>
      </c>
      <c r="Z8" s="2763"/>
      <c r="AA8" s="2764"/>
    </row>
    <row r="9" spans="1:29" ht="15.75" customHeight="1" thickBot="1">
      <c r="A9" s="2552"/>
      <c r="B9" s="2552"/>
      <c r="C9" s="2555" t="s">
        <v>482</v>
      </c>
      <c r="D9" s="2556"/>
      <c r="E9" s="2556"/>
      <c r="F9" s="2556"/>
      <c r="G9" s="2556"/>
      <c r="H9" s="217"/>
      <c r="I9" s="2553"/>
      <c r="J9" s="2553"/>
      <c r="K9" s="2553"/>
      <c r="L9" s="214"/>
      <c r="M9" s="214"/>
      <c r="N9" s="214"/>
      <c r="O9" s="214"/>
      <c r="P9" s="214"/>
      <c r="Q9" s="214"/>
      <c r="R9" s="214"/>
      <c r="S9" s="214"/>
      <c r="T9" s="214"/>
      <c r="U9" s="214"/>
      <c r="V9" s="214"/>
      <c r="W9" s="214"/>
      <c r="X9" s="214"/>
      <c r="Y9" s="214"/>
      <c r="Z9" s="214"/>
      <c r="AA9" s="214"/>
    </row>
    <row r="10" spans="1:29" ht="7.5" customHeight="1">
      <c r="A10" s="213"/>
      <c r="B10" s="210"/>
      <c r="C10" s="211"/>
      <c r="D10" s="211"/>
      <c r="E10" s="211"/>
      <c r="F10" s="211"/>
      <c r="G10" s="211"/>
      <c r="H10" s="211"/>
      <c r="I10" s="211"/>
      <c r="J10" s="211"/>
      <c r="K10" s="211"/>
      <c r="L10" s="211"/>
      <c r="M10" s="211"/>
      <c r="N10" s="211"/>
      <c r="O10" s="211"/>
      <c r="P10" s="211"/>
      <c r="Q10" s="211"/>
      <c r="R10" s="211"/>
      <c r="S10" s="211"/>
      <c r="T10" s="211"/>
      <c r="U10" s="211"/>
      <c r="V10" s="211"/>
      <c r="W10" s="211"/>
      <c r="X10" s="211"/>
      <c r="Y10" s="211"/>
      <c r="Z10" s="211"/>
      <c r="AA10" s="212"/>
    </row>
    <row r="11" spans="1:29" ht="7.5" customHeight="1">
      <c r="A11" s="213"/>
      <c r="B11" s="213"/>
      <c r="C11" s="214"/>
      <c r="D11" s="214"/>
      <c r="E11" s="214"/>
      <c r="F11" s="214"/>
      <c r="G11" s="214"/>
      <c r="H11" s="214"/>
      <c r="I11" s="214"/>
      <c r="J11" s="214"/>
      <c r="K11" s="214"/>
      <c r="L11" s="214"/>
      <c r="M11" s="214"/>
      <c r="N11" s="214"/>
      <c r="O11" s="214"/>
      <c r="P11" s="214"/>
      <c r="Q11" s="214"/>
      <c r="R11" s="214"/>
      <c r="S11" s="214"/>
      <c r="T11" s="214"/>
      <c r="U11" s="214"/>
      <c r="V11" s="214"/>
      <c r="W11" s="214"/>
      <c r="X11" s="214"/>
      <c r="Y11" s="214"/>
      <c r="Z11" s="214"/>
      <c r="AA11" s="215"/>
    </row>
    <row r="12" spans="1:29" ht="24.75">
      <c r="A12" s="216"/>
      <c r="B12" s="216"/>
      <c r="C12" s="217"/>
      <c r="D12" s="217"/>
      <c r="E12" s="217"/>
      <c r="F12" s="217"/>
      <c r="G12" s="217"/>
      <c r="H12" s="2766" t="s">
        <v>483</v>
      </c>
      <c r="I12" s="2766"/>
      <c r="J12" s="2766"/>
      <c r="K12" s="2766"/>
      <c r="L12" s="2766"/>
      <c r="M12" s="2766"/>
      <c r="N12" s="2766"/>
      <c r="O12" s="2766"/>
      <c r="P12" s="2765">
        <f>YEAR(I8)</f>
        <v>2016</v>
      </c>
      <c r="Q12" s="2765"/>
      <c r="R12" s="2765"/>
      <c r="S12" s="2765"/>
      <c r="T12" s="2765"/>
      <c r="U12" s="217"/>
      <c r="V12" s="217"/>
      <c r="W12" s="217"/>
      <c r="X12" s="217"/>
      <c r="Y12" s="217"/>
      <c r="Z12" s="217"/>
      <c r="AA12" s="218"/>
    </row>
    <row r="13" spans="1:29">
      <c r="A13" s="213"/>
      <c r="B13" s="213"/>
      <c r="C13" s="214"/>
      <c r="D13" s="214"/>
      <c r="E13" s="2554"/>
      <c r="F13" s="214"/>
      <c r="G13" s="214"/>
      <c r="H13" s="214"/>
      <c r="I13" s="214"/>
      <c r="J13" s="214"/>
      <c r="K13" s="214"/>
      <c r="L13" s="214"/>
      <c r="M13" s="214"/>
      <c r="N13" s="214"/>
      <c r="O13" s="214"/>
      <c r="P13" s="214"/>
      <c r="Q13" s="214"/>
      <c r="R13" s="214"/>
      <c r="S13" s="214"/>
      <c r="T13" s="214"/>
      <c r="U13" s="214"/>
      <c r="V13" s="214"/>
      <c r="W13" s="214"/>
      <c r="X13" s="214"/>
      <c r="Y13" s="214"/>
      <c r="Z13" s="214"/>
      <c r="AA13" s="215"/>
    </row>
    <row r="14" spans="1:29" s="221" customFormat="1" ht="18" customHeight="1" thickBot="1">
      <c r="A14" s="219"/>
      <c r="B14" s="2759" t="s">
        <v>484</v>
      </c>
      <c r="C14" s="2760"/>
      <c r="D14" s="2760"/>
      <c r="E14" s="2760"/>
      <c r="F14" s="2760"/>
      <c r="G14" s="2760"/>
      <c r="H14" s="2760"/>
      <c r="I14" s="2760"/>
      <c r="J14" s="220"/>
      <c r="K14" s="2761" t="s">
        <v>485</v>
      </c>
      <c r="L14" s="2761"/>
      <c r="M14" s="2761"/>
      <c r="N14" s="2761"/>
      <c r="O14" s="2761"/>
      <c r="P14" s="2761"/>
      <c r="Q14" s="2761"/>
      <c r="R14" s="2761"/>
      <c r="S14" s="220"/>
      <c r="T14" s="2755" t="s">
        <v>486</v>
      </c>
      <c r="U14" s="2755"/>
      <c r="V14" s="2755"/>
      <c r="W14" s="2755"/>
      <c r="X14" s="2755"/>
      <c r="Y14" s="2755"/>
      <c r="Z14" s="2755"/>
      <c r="AA14" s="2756"/>
      <c r="AB14" s="195"/>
      <c r="AC14" s="195"/>
    </row>
    <row r="15" spans="1:29" ht="18" customHeight="1">
      <c r="A15" s="222"/>
      <c r="B15" s="2546" t="s">
        <v>487</v>
      </c>
      <c r="C15" s="2547" t="s">
        <v>488</v>
      </c>
      <c r="D15" s="2548" t="s">
        <v>489</v>
      </c>
      <c r="E15" s="2548" t="s">
        <v>490</v>
      </c>
      <c r="F15" s="2548" t="s">
        <v>491</v>
      </c>
      <c r="G15" s="2548" t="s">
        <v>492</v>
      </c>
      <c r="H15" s="2548" t="s">
        <v>493</v>
      </c>
      <c r="I15" s="2549" t="s">
        <v>494</v>
      </c>
      <c r="J15" s="2550"/>
      <c r="K15" s="2546" t="s">
        <v>487</v>
      </c>
      <c r="L15" s="2547" t="s">
        <v>488</v>
      </c>
      <c r="M15" s="2548" t="s">
        <v>489</v>
      </c>
      <c r="N15" s="2548" t="s">
        <v>490</v>
      </c>
      <c r="O15" s="2548" t="s">
        <v>491</v>
      </c>
      <c r="P15" s="2548" t="s">
        <v>492</v>
      </c>
      <c r="Q15" s="2548" t="s">
        <v>493</v>
      </c>
      <c r="R15" s="2549" t="s">
        <v>494</v>
      </c>
      <c r="S15" s="2550"/>
      <c r="T15" s="2546" t="s">
        <v>487</v>
      </c>
      <c r="U15" s="2547" t="s">
        <v>488</v>
      </c>
      <c r="V15" s="2548" t="s">
        <v>489</v>
      </c>
      <c r="W15" s="2548" t="s">
        <v>490</v>
      </c>
      <c r="X15" s="2548" t="s">
        <v>491</v>
      </c>
      <c r="Y15" s="2548" t="s">
        <v>492</v>
      </c>
      <c r="Z15" s="2548" t="s">
        <v>493</v>
      </c>
      <c r="AA15" s="2549" t="s">
        <v>494</v>
      </c>
    </row>
    <row r="16" spans="1:29" ht="18" customHeight="1">
      <c r="A16" s="223"/>
      <c r="B16" s="224">
        <v>1</v>
      </c>
      <c r="C16" s="225">
        <f>IF($C$3=1,1,0)</f>
        <v>0</v>
      </c>
      <c r="D16" s="226">
        <f>IF($D$3=1,1, IF(C16&gt;0,C16+1, 0))</f>
        <v>0</v>
      </c>
      <c r="E16" s="226">
        <f>IF($E$3=1,1, IF(D16&gt;0,D16+1, 0))</f>
        <v>0</v>
      </c>
      <c r="F16" s="226">
        <f>IF($F$3=1,1, IF(E16&gt;0,E16+1, 0))</f>
        <v>0</v>
      </c>
      <c r="G16" s="226">
        <f>IF($G$3=1,1, IF(F16&gt;0,F16+1, 0))</f>
        <v>0</v>
      </c>
      <c r="H16" s="226">
        <f>IF($H$3=1,1, IF(G16&gt;0,G16+1, 0))</f>
        <v>1</v>
      </c>
      <c r="I16" s="227">
        <f>IF($I$3=1,1, IF(H16&gt;0,H16+1, 0))</f>
        <v>2</v>
      </c>
      <c r="J16" s="228"/>
      <c r="K16" s="229">
        <f>IF(B21&gt;0,B20+1,B20)</f>
        <v>6</v>
      </c>
      <c r="L16" s="225">
        <f>IF($L$3=1,1,0)</f>
        <v>0</v>
      </c>
      <c r="M16" s="226">
        <f>IF($M$3=1,1, IF(L16&gt;0,L16+1, 0))</f>
        <v>1</v>
      </c>
      <c r="N16" s="226">
        <f>IF($N$3=1,1, IF(M16&gt;0,M16+1, 0))</f>
        <v>2</v>
      </c>
      <c r="O16" s="226">
        <f>IF($O$3=1,1, IF(N16&gt;0,N16+1, 0))</f>
        <v>3</v>
      </c>
      <c r="P16" s="226">
        <f>IF($P$3=1,1, IF(O16&gt;0,O16+1, 0))</f>
        <v>4</v>
      </c>
      <c r="Q16" s="226">
        <f>IF($Q$3=1,1, IF(P16&gt;0,P16+1, 0))</f>
        <v>5</v>
      </c>
      <c r="R16" s="227">
        <f>IF($R$3=1,1, IF(Q16&gt;0,Q16+1, 0))</f>
        <v>6</v>
      </c>
      <c r="S16" s="228"/>
      <c r="T16" s="229">
        <f>IF(K21&gt;0,K20+1,K20)</f>
        <v>10</v>
      </c>
      <c r="U16" s="225">
        <f>IF($U$3=1,1,0)</f>
        <v>0</v>
      </c>
      <c r="V16" s="226">
        <f>IF($V$3=1,1, IF(U16&gt;0,U16+1, 0))</f>
        <v>0</v>
      </c>
      <c r="W16" s="226">
        <f>IF($W$3=1,1, IF(V16&gt;0,V16+1, 0))</f>
        <v>1</v>
      </c>
      <c r="X16" s="226">
        <f>IF($X$3=1,1, IF(W16&gt;0,W16+1, 0))</f>
        <v>2</v>
      </c>
      <c r="Y16" s="226">
        <f>IF($Y$3=1,1, IF(X16&gt;0,X16+1, 0))</f>
        <v>3</v>
      </c>
      <c r="Z16" s="226">
        <f>IF($Z$3=1,1, IF(Y16&gt;0,Y16+1, 0))</f>
        <v>4</v>
      </c>
      <c r="AA16" s="227">
        <f>IF($AA$3=1,1, IF(Z16&gt;0,Z16+1, 0))</f>
        <v>5</v>
      </c>
    </row>
    <row r="17" spans="1:29" ht="18" customHeight="1">
      <c r="A17" s="223"/>
      <c r="B17" s="230">
        <f>B16+1</f>
        <v>2</v>
      </c>
      <c r="C17" s="231">
        <f>IF(AND(I16&gt;0,I16&lt;31),I16+1,0)</f>
        <v>3</v>
      </c>
      <c r="D17" s="232">
        <f t="shared" ref="D17:I21" si="0">IF(AND(C17&gt;0,C17&lt;31),C17+1,0)</f>
        <v>4</v>
      </c>
      <c r="E17" s="232">
        <f t="shared" si="0"/>
        <v>5</v>
      </c>
      <c r="F17" s="232">
        <f t="shared" si="0"/>
        <v>6</v>
      </c>
      <c r="G17" s="232">
        <f t="shared" si="0"/>
        <v>7</v>
      </c>
      <c r="H17" s="232">
        <f t="shared" si="0"/>
        <v>8</v>
      </c>
      <c r="I17" s="233">
        <f t="shared" si="0"/>
        <v>9</v>
      </c>
      <c r="J17" s="228"/>
      <c r="K17" s="229">
        <f>K16+1</f>
        <v>7</v>
      </c>
      <c r="L17" s="231">
        <f>IF(AND(R16&gt;0,R16&lt;$L$2),R16+1,0)</f>
        <v>7</v>
      </c>
      <c r="M17" s="232">
        <f t="shared" ref="M17:R21" si="1">IF(AND(L17&gt;0,L17&lt;$L$2),L17+1,0)</f>
        <v>8</v>
      </c>
      <c r="N17" s="232">
        <f t="shared" si="1"/>
        <v>9</v>
      </c>
      <c r="O17" s="232">
        <f t="shared" si="1"/>
        <v>10</v>
      </c>
      <c r="P17" s="232">
        <f t="shared" si="1"/>
        <v>11</v>
      </c>
      <c r="Q17" s="232">
        <f t="shared" si="1"/>
        <v>12</v>
      </c>
      <c r="R17" s="233">
        <f t="shared" si="1"/>
        <v>13</v>
      </c>
      <c r="S17" s="228"/>
      <c r="T17" s="229">
        <f>T16+1</f>
        <v>11</v>
      </c>
      <c r="U17" s="231">
        <f>IF(AND(AA16&gt;0,AA16&lt;31),AA16+1,0)</f>
        <v>6</v>
      </c>
      <c r="V17" s="232">
        <f t="shared" ref="V17:AA21" si="2">IF(AND(U17&gt;0,U17&lt;31),U17+1,0)</f>
        <v>7</v>
      </c>
      <c r="W17" s="232">
        <f t="shared" si="2"/>
        <v>8</v>
      </c>
      <c r="X17" s="232">
        <f t="shared" si="2"/>
        <v>9</v>
      </c>
      <c r="Y17" s="232">
        <f t="shared" si="2"/>
        <v>10</v>
      </c>
      <c r="Z17" s="232">
        <f t="shared" si="2"/>
        <v>11</v>
      </c>
      <c r="AA17" s="233">
        <f t="shared" si="2"/>
        <v>12</v>
      </c>
    </row>
    <row r="18" spans="1:29" ht="18" customHeight="1">
      <c r="A18" s="223"/>
      <c r="B18" s="230">
        <f>B17+1</f>
        <v>3</v>
      </c>
      <c r="C18" s="231">
        <f>IF(AND(I17&gt;0,I17&lt;31),I17+1,0)</f>
        <v>10</v>
      </c>
      <c r="D18" s="232">
        <f t="shared" si="0"/>
        <v>11</v>
      </c>
      <c r="E18" s="232">
        <f t="shared" si="0"/>
        <v>12</v>
      </c>
      <c r="F18" s="232">
        <f t="shared" si="0"/>
        <v>13</v>
      </c>
      <c r="G18" s="232">
        <f t="shared" si="0"/>
        <v>14</v>
      </c>
      <c r="H18" s="232">
        <f t="shared" si="0"/>
        <v>15</v>
      </c>
      <c r="I18" s="233">
        <f t="shared" si="0"/>
        <v>16</v>
      </c>
      <c r="J18" s="228"/>
      <c r="K18" s="229">
        <f>K17+1</f>
        <v>8</v>
      </c>
      <c r="L18" s="231">
        <f>IF(AND(R17&gt;0,R17&lt;$L$2),R17+1,0)</f>
        <v>14</v>
      </c>
      <c r="M18" s="232">
        <f t="shared" si="1"/>
        <v>15</v>
      </c>
      <c r="N18" s="232">
        <f t="shared" si="1"/>
        <v>16</v>
      </c>
      <c r="O18" s="232">
        <f t="shared" si="1"/>
        <v>17</v>
      </c>
      <c r="P18" s="232">
        <f t="shared" si="1"/>
        <v>18</v>
      </c>
      <c r="Q18" s="232">
        <f t="shared" si="1"/>
        <v>19</v>
      </c>
      <c r="R18" s="233">
        <f t="shared" si="1"/>
        <v>20</v>
      </c>
      <c r="S18" s="228"/>
      <c r="T18" s="229">
        <f>T17+1</f>
        <v>12</v>
      </c>
      <c r="U18" s="231">
        <f>IF(AND(AA17&gt;0,AA17&lt;31),AA17+1,0)</f>
        <v>13</v>
      </c>
      <c r="V18" s="232">
        <f t="shared" si="2"/>
        <v>14</v>
      </c>
      <c r="W18" s="232">
        <f t="shared" si="2"/>
        <v>15</v>
      </c>
      <c r="X18" s="232">
        <f t="shared" si="2"/>
        <v>16</v>
      </c>
      <c r="Y18" s="232">
        <f t="shared" si="2"/>
        <v>17</v>
      </c>
      <c r="Z18" s="232">
        <f t="shared" si="2"/>
        <v>18</v>
      </c>
      <c r="AA18" s="233">
        <f t="shared" si="2"/>
        <v>19</v>
      </c>
    </row>
    <row r="19" spans="1:29" ht="18" customHeight="1">
      <c r="A19" s="223"/>
      <c r="B19" s="230">
        <f>B18+1</f>
        <v>4</v>
      </c>
      <c r="C19" s="231">
        <f>IF(AND(I18&gt;0,I18&lt;31),I18+1,0)</f>
        <v>17</v>
      </c>
      <c r="D19" s="232">
        <f t="shared" si="0"/>
        <v>18</v>
      </c>
      <c r="E19" s="232">
        <f t="shared" si="0"/>
        <v>19</v>
      </c>
      <c r="F19" s="232">
        <f t="shared" si="0"/>
        <v>20</v>
      </c>
      <c r="G19" s="232">
        <f t="shared" si="0"/>
        <v>21</v>
      </c>
      <c r="H19" s="232">
        <f t="shared" si="0"/>
        <v>22</v>
      </c>
      <c r="I19" s="233">
        <f t="shared" si="0"/>
        <v>23</v>
      </c>
      <c r="J19" s="228"/>
      <c r="K19" s="229">
        <f>K18+1</f>
        <v>9</v>
      </c>
      <c r="L19" s="231">
        <f>IF(AND(R18&gt;0,R18&lt;$L$2),R18+1,0)</f>
        <v>21</v>
      </c>
      <c r="M19" s="232">
        <f t="shared" si="1"/>
        <v>22</v>
      </c>
      <c r="N19" s="232">
        <f t="shared" si="1"/>
        <v>23</v>
      </c>
      <c r="O19" s="232">
        <f t="shared" si="1"/>
        <v>24</v>
      </c>
      <c r="P19" s="232">
        <f t="shared" si="1"/>
        <v>25</v>
      </c>
      <c r="Q19" s="232">
        <f t="shared" si="1"/>
        <v>26</v>
      </c>
      <c r="R19" s="233">
        <f t="shared" si="1"/>
        <v>27</v>
      </c>
      <c r="S19" s="228"/>
      <c r="T19" s="229">
        <f>T18+1</f>
        <v>13</v>
      </c>
      <c r="U19" s="231">
        <f>IF(AND(AA18&gt;0,AA18&lt;31),AA18+1,0)</f>
        <v>20</v>
      </c>
      <c r="V19" s="232">
        <f t="shared" si="2"/>
        <v>21</v>
      </c>
      <c r="W19" s="232">
        <f t="shared" si="2"/>
        <v>22</v>
      </c>
      <c r="X19" s="232">
        <f t="shared" si="2"/>
        <v>23</v>
      </c>
      <c r="Y19" s="232">
        <f t="shared" si="2"/>
        <v>24</v>
      </c>
      <c r="Z19" s="232">
        <f t="shared" si="2"/>
        <v>25</v>
      </c>
      <c r="AA19" s="233">
        <f t="shared" si="2"/>
        <v>26</v>
      </c>
    </row>
    <row r="20" spans="1:29" ht="18" customHeight="1">
      <c r="A20" s="223"/>
      <c r="B20" s="230">
        <f>B19+1</f>
        <v>5</v>
      </c>
      <c r="C20" s="231">
        <f>IF(AND(I19&gt;0,I19&lt;31),I19+1,0)</f>
        <v>24</v>
      </c>
      <c r="D20" s="232">
        <f t="shared" si="0"/>
        <v>25</v>
      </c>
      <c r="E20" s="232">
        <f t="shared" si="0"/>
        <v>26</v>
      </c>
      <c r="F20" s="232">
        <f t="shared" si="0"/>
        <v>27</v>
      </c>
      <c r="G20" s="232">
        <f t="shared" si="0"/>
        <v>28</v>
      </c>
      <c r="H20" s="232">
        <f t="shared" si="0"/>
        <v>29</v>
      </c>
      <c r="I20" s="233">
        <f t="shared" si="0"/>
        <v>30</v>
      </c>
      <c r="J20" s="228"/>
      <c r="K20" s="229">
        <f>K19+1</f>
        <v>10</v>
      </c>
      <c r="L20" s="231">
        <f>IF(AND(R19&gt;0,R19&lt;$L$2),R19+1,0)</f>
        <v>28</v>
      </c>
      <c r="M20" s="232">
        <f t="shared" si="1"/>
        <v>29</v>
      </c>
      <c r="N20" s="232">
        <f t="shared" si="1"/>
        <v>0</v>
      </c>
      <c r="O20" s="232">
        <f t="shared" si="1"/>
        <v>0</v>
      </c>
      <c r="P20" s="232">
        <f t="shared" si="1"/>
        <v>0</v>
      </c>
      <c r="Q20" s="232">
        <f t="shared" si="1"/>
        <v>0</v>
      </c>
      <c r="R20" s="233">
        <f t="shared" si="1"/>
        <v>0</v>
      </c>
      <c r="S20" s="228"/>
      <c r="T20" s="229">
        <f>T19+1</f>
        <v>14</v>
      </c>
      <c r="U20" s="231">
        <f>IF(AND(AA19&gt;0,AA19&lt;31),AA19+1,0)</f>
        <v>27</v>
      </c>
      <c r="V20" s="232">
        <f t="shared" si="2"/>
        <v>28</v>
      </c>
      <c r="W20" s="232">
        <f t="shared" si="2"/>
        <v>29</v>
      </c>
      <c r="X20" s="232">
        <f t="shared" si="2"/>
        <v>30</v>
      </c>
      <c r="Y20" s="232">
        <f t="shared" si="2"/>
        <v>31</v>
      </c>
      <c r="Z20" s="234">
        <f t="shared" si="2"/>
        <v>0</v>
      </c>
      <c r="AA20" s="233">
        <f t="shared" si="2"/>
        <v>0</v>
      </c>
    </row>
    <row r="21" spans="1:29" ht="18" customHeight="1" thickBot="1">
      <c r="A21" s="223"/>
      <c r="B21" s="235">
        <f>IF(C21=0,0,B20+1)</f>
        <v>6</v>
      </c>
      <c r="C21" s="236">
        <f>IF(AND(I20&gt;0,I20&lt;31),I20+1,0)</f>
        <v>31</v>
      </c>
      <c r="D21" s="237">
        <f t="shared" si="0"/>
        <v>0</v>
      </c>
      <c r="E21" s="237">
        <f t="shared" si="0"/>
        <v>0</v>
      </c>
      <c r="F21" s="237">
        <f t="shared" si="0"/>
        <v>0</v>
      </c>
      <c r="G21" s="237">
        <f t="shared" si="0"/>
        <v>0</v>
      </c>
      <c r="H21" s="237">
        <f t="shared" si="0"/>
        <v>0</v>
      </c>
      <c r="I21" s="238">
        <f t="shared" si="0"/>
        <v>0</v>
      </c>
      <c r="J21" s="228"/>
      <c r="K21" s="239">
        <f>IF(L21=0,0,K20+1)</f>
        <v>0</v>
      </c>
      <c r="L21" s="240">
        <f>IF(AND(R20&gt;0,R20&lt;$L$2),R20+1,0)</f>
        <v>0</v>
      </c>
      <c r="M21" s="237">
        <f t="shared" si="1"/>
        <v>0</v>
      </c>
      <c r="N21" s="237">
        <f t="shared" si="1"/>
        <v>0</v>
      </c>
      <c r="O21" s="237">
        <f t="shared" si="1"/>
        <v>0</v>
      </c>
      <c r="P21" s="237">
        <f t="shared" si="1"/>
        <v>0</v>
      </c>
      <c r="Q21" s="237">
        <f t="shared" si="1"/>
        <v>0</v>
      </c>
      <c r="R21" s="238">
        <f t="shared" si="1"/>
        <v>0</v>
      </c>
      <c r="S21" s="228"/>
      <c r="T21" s="239">
        <f>IF(U21=0,0,T20+1)</f>
        <v>0</v>
      </c>
      <c r="U21" s="240">
        <f>IF(AND(AA20&gt;0,AA20&lt;31),AA20+1,0)</f>
        <v>0</v>
      </c>
      <c r="V21" s="237">
        <f t="shared" si="2"/>
        <v>0</v>
      </c>
      <c r="W21" s="237">
        <f t="shared" si="2"/>
        <v>0</v>
      </c>
      <c r="X21" s="237">
        <f t="shared" si="2"/>
        <v>0</v>
      </c>
      <c r="Y21" s="237">
        <f t="shared" si="2"/>
        <v>0</v>
      </c>
      <c r="Z21" s="237">
        <f t="shared" si="2"/>
        <v>0</v>
      </c>
      <c r="AA21" s="238">
        <f t="shared" si="2"/>
        <v>0</v>
      </c>
    </row>
    <row r="22" spans="1:29" ht="18" customHeight="1">
      <c r="A22" s="223"/>
      <c r="B22" s="2541"/>
      <c r="C22" s="242"/>
      <c r="D22" s="214"/>
      <c r="E22" s="214"/>
      <c r="F22" s="214"/>
      <c r="G22" s="214"/>
      <c r="H22" s="214"/>
      <c r="I22" s="242"/>
      <c r="J22" s="228"/>
      <c r="K22" s="241"/>
      <c r="L22" s="242"/>
      <c r="M22" s="214"/>
      <c r="N22" s="214"/>
      <c r="O22" s="214"/>
      <c r="P22" s="214"/>
      <c r="Q22" s="214"/>
      <c r="R22" s="242"/>
      <c r="S22" s="228"/>
      <c r="T22" s="241"/>
      <c r="U22" s="242"/>
      <c r="V22" s="214"/>
      <c r="W22" s="214"/>
      <c r="X22" s="214"/>
      <c r="Y22" s="214"/>
      <c r="Z22" s="214"/>
      <c r="AA22" s="2542"/>
    </row>
    <row r="23" spans="1:29" s="221" customFormat="1" ht="18" customHeight="1" thickBot="1">
      <c r="A23" s="219"/>
      <c r="B23" s="2759" t="s">
        <v>495</v>
      </c>
      <c r="C23" s="2760"/>
      <c r="D23" s="2760"/>
      <c r="E23" s="2760"/>
      <c r="F23" s="2760"/>
      <c r="G23" s="2760"/>
      <c r="H23" s="2760"/>
      <c r="I23" s="2760"/>
      <c r="J23" s="220"/>
      <c r="K23" s="2761" t="s">
        <v>496</v>
      </c>
      <c r="L23" s="2761"/>
      <c r="M23" s="2761"/>
      <c r="N23" s="2761"/>
      <c r="O23" s="2761"/>
      <c r="P23" s="2761"/>
      <c r="Q23" s="2761"/>
      <c r="R23" s="2761"/>
      <c r="S23" s="220"/>
      <c r="T23" s="2755" t="s">
        <v>497</v>
      </c>
      <c r="U23" s="2755"/>
      <c r="V23" s="2755"/>
      <c r="W23" s="2755"/>
      <c r="X23" s="2755"/>
      <c r="Y23" s="2755"/>
      <c r="Z23" s="2755"/>
      <c r="AA23" s="2756"/>
      <c r="AB23" s="195"/>
      <c r="AC23" s="195"/>
    </row>
    <row r="24" spans="1:29" ht="18" customHeight="1">
      <c r="A24" s="223"/>
      <c r="B24" s="2546" t="s">
        <v>487</v>
      </c>
      <c r="C24" s="2547" t="s">
        <v>488</v>
      </c>
      <c r="D24" s="2548" t="s">
        <v>489</v>
      </c>
      <c r="E24" s="2548" t="s">
        <v>490</v>
      </c>
      <c r="F24" s="2548" t="s">
        <v>491</v>
      </c>
      <c r="G24" s="2548" t="s">
        <v>492</v>
      </c>
      <c r="H24" s="2548" t="s">
        <v>493</v>
      </c>
      <c r="I24" s="2549" t="s">
        <v>494</v>
      </c>
      <c r="J24" s="2551"/>
      <c r="K24" s="2546" t="s">
        <v>487</v>
      </c>
      <c r="L24" s="2547" t="s">
        <v>488</v>
      </c>
      <c r="M24" s="2548" t="s">
        <v>489</v>
      </c>
      <c r="N24" s="2548" t="s">
        <v>490</v>
      </c>
      <c r="O24" s="2548" t="s">
        <v>491</v>
      </c>
      <c r="P24" s="2548" t="s">
        <v>492</v>
      </c>
      <c r="Q24" s="2548" t="s">
        <v>493</v>
      </c>
      <c r="R24" s="2549" t="s">
        <v>494</v>
      </c>
      <c r="S24" s="2551"/>
      <c r="T24" s="2546" t="s">
        <v>487</v>
      </c>
      <c r="U24" s="2547" t="s">
        <v>488</v>
      </c>
      <c r="V24" s="2548" t="s">
        <v>489</v>
      </c>
      <c r="W24" s="2548" t="s">
        <v>490</v>
      </c>
      <c r="X24" s="2548" t="s">
        <v>491</v>
      </c>
      <c r="Y24" s="2548" t="s">
        <v>492</v>
      </c>
      <c r="Z24" s="2548" t="s">
        <v>493</v>
      </c>
      <c r="AA24" s="2549" t="s">
        <v>494</v>
      </c>
    </row>
    <row r="25" spans="1:29" ht="18" customHeight="1">
      <c r="A25" s="223"/>
      <c r="B25" s="243">
        <f>IF(T21&gt;0,T21,T20+1)</f>
        <v>15</v>
      </c>
      <c r="C25" s="225">
        <f>IF($C$4=1,1,0)</f>
        <v>0</v>
      </c>
      <c r="D25" s="226">
        <f>IF($D$4=1,1, IF(C25&gt;0,C25+1, 0))</f>
        <v>0</v>
      </c>
      <c r="E25" s="226">
        <f>IF($E$4=1,1, IF(D25&gt;0,D25+1, 0))</f>
        <v>0</v>
      </c>
      <c r="F25" s="226">
        <f>IF($F$4=1,1, IF(E25&gt;0,E25+1, 0))</f>
        <v>0</v>
      </c>
      <c r="G25" s="226">
        <f>IF($G$4=1,1, IF(F25&gt;0,F25+1, 0))</f>
        <v>0</v>
      </c>
      <c r="H25" s="226">
        <f>IF($H$4=1,1, IF(G25&gt;0,G25+1, 0))</f>
        <v>1</v>
      </c>
      <c r="I25" s="227">
        <f>IF($I$4=1,1, IF(H25&gt;0,H25+1, 0))</f>
        <v>2</v>
      </c>
      <c r="J25" s="228"/>
      <c r="K25" s="229">
        <f>IF(B30&gt;0,B29+1,B29)</f>
        <v>19</v>
      </c>
      <c r="L25" s="225">
        <f>IF($L$4=1,1,0)</f>
        <v>1</v>
      </c>
      <c r="M25" s="226">
        <f>IF($M$4=1,1, IF(L25&gt;0,L25+1, 0))</f>
        <v>2</v>
      </c>
      <c r="N25" s="226">
        <f>IF($N$4=1,1, IF(M25&gt;0,M25+1, 0))</f>
        <v>3</v>
      </c>
      <c r="O25" s="226">
        <f>IF($O$4=1,1, IF(N25&gt;0,N25+1, 0))</f>
        <v>4</v>
      </c>
      <c r="P25" s="226">
        <f>IF($P$4=1,1, IF(O25&gt;0,O25+1, 0))</f>
        <v>5</v>
      </c>
      <c r="Q25" s="226">
        <f>IF($Q$4=1,1, IF(P25&gt;0,P25+1, 0))</f>
        <v>6</v>
      </c>
      <c r="R25" s="227">
        <f>IF($R$4=1,1, IF(Q25&gt;0,Q25+1, 0))</f>
        <v>7</v>
      </c>
      <c r="S25" s="228"/>
      <c r="T25" s="229">
        <f>IF(K30&gt;0,K29+1,K29)</f>
        <v>23</v>
      </c>
      <c r="U25" s="225">
        <f>IF($U$4=1,1,0)</f>
        <v>0</v>
      </c>
      <c r="V25" s="226">
        <f>IF($V$4=1,1, IF(U25&gt;0,U25+1, 0))</f>
        <v>0</v>
      </c>
      <c r="W25" s="226">
        <f>IF($W$4=1,1, IF(V25&gt;0,V25+1, 0))</f>
        <v>0</v>
      </c>
      <c r="X25" s="226">
        <f>IF($X$4=1,1, IF(W25&gt;0,W25+1, 0))</f>
        <v>1</v>
      </c>
      <c r="Y25" s="226">
        <f>IF($Y$4=1,1, IF(X25&gt;0,X25+1, 0))</f>
        <v>2</v>
      </c>
      <c r="Z25" s="226">
        <f>IF($Z$4=1,1, IF(Y25&gt;0,Y25+1, 0))</f>
        <v>3</v>
      </c>
      <c r="AA25" s="227">
        <f>IF($AA$4=1,1, IF(Z25&gt;0,Z25+1, 0))</f>
        <v>4</v>
      </c>
    </row>
    <row r="26" spans="1:29" ht="18" customHeight="1">
      <c r="A26" s="223"/>
      <c r="B26" s="229">
        <f>B25+1</f>
        <v>16</v>
      </c>
      <c r="C26" s="231">
        <f>IF(AND(I25&gt;0,I25&lt;30),I25+1,0)</f>
        <v>3</v>
      </c>
      <c r="D26" s="232">
        <f t="shared" ref="D26:I30" si="3">IF(AND(C26&gt;0,C26&lt;30),C26+1,0)</f>
        <v>4</v>
      </c>
      <c r="E26" s="232">
        <f t="shared" si="3"/>
        <v>5</v>
      </c>
      <c r="F26" s="232">
        <f t="shared" si="3"/>
        <v>6</v>
      </c>
      <c r="G26" s="232">
        <f t="shared" si="3"/>
        <v>7</v>
      </c>
      <c r="H26" s="232">
        <f t="shared" si="3"/>
        <v>8</v>
      </c>
      <c r="I26" s="233">
        <f t="shared" si="3"/>
        <v>9</v>
      </c>
      <c r="J26" s="228"/>
      <c r="K26" s="229">
        <f>K25+1</f>
        <v>20</v>
      </c>
      <c r="L26" s="231">
        <f>IF(AND(R25&gt;0,R25&lt;31),R25+1,0)</f>
        <v>8</v>
      </c>
      <c r="M26" s="232">
        <f t="shared" ref="M26:R30" si="4">IF(AND(L26&gt;0,L26&lt;31),L26+1,0)</f>
        <v>9</v>
      </c>
      <c r="N26" s="232">
        <f t="shared" si="4"/>
        <v>10</v>
      </c>
      <c r="O26" s="232">
        <f t="shared" si="4"/>
        <v>11</v>
      </c>
      <c r="P26" s="232">
        <f t="shared" si="4"/>
        <v>12</v>
      </c>
      <c r="Q26" s="232">
        <f t="shared" si="4"/>
        <v>13</v>
      </c>
      <c r="R26" s="233">
        <f t="shared" si="4"/>
        <v>14</v>
      </c>
      <c r="S26" s="228"/>
      <c r="T26" s="229">
        <f>T25+1</f>
        <v>24</v>
      </c>
      <c r="U26" s="231">
        <f>IF(AND(AA25&gt;0,AA25&lt;30),AA25+1,0)</f>
        <v>5</v>
      </c>
      <c r="V26" s="232">
        <f t="shared" ref="V26:AA30" si="5">IF(AND(U26&gt;0,U26&lt;30),U26+1,0)</f>
        <v>6</v>
      </c>
      <c r="W26" s="232">
        <f t="shared" si="5"/>
        <v>7</v>
      </c>
      <c r="X26" s="232">
        <f t="shared" si="5"/>
        <v>8</v>
      </c>
      <c r="Y26" s="232">
        <f t="shared" si="5"/>
        <v>9</v>
      </c>
      <c r="Z26" s="232">
        <f t="shared" si="5"/>
        <v>10</v>
      </c>
      <c r="AA26" s="233">
        <f t="shared" si="5"/>
        <v>11</v>
      </c>
    </row>
    <row r="27" spans="1:29" ht="18" customHeight="1">
      <c r="A27" s="223"/>
      <c r="B27" s="229">
        <f>B26+1</f>
        <v>17</v>
      </c>
      <c r="C27" s="231">
        <f>IF(AND(I26&gt;0,I26&lt;30),I26+1,0)</f>
        <v>10</v>
      </c>
      <c r="D27" s="232">
        <f t="shared" si="3"/>
        <v>11</v>
      </c>
      <c r="E27" s="232">
        <f t="shared" si="3"/>
        <v>12</v>
      </c>
      <c r="F27" s="232">
        <f t="shared" si="3"/>
        <v>13</v>
      </c>
      <c r="G27" s="232">
        <f t="shared" si="3"/>
        <v>14</v>
      </c>
      <c r="H27" s="232">
        <f t="shared" si="3"/>
        <v>15</v>
      </c>
      <c r="I27" s="233">
        <f t="shared" si="3"/>
        <v>16</v>
      </c>
      <c r="J27" s="228"/>
      <c r="K27" s="229">
        <f>K26+1</f>
        <v>21</v>
      </c>
      <c r="L27" s="231">
        <f>IF(AND(R26&gt;0,R26&lt;31),R26+1,0)</f>
        <v>15</v>
      </c>
      <c r="M27" s="232">
        <f t="shared" si="4"/>
        <v>16</v>
      </c>
      <c r="N27" s="232">
        <f t="shared" si="4"/>
        <v>17</v>
      </c>
      <c r="O27" s="232">
        <f t="shared" si="4"/>
        <v>18</v>
      </c>
      <c r="P27" s="232">
        <f t="shared" si="4"/>
        <v>19</v>
      </c>
      <c r="Q27" s="232">
        <f t="shared" si="4"/>
        <v>20</v>
      </c>
      <c r="R27" s="233">
        <f t="shared" si="4"/>
        <v>21</v>
      </c>
      <c r="S27" s="228"/>
      <c r="T27" s="229">
        <f>T26+1</f>
        <v>25</v>
      </c>
      <c r="U27" s="231">
        <f>IF(AND(AA26&gt;0,AA26&lt;30),AA26+1,0)</f>
        <v>12</v>
      </c>
      <c r="V27" s="232">
        <f t="shared" si="5"/>
        <v>13</v>
      </c>
      <c r="W27" s="232">
        <f t="shared" si="5"/>
        <v>14</v>
      </c>
      <c r="X27" s="232">
        <f t="shared" si="5"/>
        <v>15</v>
      </c>
      <c r="Y27" s="232">
        <f t="shared" si="5"/>
        <v>16</v>
      </c>
      <c r="Z27" s="232">
        <f t="shared" si="5"/>
        <v>17</v>
      </c>
      <c r="AA27" s="233">
        <f t="shared" si="5"/>
        <v>18</v>
      </c>
    </row>
    <row r="28" spans="1:29" ht="18" customHeight="1">
      <c r="A28" s="223"/>
      <c r="B28" s="229">
        <f>B27+1</f>
        <v>18</v>
      </c>
      <c r="C28" s="231">
        <f>IF(AND(I27&gt;0,I27&lt;30),I27+1,0)</f>
        <v>17</v>
      </c>
      <c r="D28" s="232">
        <f t="shared" si="3"/>
        <v>18</v>
      </c>
      <c r="E28" s="232">
        <f t="shared" si="3"/>
        <v>19</v>
      </c>
      <c r="F28" s="232">
        <f t="shared" si="3"/>
        <v>20</v>
      </c>
      <c r="G28" s="232">
        <f t="shared" si="3"/>
        <v>21</v>
      </c>
      <c r="H28" s="232">
        <f t="shared" si="3"/>
        <v>22</v>
      </c>
      <c r="I28" s="233">
        <f t="shared" si="3"/>
        <v>23</v>
      </c>
      <c r="J28" s="228"/>
      <c r="K28" s="229">
        <f>K27+1</f>
        <v>22</v>
      </c>
      <c r="L28" s="231">
        <f>IF(AND(R27&gt;0,R27&lt;31),R27+1,0)</f>
        <v>22</v>
      </c>
      <c r="M28" s="232">
        <f t="shared" si="4"/>
        <v>23</v>
      </c>
      <c r="N28" s="232">
        <f t="shared" si="4"/>
        <v>24</v>
      </c>
      <c r="O28" s="232">
        <f t="shared" si="4"/>
        <v>25</v>
      </c>
      <c r="P28" s="232">
        <f t="shared" si="4"/>
        <v>26</v>
      </c>
      <c r="Q28" s="232">
        <f t="shared" si="4"/>
        <v>27</v>
      </c>
      <c r="R28" s="233">
        <f t="shared" si="4"/>
        <v>28</v>
      </c>
      <c r="S28" s="228"/>
      <c r="T28" s="229">
        <f>T27+1</f>
        <v>26</v>
      </c>
      <c r="U28" s="231">
        <f>IF(AND(AA27&gt;0,AA27&lt;30),AA27+1,0)</f>
        <v>19</v>
      </c>
      <c r="V28" s="232">
        <f t="shared" si="5"/>
        <v>20</v>
      </c>
      <c r="W28" s="232">
        <f t="shared" si="5"/>
        <v>21</v>
      </c>
      <c r="X28" s="232">
        <f t="shared" si="5"/>
        <v>22</v>
      </c>
      <c r="Y28" s="232">
        <f t="shared" si="5"/>
        <v>23</v>
      </c>
      <c r="Z28" s="232">
        <f t="shared" si="5"/>
        <v>24</v>
      </c>
      <c r="AA28" s="233">
        <f t="shared" si="5"/>
        <v>25</v>
      </c>
    </row>
    <row r="29" spans="1:29" ht="18" customHeight="1">
      <c r="A29" s="223"/>
      <c r="B29" s="229">
        <f>B28+1</f>
        <v>19</v>
      </c>
      <c r="C29" s="231">
        <f>IF(AND(I28&gt;0,I28&lt;30),I28+1,0)</f>
        <v>24</v>
      </c>
      <c r="D29" s="232">
        <f t="shared" si="3"/>
        <v>25</v>
      </c>
      <c r="E29" s="232">
        <f t="shared" si="3"/>
        <v>26</v>
      </c>
      <c r="F29" s="232">
        <f t="shared" si="3"/>
        <v>27</v>
      </c>
      <c r="G29" s="232">
        <f t="shared" si="3"/>
        <v>28</v>
      </c>
      <c r="H29" s="232">
        <f t="shared" si="3"/>
        <v>29</v>
      </c>
      <c r="I29" s="233">
        <f t="shared" si="3"/>
        <v>30</v>
      </c>
      <c r="J29" s="228"/>
      <c r="K29" s="229">
        <f>K28+1</f>
        <v>23</v>
      </c>
      <c r="L29" s="231">
        <f>IF(AND(R28&gt;0,R28&lt;31),R28+1,0)</f>
        <v>29</v>
      </c>
      <c r="M29" s="232">
        <f t="shared" si="4"/>
        <v>30</v>
      </c>
      <c r="N29" s="232">
        <f t="shared" si="4"/>
        <v>31</v>
      </c>
      <c r="O29" s="232">
        <f t="shared" si="4"/>
        <v>0</v>
      </c>
      <c r="P29" s="232">
        <f t="shared" si="4"/>
        <v>0</v>
      </c>
      <c r="Q29" s="232">
        <f t="shared" si="4"/>
        <v>0</v>
      </c>
      <c r="R29" s="233">
        <f t="shared" si="4"/>
        <v>0</v>
      </c>
      <c r="S29" s="228"/>
      <c r="T29" s="229">
        <f>T28+1</f>
        <v>27</v>
      </c>
      <c r="U29" s="231">
        <f>IF(AND(AA28&gt;0,AA28&lt;30),AA28+1,0)</f>
        <v>26</v>
      </c>
      <c r="V29" s="232">
        <f t="shared" si="5"/>
        <v>27</v>
      </c>
      <c r="W29" s="232">
        <f t="shared" si="5"/>
        <v>28</v>
      </c>
      <c r="X29" s="232">
        <f t="shared" si="5"/>
        <v>29</v>
      </c>
      <c r="Y29" s="232">
        <f t="shared" si="5"/>
        <v>30</v>
      </c>
      <c r="Z29" s="232">
        <f t="shared" si="5"/>
        <v>0</v>
      </c>
      <c r="AA29" s="233">
        <f t="shared" si="5"/>
        <v>0</v>
      </c>
    </row>
    <row r="30" spans="1:29" ht="18" customHeight="1" thickBot="1">
      <c r="A30" s="223"/>
      <c r="B30" s="239">
        <f>IF(C30=0,0,B29+1)</f>
        <v>0</v>
      </c>
      <c r="C30" s="236">
        <f>IF(AND(I29&gt;0,I29&lt;30),I29+1,0)</f>
        <v>0</v>
      </c>
      <c r="D30" s="237">
        <f t="shared" si="3"/>
        <v>0</v>
      </c>
      <c r="E30" s="237">
        <f t="shared" si="3"/>
        <v>0</v>
      </c>
      <c r="F30" s="237">
        <f t="shared" si="3"/>
        <v>0</v>
      </c>
      <c r="G30" s="237">
        <f t="shared" si="3"/>
        <v>0</v>
      </c>
      <c r="H30" s="237">
        <f t="shared" si="3"/>
        <v>0</v>
      </c>
      <c r="I30" s="238">
        <f t="shared" si="3"/>
        <v>0</v>
      </c>
      <c r="J30" s="228"/>
      <c r="K30" s="239">
        <f>IF(L30=0,0,K29+1)</f>
        <v>0</v>
      </c>
      <c r="L30" s="240">
        <f>IF(AND(R29&gt;0,R29&lt;31),R29+1,0)</f>
        <v>0</v>
      </c>
      <c r="M30" s="237">
        <f t="shared" si="4"/>
        <v>0</v>
      </c>
      <c r="N30" s="237">
        <f t="shared" si="4"/>
        <v>0</v>
      </c>
      <c r="O30" s="237">
        <f t="shared" si="4"/>
        <v>0</v>
      </c>
      <c r="P30" s="237">
        <f t="shared" si="4"/>
        <v>0</v>
      </c>
      <c r="Q30" s="237">
        <f t="shared" si="4"/>
        <v>0</v>
      </c>
      <c r="R30" s="238">
        <f t="shared" si="4"/>
        <v>0</v>
      </c>
      <c r="S30" s="228"/>
      <c r="T30" s="239">
        <f>IF(U30=0,0,T29+1)</f>
        <v>0</v>
      </c>
      <c r="U30" s="240">
        <f>IF(AND(AA29&gt;0,AA29&lt;30),AA29+1,0)</f>
        <v>0</v>
      </c>
      <c r="V30" s="237">
        <f t="shared" si="5"/>
        <v>0</v>
      </c>
      <c r="W30" s="237">
        <f t="shared" si="5"/>
        <v>0</v>
      </c>
      <c r="X30" s="237">
        <f t="shared" si="5"/>
        <v>0</v>
      </c>
      <c r="Y30" s="237">
        <f t="shared" si="5"/>
        <v>0</v>
      </c>
      <c r="Z30" s="237">
        <f t="shared" si="5"/>
        <v>0</v>
      </c>
      <c r="AA30" s="238">
        <f t="shared" si="5"/>
        <v>0</v>
      </c>
    </row>
    <row r="31" spans="1:29" ht="18" customHeight="1">
      <c r="A31" s="223"/>
      <c r="B31" s="2543"/>
      <c r="C31" s="245"/>
      <c r="D31" s="246"/>
      <c r="E31" s="246"/>
      <c r="F31" s="246"/>
      <c r="G31" s="246"/>
      <c r="H31" s="246"/>
      <c r="I31" s="245"/>
      <c r="J31" s="228"/>
      <c r="K31" s="244"/>
      <c r="L31" s="245"/>
      <c r="M31" s="246"/>
      <c r="N31" s="246"/>
      <c r="O31" s="246"/>
      <c r="P31" s="246"/>
      <c r="Q31" s="246"/>
      <c r="R31" s="245"/>
      <c r="S31" s="228"/>
      <c r="T31" s="244"/>
      <c r="U31" s="245"/>
      <c r="V31" s="246"/>
      <c r="W31" s="246"/>
      <c r="X31" s="246"/>
      <c r="Y31" s="246"/>
      <c r="Z31" s="246"/>
      <c r="AA31" s="2544"/>
    </row>
    <row r="32" spans="1:29" s="221" customFormat="1" ht="18" customHeight="1" thickBot="1">
      <c r="A32" s="219"/>
      <c r="B32" s="2759" t="s">
        <v>498</v>
      </c>
      <c r="C32" s="2760"/>
      <c r="D32" s="2760"/>
      <c r="E32" s="2760"/>
      <c r="F32" s="2760"/>
      <c r="G32" s="2760"/>
      <c r="H32" s="2760"/>
      <c r="I32" s="2760"/>
      <c r="J32" s="220"/>
      <c r="K32" s="2761" t="s">
        <v>499</v>
      </c>
      <c r="L32" s="2761"/>
      <c r="M32" s="2761"/>
      <c r="N32" s="2761"/>
      <c r="O32" s="2761"/>
      <c r="P32" s="2761"/>
      <c r="Q32" s="2761"/>
      <c r="R32" s="2761"/>
      <c r="S32" s="220"/>
      <c r="T32" s="2755" t="s">
        <v>500</v>
      </c>
      <c r="U32" s="2755"/>
      <c r="V32" s="2755"/>
      <c r="W32" s="2755"/>
      <c r="X32" s="2755"/>
      <c r="Y32" s="2755"/>
      <c r="Z32" s="2755"/>
      <c r="AA32" s="2756"/>
      <c r="AB32" s="195"/>
      <c r="AC32" s="195"/>
    </row>
    <row r="33" spans="1:29" ht="18" customHeight="1">
      <c r="A33" s="223"/>
      <c r="B33" s="2546" t="s">
        <v>487</v>
      </c>
      <c r="C33" s="2547" t="s">
        <v>488</v>
      </c>
      <c r="D33" s="2548" t="s">
        <v>489</v>
      </c>
      <c r="E33" s="2548" t="s">
        <v>490</v>
      </c>
      <c r="F33" s="2548" t="s">
        <v>491</v>
      </c>
      <c r="G33" s="2548" t="s">
        <v>492</v>
      </c>
      <c r="H33" s="2548" t="s">
        <v>493</v>
      </c>
      <c r="I33" s="2549" t="s">
        <v>494</v>
      </c>
      <c r="J33" s="2551"/>
      <c r="K33" s="2546" t="s">
        <v>487</v>
      </c>
      <c r="L33" s="2547" t="s">
        <v>488</v>
      </c>
      <c r="M33" s="2548" t="s">
        <v>489</v>
      </c>
      <c r="N33" s="2548" t="s">
        <v>490</v>
      </c>
      <c r="O33" s="2548" t="s">
        <v>491</v>
      </c>
      <c r="P33" s="2548" t="s">
        <v>492</v>
      </c>
      <c r="Q33" s="2548" t="s">
        <v>493</v>
      </c>
      <c r="R33" s="2549" t="s">
        <v>494</v>
      </c>
      <c r="S33" s="2551"/>
      <c r="T33" s="2546" t="s">
        <v>487</v>
      </c>
      <c r="U33" s="2547" t="s">
        <v>488</v>
      </c>
      <c r="V33" s="2548" t="s">
        <v>489</v>
      </c>
      <c r="W33" s="2548" t="s">
        <v>490</v>
      </c>
      <c r="X33" s="2548" t="s">
        <v>491</v>
      </c>
      <c r="Y33" s="2548" t="s">
        <v>492</v>
      </c>
      <c r="Z33" s="2548" t="s">
        <v>493</v>
      </c>
      <c r="AA33" s="2549" t="s">
        <v>494</v>
      </c>
    </row>
    <row r="34" spans="1:29" ht="18" customHeight="1">
      <c r="A34" s="223"/>
      <c r="B34" s="243">
        <f>IF(T30&gt;0,T30,T29+1)</f>
        <v>28</v>
      </c>
      <c r="C34" s="225">
        <f>IF($C$5=1,1,0)</f>
        <v>0</v>
      </c>
      <c r="D34" s="226">
        <f>IF($D$5=1,1, IF(C34&gt;0,C34+1, 0))</f>
        <v>0</v>
      </c>
      <c r="E34" s="226">
        <f>IF($E$5=1,1, IF(D34&gt;0,D34+1, 0))</f>
        <v>0</v>
      </c>
      <c r="F34" s="226">
        <f>IF($F$5=1,1, IF(E34&gt;0,E34+1, 0))</f>
        <v>0</v>
      </c>
      <c r="G34" s="226">
        <f>IF($G$5=1,1, IF(F34&gt;0,F34+1, 0))</f>
        <v>0</v>
      </c>
      <c r="H34" s="226">
        <f>IF($H$5=1,1, IF(G34&gt;0,G34+1, 0))</f>
        <v>1</v>
      </c>
      <c r="I34" s="227">
        <f>IF($I$5=1,1, IF(H34&gt;0,H34+1, 0))</f>
        <v>2</v>
      </c>
      <c r="J34" s="228"/>
      <c r="K34" s="229">
        <f>IF(B39&gt;0,B38+1,B38)</f>
        <v>33</v>
      </c>
      <c r="L34" s="225">
        <f>IF($L$5=1,1,0)</f>
        <v>0</v>
      </c>
      <c r="M34" s="226">
        <f>IF($M$5=1,1, IF(L34&gt;0,L34+1, 0))</f>
        <v>1</v>
      </c>
      <c r="N34" s="226">
        <f>IF($N$5=1,1, IF(M34&gt;0,M34+1, 0))</f>
        <v>2</v>
      </c>
      <c r="O34" s="226">
        <f>IF($O$5=1,1, IF(N34&gt;0,N34+1, 0))</f>
        <v>3</v>
      </c>
      <c r="P34" s="226">
        <f>IF($P$5=1,1, IF(O34&gt;0,O34+1, 0))</f>
        <v>4</v>
      </c>
      <c r="Q34" s="226">
        <f>IF($Q$5=1,1, IF(P34&gt;0,P34+1, 0))</f>
        <v>5</v>
      </c>
      <c r="R34" s="227">
        <f>IF($R$5=1,1, IF(Q34&gt;0,Q34+1, 0))</f>
        <v>6</v>
      </c>
      <c r="S34" s="228"/>
      <c r="T34" s="229">
        <f>IF(K39&gt;0,K38+1,K38)</f>
        <v>37</v>
      </c>
      <c r="U34" s="225">
        <f>IF($U$5=1,1,0)</f>
        <v>0</v>
      </c>
      <c r="V34" s="226">
        <f>IF($V$5=1,1, IF(U34&gt;0,U34+1, 0))</f>
        <v>0</v>
      </c>
      <c r="W34" s="226">
        <f>IF($W$5=1,1, IF(V34&gt;0,V34+1, 0))</f>
        <v>0</v>
      </c>
      <c r="X34" s="226">
        <f>IF($X$5=1,1, IF(W34&gt;0,W34+1, 0))</f>
        <v>0</v>
      </c>
      <c r="Y34" s="226">
        <f>IF($Y$5=1,1, IF(X34&gt;0,X34+1, 0))</f>
        <v>1</v>
      </c>
      <c r="Z34" s="247">
        <f>IF($Z$5=1,1, IF(Y34&gt;0,Y34+1, 0))</f>
        <v>2</v>
      </c>
      <c r="AA34" s="227">
        <f>IF($AA$5=1,1, IF(Z34&gt;0,Z34+1, 0))</f>
        <v>3</v>
      </c>
    </row>
    <row r="35" spans="1:29" ht="18" customHeight="1">
      <c r="A35" s="223"/>
      <c r="B35" s="229">
        <f>B34+1</f>
        <v>29</v>
      </c>
      <c r="C35" s="231">
        <f>IF(AND(I34&gt;0,I34&lt;31),I34+1,0)</f>
        <v>3</v>
      </c>
      <c r="D35" s="232">
        <f t="shared" ref="D35:I39" si="6">IF(AND(C35&gt;0,C35&lt;31),C35+1,0)</f>
        <v>4</v>
      </c>
      <c r="E35" s="232">
        <f t="shared" si="6"/>
        <v>5</v>
      </c>
      <c r="F35" s="232">
        <f t="shared" si="6"/>
        <v>6</v>
      </c>
      <c r="G35" s="232">
        <f t="shared" si="6"/>
        <v>7</v>
      </c>
      <c r="H35" s="232">
        <f t="shared" si="6"/>
        <v>8</v>
      </c>
      <c r="I35" s="233">
        <f t="shared" si="6"/>
        <v>9</v>
      </c>
      <c r="J35" s="228"/>
      <c r="K35" s="229">
        <f>K34+1</f>
        <v>34</v>
      </c>
      <c r="L35" s="231">
        <f>IF(AND(R34&gt;0,R34&lt;31),R34+1,0)</f>
        <v>7</v>
      </c>
      <c r="M35" s="232">
        <f t="shared" ref="M35:R39" si="7">IF(AND(L35&gt;0,L35&lt;31),L35+1,0)</f>
        <v>8</v>
      </c>
      <c r="N35" s="232">
        <f t="shared" si="7"/>
        <v>9</v>
      </c>
      <c r="O35" s="232">
        <f t="shared" si="7"/>
        <v>10</v>
      </c>
      <c r="P35" s="232">
        <f t="shared" si="7"/>
        <v>11</v>
      </c>
      <c r="Q35" s="232">
        <f t="shared" si="7"/>
        <v>12</v>
      </c>
      <c r="R35" s="233">
        <f t="shared" si="7"/>
        <v>13</v>
      </c>
      <c r="S35" s="228"/>
      <c r="T35" s="229">
        <f>T34+1</f>
        <v>38</v>
      </c>
      <c r="U35" s="231">
        <f>IF(AND(AA34&gt;0,AA34&lt;30),AA34+1,0)</f>
        <v>4</v>
      </c>
      <c r="V35" s="232">
        <f t="shared" ref="V35:AA39" si="8">IF(AND(U35&gt;0,U35&lt;30),U35+1,0)</f>
        <v>5</v>
      </c>
      <c r="W35" s="232">
        <f t="shared" si="8"/>
        <v>6</v>
      </c>
      <c r="X35" s="232">
        <f t="shared" si="8"/>
        <v>7</v>
      </c>
      <c r="Y35" s="232">
        <f t="shared" si="8"/>
        <v>8</v>
      </c>
      <c r="Z35" s="248">
        <f t="shared" si="8"/>
        <v>9</v>
      </c>
      <c r="AA35" s="233">
        <f t="shared" si="8"/>
        <v>10</v>
      </c>
    </row>
    <row r="36" spans="1:29" ht="18" customHeight="1">
      <c r="A36" s="223"/>
      <c r="B36" s="229">
        <f>B35+1</f>
        <v>30</v>
      </c>
      <c r="C36" s="231">
        <f>IF(AND(I35&gt;0,I35&lt;31),I35+1,0)</f>
        <v>10</v>
      </c>
      <c r="D36" s="232">
        <f t="shared" si="6"/>
        <v>11</v>
      </c>
      <c r="E36" s="232">
        <f t="shared" si="6"/>
        <v>12</v>
      </c>
      <c r="F36" s="232">
        <f t="shared" si="6"/>
        <v>13</v>
      </c>
      <c r="G36" s="232">
        <f t="shared" si="6"/>
        <v>14</v>
      </c>
      <c r="H36" s="232">
        <f t="shared" si="6"/>
        <v>15</v>
      </c>
      <c r="I36" s="233">
        <f t="shared" si="6"/>
        <v>16</v>
      </c>
      <c r="J36" s="228"/>
      <c r="K36" s="229">
        <f>K35+1</f>
        <v>35</v>
      </c>
      <c r="L36" s="231">
        <f>IF(AND(R35&gt;0,R35&lt;31),R35+1,0)</f>
        <v>14</v>
      </c>
      <c r="M36" s="232">
        <f t="shared" si="7"/>
        <v>15</v>
      </c>
      <c r="N36" s="232">
        <f t="shared" si="7"/>
        <v>16</v>
      </c>
      <c r="O36" s="232">
        <f t="shared" si="7"/>
        <v>17</v>
      </c>
      <c r="P36" s="232">
        <f t="shared" si="7"/>
        <v>18</v>
      </c>
      <c r="Q36" s="232">
        <f t="shared" si="7"/>
        <v>19</v>
      </c>
      <c r="R36" s="233">
        <f t="shared" si="7"/>
        <v>20</v>
      </c>
      <c r="S36" s="228"/>
      <c r="T36" s="229">
        <f>T35+1</f>
        <v>39</v>
      </c>
      <c r="U36" s="231">
        <f>IF(AND(AA35&gt;0,AA35&lt;30),AA35+1,0)</f>
        <v>11</v>
      </c>
      <c r="V36" s="232">
        <f t="shared" si="8"/>
        <v>12</v>
      </c>
      <c r="W36" s="232">
        <f t="shared" si="8"/>
        <v>13</v>
      </c>
      <c r="X36" s="232">
        <f t="shared" si="8"/>
        <v>14</v>
      </c>
      <c r="Y36" s="232">
        <f t="shared" si="8"/>
        <v>15</v>
      </c>
      <c r="Z36" s="248">
        <f t="shared" si="8"/>
        <v>16</v>
      </c>
      <c r="AA36" s="233">
        <f t="shared" si="8"/>
        <v>17</v>
      </c>
    </row>
    <row r="37" spans="1:29" ht="18" customHeight="1">
      <c r="A37" s="223"/>
      <c r="B37" s="229">
        <f>B36+1</f>
        <v>31</v>
      </c>
      <c r="C37" s="231">
        <f>IF(AND(I36&gt;0,I36&lt;31),I36+1,0)</f>
        <v>17</v>
      </c>
      <c r="D37" s="232">
        <f t="shared" si="6"/>
        <v>18</v>
      </c>
      <c r="E37" s="232">
        <f t="shared" si="6"/>
        <v>19</v>
      </c>
      <c r="F37" s="232">
        <f t="shared" si="6"/>
        <v>20</v>
      </c>
      <c r="G37" s="232">
        <f t="shared" si="6"/>
        <v>21</v>
      </c>
      <c r="H37" s="232">
        <f t="shared" si="6"/>
        <v>22</v>
      </c>
      <c r="I37" s="233">
        <f t="shared" si="6"/>
        <v>23</v>
      </c>
      <c r="J37" s="228"/>
      <c r="K37" s="229">
        <f>K36+1</f>
        <v>36</v>
      </c>
      <c r="L37" s="231">
        <f>IF(AND(R36&gt;0,R36&lt;31),R36+1,0)</f>
        <v>21</v>
      </c>
      <c r="M37" s="232">
        <f t="shared" si="7"/>
        <v>22</v>
      </c>
      <c r="N37" s="232">
        <f t="shared" si="7"/>
        <v>23</v>
      </c>
      <c r="O37" s="232">
        <f t="shared" si="7"/>
        <v>24</v>
      </c>
      <c r="P37" s="232">
        <f t="shared" si="7"/>
        <v>25</v>
      </c>
      <c r="Q37" s="232">
        <f t="shared" si="7"/>
        <v>26</v>
      </c>
      <c r="R37" s="233">
        <f t="shared" si="7"/>
        <v>27</v>
      </c>
      <c r="S37" s="228"/>
      <c r="T37" s="229">
        <f>T36+1</f>
        <v>40</v>
      </c>
      <c r="U37" s="231">
        <f>IF(AND(AA36&gt;0,AA36&lt;30),AA36+1,0)</f>
        <v>18</v>
      </c>
      <c r="V37" s="232">
        <f t="shared" si="8"/>
        <v>19</v>
      </c>
      <c r="W37" s="232">
        <f t="shared" si="8"/>
        <v>20</v>
      </c>
      <c r="X37" s="232">
        <f t="shared" si="8"/>
        <v>21</v>
      </c>
      <c r="Y37" s="232">
        <f t="shared" si="8"/>
        <v>22</v>
      </c>
      <c r="Z37" s="248">
        <f t="shared" si="8"/>
        <v>23</v>
      </c>
      <c r="AA37" s="233">
        <f t="shared" si="8"/>
        <v>24</v>
      </c>
    </row>
    <row r="38" spans="1:29" ht="18" customHeight="1">
      <c r="A38" s="223"/>
      <c r="B38" s="229">
        <f>B37+1</f>
        <v>32</v>
      </c>
      <c r="C38" s="231">
        <f>IF(AND(I37&gt;0,I37&lt;31),I37+1,0)</f>
        <v>24</v>
      </c>
      <c r="D38" s="232">
        <f t="shared" si="6"/>
        <v>25</v>
      </c>
      <c r="E38" s="232">
        <f t="shared" si="6"/>
        <v>26</v>
      </c>
      <c r="F38" s="232">
        <f t="shared" si="6"/>
        <v>27</v>
      </c>
      <c r="G38" s="232">
        <f t="shared" si="6"/>
        <v>28</v>
      </c>
      <c r="H38" s="232">
        <f t="shared" si="6"/>
        <v>29</v>
      </c>
      <c r="I38" s="233">
        <f t="shared" si="6"/>
        <v>30</v>
      </c>
      <c r="J38" s="228"/>
      <c r="K38" s="229">
        <f>K37+1</f>
        <v>37</v>
      </c>
      <c r="L38" s="231">
        <f>IF(AND(R37&gt;0,R37&lt;31),R37+1,0)</f>
        <v>28</v>
      </c>
      <c r="M38" s="232">
        <f t="shared" si="7"/>
        <v>29</v>
      </c>
      <c r="N38" s="232">
        <f t="shared" si="7"/>
        <v>30</v>
      </c>
      <c r="O38" s="232">
        <f t="shared" si="7"/>
        <v>31</v>
      </c>
      <c r="P38" s="232">
        <f t="shared" si="7"/>
        <v>0</v>
      </c>
      <c r="Q38" s="232">
        <f t="shared" si="7"/>
        <v>0</v>
      </c>
      <c r="R38" s="233">
        <f t="shared" si="7"/>
        <v>0</v>
      </c>
      <c r="S38" s="228"/>
      <c r="T38" s="229">
        <f>T37+1</f>
        <v>41</v>
      </c>
      <c r="U38" s="231">
        <f>IF(AND(AA37&gt;0,AA37&lt;30),AA37+1,0)</f>
        <v>25</v>
      </c>
      <c r="V38" s="232">
        <f t="shared" si="8"/>
        <v>26</v>
      </c>
      <c r="W38" s="232">
        <f t="shared" si="8"/>
        <v>27</v>
      </c>
      <c r="X38" s="232">
        <f t="shared" si="8"/>
        <v>28</v>
      </c>
      <c r="Y38" s="232">
        <f t="shared" si="8"/>
        <v>29</v>
      </c>
      <c r="Z38" s="248">
        <f t="shared" si="8"/>
        <v>30</v>
      </c>
      <c r="AA38" s="233">
        <f t="shared" si="8"/>
        <v>0</v>
      </c>
    </row>
    <row r="39" spans="1:29" ht="18" customHeight="1" thickBot="1">
      <c r="A39" s="223"/>
      <c r="B39" s="239">
        <f>IF(C39=0,0,B38+1)</f>
        <v>33</v>
      </c>
      <c r="C39" s="236">
        <f>IF(AND(I38&gt;0,I38&lt;31),I38+1,0)</f>
        <v>31</v>
      </c>
      <c r="D39" s="237">
        <f t="shared" si="6"/>
        <v>0</v>
      </c>
      <c r="E39" s="237">
        <f t="shared" si="6"/>
        <v>0</v>
      </c>
      <c r="F39" s="237">
        <f t="shared" si="6"/>
        <v>0</v>
      </c>
      <c r="G39" s="237">
        <f t="shared" si="6"/>
        <v>0</v>
      </c>
      <c r="H39" s="237">
        <f t="shared" si="6"/>
        <v>0</v>
      </c>
      <c r="I39" s="238">
        <f t="shared" si="6"/>
        <v>0</v>
      </c>
      <c r="J39" s="228"/>
      <c r="K39" s="239">
        <f>IF(L39=0,0,K38+1)</f>
        <v>0</v>
      </c>
      <c r="L39" s="240">
        <f>IF(AND(R38&gt;0,R38&lt;31),R38+1,0)</f>
        <v>0</v>
      </c>
      <c r="M39" s="237">
        <f t="shared" si="7"/>
        <v>0</v>
      </c>
      <c r="N39" s="237">
        <f t="shared" si="7"/>
        <v>0</v>
      </c>
      <c r="O39" s="237">
        <f t="shared" si="7"/>
        <v>0</v>
      </c>
      <c r="P39" s="237">
        <f t="shared" si="7"/>
        <v>0</v>
      </c>
      <c r="Q39" s="237">
        <f t="shared" si="7"/>
        <v>0</v>
      </c>
      <c r="R39" s="238">
        <f t="shared" si="7"/>
        <v>0</v>
      </c>
      <c r="S39" s="228"/>
      <c r="T39" s="239">
        <f>IF(U39=0,0,T38+1)</f>
        <v>0</v>
      </c>
      <c r="U39" s="240">
        <f>IF(AND(AA38&gt;0,AA38&lt;30),AA38+1,0)</f>
        <v>0</v>
      </c>
      <c r="V39" s="237">
        <f t="shared" si="8"/>
        <v>0</v>
      </c>
      <c r="W39" s="237">
        <f t="shared" si="8"/>
        <v>0</v>
      </c>
      <c r="X39" s="237">
        <f t="shared" si="8"/>
        <v>0</v>
      </c>
      <c r="Y39" s="237">
        <f t="shared" si="8"/>
        <v>0</v>
      </c>
      <c r="Z39" s="237">
        <f t="shared" si="8"/>
        <v>0</v>
      </c>
      <c r="AA39" s="238">
        <f t="shared" si="8"/>
        <v>0</v>
      </c>
    </row>
    <row r="40" spans="1:29" ht="18" customHeight="1">
      <c r="A40" s="223"/>
      <c r="B40" s="223"/>
      <c r="C40" s="214"/>
      <c r="D40" s="214"/>
      <c r="E40" s="214"/>
      <c r="F40" s="214"/>
      <c r="G40" s="214"/>
      <c r="H40" s="214"/>
      <c r="I40" s="214"/>
      <c r="J40" s="228"/>
      <c r="K40" s="228"/>
      <c r="L40" s="214"/>
      <c r="M40" s="214"/>
      <c r="N40" s="214"/>
      <c r="O40" s="214"/>
      <c r="P40" s="214"/>
      <c r="Q40" s="214"/>
      <c r="R40" s="214"/>
      <c r="S40" s="228"/>
      <c r="T40" s="228"/>
      <c r="U40" s="214"/>
      <c r="V40" s="214"/>
      <c r="W40" s="214"/>
      <c r="X40" s="214"/>
      <c r="Y40" s="214"/>
      <c r="Z40" s="214"/>
      <c r="AA40" s="215"/>
    </row>
    <row r="41" spans="1:29" s="221" customFormat="1" ht="18" customHeight="1" thickBot="1">
      <c r="A41" s="219"/>
      <c r="B41" s="2759" t="s">
        <v>501</v>
      </c>
      <c r="C41" s="2760"/>
      <c r="D41" s="2760"/>
      <c r="E41" s="2760"/>
      <c r="F41" s="2760"/>
      <c r="G41" s="2760"/>
      <c r="H41" s="2760"/>
      <c r="I41" s="2760"/>
      <c r="J41" s="220"/>
      <c r="K41" s="2761" t="s">
        <v>502</v>
      </c>
      <c r="L41" s="2761"/>
      <c r="M41" s="2761"/>
      <c r="N41" s="2761"/>
      <c r="O41" s="2761"/>
      <c r="P41" s="2761"/>
      <c r="Q41" s="2761"/>
      <c r="R41" s="2761"/>
      <c r="S41" s="220"/>
      <c r="T41" s="2755" t="s">
        <v>503</v>
      </c>
      <c r="U41" s="2755"/>
      <c r="V41" s="2755"/>
      <c r="W41" s="2755"/>
      <c r="X41" s="2755"/>
      <c r="Y41" s="2755"/>
      <c r="Z41" s="2755"/>
      <c r="AA41" s="2756"/>
      <c r="AB41" s="195"/>
      <c r="AC41" s="195"/>
    </row>
    <row r="42" spans="1:29" ht="18" customHeight="1">
      <c r="A42" s="223"/>
      <c r="B42" s="2546" t="s">
        <v>487</v>
      </c>
      <c r="C42" s="2547" t="s">
        <v>488</v>
      </c>
      <c r="D42" s="2548" t="s">
        <v>489</v>
      </c>
      <c r="E42" s="2548" t="s">
        <v>490</v>
      </c>
      <c r="F42" s="2548" t="s">
        <v>491</v>
      </c>
      <c r="G42" s="2548" t="s">
        <v>492</v>
      </c>
      <c r="H42" s="2548" t="s">
        <v>493</v>
      </c>
      <c r="I42" s="2549" t="s">
        <v>494</v>
      </c>
      <c r="J42" s="2551"/>
      <c r="K42" s="2546" t="s">
        <v>487</v>
      </c>
      <c r="L42" s="2547" t="s">
        <v>488</v>
      </c>
      <c r="M42" s="2548" t="s">
        <v>489</v>
      </c>
      <c r="N42" s="2548" t="s">
        <v>490</v>
      </c>
      <c r="O42" s="2548" t="s">
        <v>491</v>
      </c>
      <c r="P42" s="2548" t="s">
        <v>492</v>
      </c>
      <c r="Q42" s="2548" t="s">
        <v>493</v>
      </c>
      <c r="R42" s="2549" t="s">
        <v>494</v>
      </c>
      <c r="S42" s="2551"/>
      <c r="T42" s="2546" t="s">
        <v>487</v>
      </c>
      <c r="U42" s="2547" t="s">
        <v>488</v>
      </c>
      <c r="V42" s="2548" t="s">
        <v>489</v>
      </c>
      <c r="W42" s="2548" t="s">
        <v>490</v>
      </c>
      <c r="X42" s="2548" t="s">
        <v>491</v>
      </c>
      <c r="Y42" s="2548" t="s">
        <v>492</v>
      </c>
      <c r="Z42" s="2548" t="s">
        <v>493</v>
      </c>
      <c r="AA42" s="2549" t="s">
        <v>494</v>
      </c>
    </row>
    <row r="43" spans="1:29" ht="18" customHeight="1">
      <c r="A43" s="223"/>
      <c r="B43" s="243">
        <f>IF(T39&gt;0,T39,T38+1)</f>
        <v>42</v>
      </c>
      <c r="C43" s="249">
        <f>IF($C$6=1,1,0)</f>
        <v>0</v>
      </c>
      <c r="D43" s="226">
        <f>IF($D$6=1,1, IF(C43&gt;0,C43+1, 0))</f>
        <v>0</v>
      </c>
      <c r="E43" s="226">
        <f>IF($E$6=1,1, IF(D43&gt;0,D43+1, 0))</f>
        <v>0</v>
      </c>
      <c r="F43" s="226">
        <f>IF($F$6=1,1, IF(E43&gt;0,E43+1, 0))</f>
        <v>0</v>
      </c>
      <c r="G43" s="226">
        <f>IF($G$6=1,1, IF(F43&gt;0,F43+1, 0))</f>
        <v>0</v>
      </c>
      <c r="H43" s="226">
        <f>IF($H$6=1,1, IF(G43&gt;0,G43+1, 0))</f>
        <v>0</v>
      </c>
      <c r="I43" s="227">
        <f>IF($I$6=1,1, IF(H43&gt;0,H43+1, 0))</f>
        <v>1</v>
      </c>
      <c r="J43" s="228"/>
      <c r="K43" s="229">
        <f>IF(B48&gt;0,B47+1,B47)</f>
        <v>47</v>
      </c>
      <c r="L43" s="225">
        <f>IF($L$6=1,1,0)</f>
        <v>0</v>
      </c>
      <c r="M43" s="226">
        <f>IF($M$6=1,1, IF(L43&gt;0,L43+1, 0))</f>
        <v>0</v>
      </c>
      <c r="N43" s="226">
        <f>IF($N$6=1,1, IF(M43&gt;0,M43+1, 0))</f>
        <v>1</v>
      </c>
      <c r="O43" s="226">
        <f>IF($O$6=1,1, IF(N43&gt;0,N43+1, 0))</f>
        <v>2</v>
      </c>
      <c r="P43" s="226">
        <f>IF($P$6=1,1, IF(O43&gt;0,O43+1, 0))</f>
        <v>3</v>
      </c>
      <c r="Q43" s="226">
        <f>IF($Q$6=1,1, IF(P43&gt;0,P43+1, 0))</f>
        <v>4</v>
      </c>
      <c r="R43" s="227">
        <f>IF($R$6=1,1, IF(Q43&gt;0,Q43+1, 0))</f>
        <v>5</v>
      </c>
      <c r="S43" s="228"/>
      <c r="T43" s="229">
        <f>IF(K48&gt;0,K47+1,K47)</f>
        <v>51</v>
      </c>
      <c r="U43" s="225">
        <f>IF($U$6=1,1,0)</f>
        <v>0</v>
      </c>
      <c r="V43" s="226">
        <f>IF($V$6=1,1, IF(U43&gt;0,U43+1, 0))</f>
        <v>0</v>
      </c>
      <c r="W43" s="226">
        <f>IF($W$6=1,1, IF(V43&gt;0,V43+1, 0))</f>
        <v>0</v>
      </c>
      <c r="X43" s="226">
        <f>IF($X$6=1,1, IF(W43&gt;0,W43+1, 0))</f>
        <v>0</v>
      </c>
      <c r="Y43" s="226">
        <f>IF($Y$6=1,1, IF(X43&gt;0,X43+1, 0))</f>
        <v>1</v>
      </c>
      <c r="Z43" s="250">
        <f>IF($Z$6=1,1, IF(Y43&gt;0,Y43+1, 0))</f>
        <v>2</v>
      </c>
      <c r="AA43" s="227">
        <f>IF($AA$6=1,1, IF(Z43&gt;0,Z43+1, 0))</f>
        <v>3</v>
      </c>
    </row>
    <row r="44" spans="1:29" ht="18" customHeight="1">
      <c r="A44" s="223"/>
      <c r="B44" s="229">
        <f>B43+1</f>
        <v>43</v>
      </c>
      <c r="C44" s="231">
        <f>IF(AND(I43&gt;0,I43&lt;31),I43+1,0)</f>
        <v>2</v>
      </c>
      <c r="D44" s="232">
        <f t="shared" ref="D44:I48" si="9">IF(AND(C44&gt;0,C44&lt;31),C44+1,0)</f>
        <v>3</v>
      </c>
      <c r="E44" s="232">
        <f t="shared" si="9"/>
        <v>4</v>
      </c>
      <c r="F44" s="232">
        <f t="shared" si="9"/>
        <v>5</v>
      </c>
      <c r="G44" s="232">
        <f t="shared" si="9"/>
        <v>6</v>
      </c>
      <c r="H44" s="232">
        <f t="shared" si="9"/>
        <v>7</v>
      </c>
      <c r="I44" s="233">
        <f t="shared" si="9"/>
        <v>8</v>
      </c>
      <c r="J44" s="228"/>
      <c r="K44" s="229">
        <f>K43+1</f>
        <v>48</v>
      </c>
      <c r="L44" s="251">
        <f>IF(AND(R43&gt;0,R43&lt;30),R43+1,0)</f>
        <v>6</v>
      </c>
      <c r="M44" s="232">
        <f t="shared" ref="M44:R48" si="10">IF(AND(L44&gt;0,L44&lt;30),L44+1,0)</f>
        <v>7</v>
      </c>
      <c r="N44" s="232">
        <f t="shared" si="10"/>
        <v>8</v>
      </c>
      <c r="O44" s="232">
        <f t="shared" si="10"/>
        <v>9</v>
      </c>
      <c r="P44" s="232">
        <f t="shared" si="10"/>
        <v>10</v>
      </c>
      <c r="Q44" s="232">
        <f t="shared" si="10"/>
        <v>11</v>
      </c>
      <c r="R44" s="233">
        <f t="shared" si="10"/>
        <v>12</v>
      </c>
      <c r="S44" s="228"/>
      <c r="T44" s="229">
        <f>T43+1</f>
        <v>52</v>
      </c>
      <c r="U44" s="231">
        <f>IF(AND(AA43&gt;0,AA43&lt;31),AA43+1,0)</f>
        <v>4</v>
      </c>
      <c r="V44" s="232">
        <f t="shared" ref="V44:AA48" si="11">IF(AND(U44&gt;0,U44&lt;31),U44+1,0)</f>
        <v>5</v>
      </c>
      <c r="W44" s="232">
        <f t="shared" si="11"/>
        <v>6</v>
      </c>
      <c r="X44" s="232">
        <f t="shared" si="11"/>
        <v>7</v>
      </c>
      <c r="Y44" s="232">
        <f t="shared" si="11"/>
        <v>8</v>
      </c>
      <c r="Z44" s="252">
        <f t="shared" si="11"/>
        <v>9</v>
      </c>
      <c r="AA44" s="233">
        <f t="shared" si="11"/>
        <v>10</v>
      </c>
    </row>
    <row r="45" spans="1:29" ht="18" customHeight="1">
      <c r="A45" s="223"/>
      <c r="B45" s="229">
        <f>B44+1</f>
        <v>44</v>
      </c>
      <c r="C45" s="231">
        <f>IF(AND(I44&gt;0,I44&lt;31),I44+1,0)</f>
        <v>9</v>
      </c>
      <c r="D45" s="232">
        <f t="shared" si="9"/>
        <v>10</v>
      </c>
      <c r="E45" s="232">
        <f t="shared" si="9"/>
        <v>11</v>
      </c>
      <c r="F45" s="232">
        <f t="shared" si="9"/>
        <v>12</v>
      </c>
      <c r="G45" s="232">
        <f t="shared" si="9"/>
        <v>13</v>
      </c>
      <c r="H45" s="232">
        <f t="shared" si="9"/>
        <v>14</v>
      </c>
      <c r="I45" s="233">
        <f t="shared" si="9"/>
        <v>15</v>
      </c>
      <c r="J45" s="228"/>
      <c r="K45" s="229">
        <f>K44+1</f>
        <v>49</v>
      </c>
      <c r="L45" s="251">
        <f>IF(AND(R44&gt;0,R44&lt;30),R44+1,0)</f>
        <v>13</v>
      </c>
      <c r="M45" s="232">
        <f t="shared" si="10"/>
        <v>14</v>
      </c>
      <c r="N45" s="232">
        <f t="shared" si="10"/>
        <v>15</v>
      </c>
      <c r="O45" s="232">
        <f t="shared" si="10"/>
        <v>16</v>
      </c>
      <c r="P45" s="232">
        <f t="shared" si="10"/>
        <v>17</v>
      </c>
      <c r="Q45" s="232">
        <f t="shared" si="10"/>
        <v>18</v>
      </c>
      <c r="R45" s="233">
        <f t="shared" si="10"/>
        <v>19</v>
      </c>
      <c r="S45" s="228"/>
      <c r="T45" s="229">
        <f>T44+1</f>
        <v>53</v>
      </c>
      <c r="U45" s="231">
        <f>IF(AND(AA44&gt;0,AA44&lt;31),AA44+1,0)</f>
        <v>11</v>
      </c>
      <c r="V45" s="232">
        <f t="shared" si="11"/>
        <v>12</v>
      </c>
      <c r="W45" s="232">
        <f t="shared" si="11"/>
        <v>13</v>
      </c>
      <c r="X45" s="232">
        <f t="shared" si="11"/>
        <v>14</v>
      </c>
      <c r="Y45" s="232">
        <f t="shared" si="11"/>
        <v>15</v>
      </c>
      <c r="Z45" s="252">
        <f t="shared" si="11"/>
        <v>16</v>
      </c>
      <c r="AA45" s="233">
        <f t="shared" si="11"/>
        <v>17</v>
      </c>
    </row>
    <row r="46" spans="1:29" ht="18" customHeight="1">
      <c r="A46" s="223"/>
      <c r="B46" s="229">
        <f>B45+1</f>
        <v>45</v>
      </c>
      <c r="C46" s="231">
        <f>IF(AND(I45&gt;0,I45&lt;31),I45+1,0)</f>
        <v>16</v>
      </c>
      <c r="D46" s="232">
        <f t="shared" si="9"/>
        <v>17</v>
      </c>
      <c r="E46" s="232">
        <f t="shared" si="9"/>
        <v>18</v>
      </c>
      <c r="F46" s="232">
        <f t="shared" si="9"/>
        <v>19</v>
      </c>
      <c r="G46" s="232">
        <f t="shared" si="9"/>
        <v>20</v>
      </c>
      <c r="H46" s="232">
        <f t="shared" si="9"/>
        <v>21</v>
      </c>
      <c r="I46" s="233">
        <f t="shared" si="9"/>
        <v>22</v>
      </c>
      <c r="J46" s="228"/>
      <c r="K46" s="229">
        <f>K45+1</f>
        <v>50</v>
      </c>
      <c r="L46" s="251">
        <f>IF(AND(R45&gt;0,R45&lt;30),R45+1,0)</f>
        <v>20</v>
      </c>
      <c r="M46" s="232">
        <f t="shared" si="10"/>
        <v>21</v>
      </c>
      <c r="N46" s="232">
        <f t="shared" si="10"/>
        <v>22</v>
      </c>
      <c r="O46" s="232">
        <f t="shared" si="10"/>
        <v>23</v>
      </c>
      <c r="P46" s="232">
        <f t="shared" si="10"/>
        <v>24</v>
      </c>
      <c r="Q46" s="232">
        <f t="shared" si="10"/>
        <v>25</v>
      </c>
      <c r="R46" s="233">
        <f t="shared" si="10"/>
        <v>26</v>
      </c>
      <c r="S46" s="228"/>
      <c r="T46" s="229">
        <f>T45+1</f>
        <v>54</v>
      </c>
      <c r="U46" s="231">
        <f>IF(AND(AA45&gt;0,AA45&lt;31),AA45+1,0)</f>
        <v>18</v>
      </c>
      <c r="V46" s="232">
        <f t="shared" si="11"/>
        <v>19</v>
      </c>
      <c r="W46" s="232">
        <f t="shared" si="11"/>
        <v>20</v>
      </c>
      <c r="X46" s="232">
        <f t="shared" si="11"/>
        <v>21</v>
      </c>
      <c r="Y46" s="232">
        <f t="shared" si="11"/>
        <v>22</v>
      </c>
      <c r="Z46" s="252">
        <f t="shared" si="11"/>
        <v>23</v>
      </c>
      <c r="AA46" s="233">
        <f t="shared" si="11"/>
        <v>24</v>
      </c>
    </row>
    <row r="47" spans="1:29" ht="18" customHeight="1">
      <c r="A47" s="223"/>
      <c r="B47" s="229">
        <f>B46+1</f>
        <v>46</v>
      </c>
      <c r="C47" s="231">
        <f>IF(AND(I46&gt;0,I46&lt;31),I46+1,0)</f>
        <v>23</v>
      </c>
      <c r="D47" s="232">
        <f t="shared" si="9"/>
        <v>24</v>
      </c>
      <c r="E47" s="232">
        <f t="shared" si="9"/>
        <v>25</v>
      </c>
      <c r="F47" s="232">
        <f t="shared" si="9"/>
        <v>26</v>
      </c>
      <c r="G47" s="232">
        <f t="shared" si="9"/>
        <v>27</v>
      </c>
      <c r="H47" s="232">
        <f t="shared" si="9"/>
        <v>28</v>
      </c>
      <c r="I47" s="233">
        <f t="shared" si="9"/>
        <v>29</v>
      </c>
      <c r="J47" s="228"/>
      <c r="K47" s="229">
        <f>K46+1</f>
        <v>51</v>
      </c>
      <c r="L47" s="251">
        <f>IF(AND(R46&gt;0,R46&lt;30),R46+1,0)</f>
        <v>27</v>
      </c>
      <c r="M47" s="232">
        <f t="shared" si="10"/>
        <v>28</v>
      </c>
      <c r="N47" s="232">
        <f t="shared" si="10"/>
        <v>29</v>
      </c>
      <c r="O47" s="232">
        <f t="shared" si="10"/>
        <v>30</v>
      </c>
      <c r="P47" s="232">
        <f t="shared" si="10"/>
        <v>0</v>
      </c>
      <c r="Q47" s="232">
        <f t="shared" si="10"/>
        <v>0</v>
      </c>
      <c r="R47" s="233">
        <f t="shared" si="10"/>
        <v>0</v>
      </c>
      <c r="S47" s="228"/>
      <c r="T47" s="229">
        <f>T46+1</f>
        <v>55</v>
      </c>
      <c r="U47" s="231">
        <f>IF(AND(AA46&gt;0,AA46&lt;31),AA46+1,0)</f>
        <v>25</v>
      </c>
      <c r="V47" s="232">
        <f t="shared" si="11"/>
        <v>26</v>
      </c>
      <c r="W47" s="232">
        <f t="shared" si="11"/>
        <v>27</v>
      </c>
      <c r="X47" s="232">
        <f t="shared" si="11"/>
        <v>28</v>
      </c>
      <c r="Y47" s="232">
        <f t="shared" si="11"/>
        <v>29</v>
      </c>
      <c r="Z47" s="252">
        <f t="shared" si="11"/>
        <v>30</v>
      </c>
      <c r="AA47" s="233">
        <f t="shared" si="11"/>
        <v>31</v>
      </c>
    </row>
    <row r="48" spans="1:29" ht="18" customHeight="1" thickBot="1">
      <c r="A48" s="223"/>
      <c r="B48" s="239">
        <f>IF(C48=0,0,B47+1)</f>
        <v>47</v>
      </c>
      <c r="C48" s="240">
        <f>IF(AND(I47&gt;0,I47&lt;31),I47+1,0)</f>
        <v>30</v>
      </c>
      <c r="D48" s="237">
        <f t="shared" si="9"/>
        <v>31</v>
      </c>
      <c r="E48" s="237">
        <f t="shared" si="9"/>
        <v>0</v>
      </c>
      <c r="F48" s="237">
        <f t="shared" si="9"/>
        <v>0</v>
      </c>
      <c r="G48" s="237">
        <f t="shared" si="9"/>
        <v>0</v>
      </c>
      <c r="H48" s="237">
        <f t="shared" si="9"/>
        <v>0</v>
      </c>
      <c r="I48" s="238">
        <f t="shared" si="9"/>
        <v>0</v>
      </c>
      <c r="J48" s="2545"/>
      <c r="K48" s="239">
        <f>IF(L48=0,0,K47+1)</f>
        <v>0</v>
      </c>
      <c r="L48" s="240">
        <f>IF(AND(R47&gt;0,R47&lt;30),R47+1,0)</f>
        <v>0</v>
      </c>
      <c r="M48" s="237">
        <f t="shared" si="10"/>
        <v>0</v>
      </c>
      <c r="N48" s="237">
        <f t="shared" si="10"/>
        <v>0</v>
      </c>
      <c r="O48" s="237">
        <f t="shared" si="10"/>
        <v>0</v>
      </c>
      <c r="P48" s="237">
        <f t="shared" si="10"/>
        <v>0</v>
      </c>
      <c r="Q48" s="237">
        <f t="shared" si="10"/>
        <v>0</v>
      </c>
      <c r="R48" s="238">
        <f t="shared" si="10"/>
        <v>0</v>
      </c>
      <c r="S48" s="2545"/>
      <c r="T48" s="239">
        <f>IF(U48=0,0,T47+1)</f>
        <v>0</v>
      </c>
      <c r="U48" s="236">
        <f>IF(AND(AA47&gt;0,AA47&lt;31),AA47+1,0)</f>
        <v>0</v>
      </c>
      <c r="V48" s="237">
        <f t="shared" si="11"/>
        <v>0</v>
      </c>
      <c r="W48" s="237">
        <f t="shared" si="11"/>
        <v>0</v>
      </c>
      <c r="X48" s="237">
        <f t="shared" si="11"/>
        <v>0</v>
      </c>
      <c r="Y48" s="237">
        <f t="shared" si="11"/>
        <v>0</v>
      </c>
      <c r="Z48" s="237">
        <f t="shared" si="11"/>
        <v>0</v>
      </c>
      <c r="AA48" s="238">
        <f t="shared" si="11"/>
        <v>0</v>
      </c>
    </row>
    <row r="49" spans="1:27" ht="18" customHeight="1">
      <c r="A49" s="222"/>
      <c r="B49" s="222"/>
      <c r="C49" s="214"/>
      <c r="D49" s="214"/>
      <c r="E49" s="214"/>
      <c r="F49" s="214"/>
      <c r="G49" s="214"/>
      <c r="H49" s="214"/>
      <c r="I49" s="214"/>
      <c r="J49" s="214"/>
      <c r="K49" s="214"/>
      <c r="L49" s="214"/>
      <c r="M49" s="214"/>
      <c r="N49" s="214"/>
      <c r="O49" s="214"/>
      <c r="P49" s="214"/>
      <c r="Q49" s="214"/>
      <c r="R49" s="214"/>
      <c r="S49" s="214"/>
      <c r="T49" s="214"/>
      <c r="U49" s="214"/>
      <c r="V49" s="214"/>
      <c r="W49" s="214"/>
      <c r="X49" s="214"/>
      <c r="Y49" s="214"/>
      <c r="Z49" s="214"/>
      <c r="AA49" s="215"/>
    </row>
    <row r="50" spans="1:27" ht="18" customHeight="1" thickBot="1">
      <c r="A50" s="222"/>
      <c r="B50" s="253"/>
      <c r="C50" s="255"/>
      <c r="D50" s="256"/>
      <c r="E50" s="256"/>
      <c r="F50" s="256"/>
      <c r="G50" s="256"/>
      <c r="H50" s="256"/>
      <c r="I50" s="256"/>
      <c r="J50" s="256"/>
      <c r="K50" s="256"/>
      <c r="L50" s="256"/>
      <c r="M50" s="257"/>
      <c r="N50" s="258"/>
      <c r="O50" s="258"/>
      <c r="P50" s="254"/>
      <c r="Q50" s="254"/>
      <c r="R50" s="254"/>
      <c r="S50" s="254"/>
      <c r="T50" s="254"/>
      <c r="U50" s="254"/>
      <c r="V50" s="254"/>
      <c r="W50" s="254"/>
      <c r="X50" s="254"/>
      <c r="Y50" s="254"/>
      <c r="Z50" s="254"/>
      <c r="AA50" s="259"/>
    </row>
    <row r="51" spans="1:27" ht="12.6" customHeight="1">
      <c r="A51" s="214"/>
      <c r="B51" s="214"/>
      <c r="C51" s="214"/>
      <c r="D51" s="214"/>
      <c r="E51" s="214"/>
      <c r="F51" s="214"/>
      <c r="G51" s="214"/>
      <c r="H51" s="214"/>
      <c r="I51" s="214"/>
      <c r="J51" s="214"/>
      <c r="K51" s="214"/>
      <c r="L51" s="214"/>
      <c r="M51" s="214"/>
      <c r="N51" s="214"/>
      <c r="O51" s="214"/>
      <c r="P51" s="214"/>
      <c r="Q51" s="214"/>
      <c r="R51" s="214"/>
      <c r="S51" s="214"/>
      <c r="T51" s="214"/>
      <c r="U51" s="214"/>
      <c r="V51" s="214"/>
      <c r="W51" s="214"/>
      <c r="X51" s="214"/>
      <c r="Y51" s="214"/>
      <c r="Z51" s="214"/>
      <c r="AA51" s="214"/>
    </row>
  </sheetData>
  <mergeCells count="16">
    <mergeCell ref="B41:I41"/>
    <mergeCell ref="K41:R41"/>
    <mergeCell ref="T41:AA41"/>
    <mergeCell ref="B23:I23"/>
    <mergeCell ref="K23:R23"/>
    <mergeCell ref="T23:AA23"/>
    <mergeCell ref="B32:I32"/>
    <mergeCell ref="K32:R32"/>
    <mergeCell ref="T32:AA32"/>
    <mergeCell ref="T14:AA14"/>
    <mergeCell ref="I8:K8"/>
    <mergeCell ref="B14:I14"/>
    <mergeCell ref="K14:R14"/>
    <mergeCell ref="Y8:AA8"/>
    <mergeCell ref="P12:T12"/>
    <mergeCell ref="H12:O12"/>
  </mergeCells>
  <hyperlinks>
    <hyperlink ref="Y8" location="INDEX!A1" display="INDEX!A1"/>
  </hyperlinks>
  <printOptions horizontalCentered="1" verticalCentered="1" gridLinesSet="0"/>
  <pageMargins left="0" right="0" top="0" bottom="0" header="0" footer="0"/>
  <pageSetup paperSize="9" orientation="portrait" horizontalDpi="300" verticalDpi="300" r:id="rId1"/>
  <headerFooter alignWithMargins="0">
    <oddFooter xml:space="preserve">&amp;C&amp;"Trebuchet MS,Bold"&amp;10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66"/>
  </sheetPr>
  <dimension ref="A1:Z88"/>
  <sheetViews>
    <sheetView zoomScale="93" zoomScaleNormal="93" zoomScaleSheetLayoutView="100" workbookViewId="0">
      <pane xSplit="2" ySplit="3" topLeftCell="C4" activePane="bottomRight" state="frozen"/>
      <selection activeCell="V27" sqref="V27"/>
      <selection pane="topRight" activeCell="V27" sqref="V27"/>
      <selection pane="bottomLeft" activeCell="V27" sqref="V27"/>
      <selection pane="bottomRight" activeCell="V2" sqref="V2:X2"/>
    </sheetView>
  </sheetViews>
  <sheetFormatPr defaultColWidth="9.140625" defaultRowHeight="12.75"/>
  <cols>
    <col min="1" max="1" width="4" style="1105" customWidth="1"/>
    <col min="2" max="2" width="56.7109375" style="1123" customWidth="1"/>
    <col min="3" max="3" width="8.85546875" style="1123" bestFit="1" customWidth="1"/>
    <col min="4" max="4" width="12.42578125" style="1123" customWidth="1"/>
    <col min="5" max="5" width="8.42578125" style="1123" hidden="1" customWidth="1"/>
    <col min="6" max="6" width="9.7109375" style="1123" customWidth="1"/>
    <col min="7" max="7" width="8.140625" style="1123" hidden="1" customWidth="1"/>
    <col min="8" max="8" width="9.7109375" style="1123" customWidth="1"/>
    <col min="9" max="9" width="10.42578125" style="1123" hidden="1" customWidth="1"/>
    <col min="10" max="10" width="11" style="1123" customWidth="1"/>
    <col min="11" max="11" width="8.42578125" style="1123" hidden="1" customWidth="1"/>
    <col min="12" max="12" width="9.7109375" style="1123" customWidth="1"/>
    <col min="13" max="13" width="8.140625" style="1123" hidden="1" customWidth="1"/>
    <col min="14" max="14" width="9.7109375" style="1123" customWidth="1"/>
    <col min="15" max="15" width="10.42578125" style="1123" hidden="1" customWidth="1"/>
    <col min="16" max="16" width="10.28515625" style="1123" customWidth="1"/>
    <col min="17" max="17" width="8.42578125" style="1123" hidden="1" customWidth="1"/>
    <col min="18" max="18" width="9.7109375" style="1123" customWidth="1"/>
    <col min="19" max="19" width="8.140625" style="1123" hidden="1" customWidth="1"/>
    <col min="20" max="20" width="9.7109375" style="1123" customWidth="1"/>
    <col min="21" max="21" width="10.42578125" style="1123" hidden="1" customWidth="1"/>
    <col min="22" max="23" width="10" style="1123" customWidth="1"/>
    <col min="24" max="25" width="9.140625" style="1123"/>
    <col min="26" max="26" width="13.140625" style="1123" bestFit="1" customWidth="1"/>
    <col min="27" max="16384" width="9.140625" style="1123"/>
  </cols>
  <sheetData>
    <row r="1" spans="1:26" s="953" customFormat="1" ht="14.25" customHeight="1" thickBot="1">
      <c r="A1" s="950"/>
      <c r="B1" s="951" t="s">
        <v>504</v>
      </c>
      <c r="C1" s="952"/>
    </row>
    <row r="2" spans="1:26" s="953" customFormat="1" ht="29.25" thickBot="1">
      <c r="A2" s="950"/>
      <c r="B2" s="954" t="s">
        <v>505</v>
      </c>
      <c r="C2" s="265" t="s">
        <v>506</v>
      </c>
      <c r="D2" s="1732" t="s">
        <v>1916</v>
      </c>
      <c r="E2" s="1733"/>
      <c r="F2" s="1733"/>
      <c r="G2" s="1733"/>
      <c r="H2" s="1733"/>
      <c r="I2" s="1733"/>
      <c r="J2" s="1734" t="s">
        <v>1586</v>
      </c>
      <c r="K2" s="1733"/>
      <c r="L2" s="1733"/>
      <c r="M2" s="1733"/>
      <c r="N2" s="1733"/>
      <c r="O2" s="1733"/>
      <c r="P2" s="1735" t="s">
        <v>509</v>
      </c>
      <c r="Q2" s="952"/>
      <c r="R2" s="952"/>
      <c r="S2" s="952"/>
      <c r="T2" s="952"/>
      <c r="U2" s="952"/>
      <c r="V2" s="2767" t="s">
        <v>1749</v>
      </c>
      <c r="W2" s="2768"/>
      <c r="X2" s="2769"/>
    </row>
    <row r="3" spans="1:26" s="961" customFormat="1" ht="14.25" customHeight="1" thickBot="1">
      <c r="A3" s="955"/>
      <c r="B3" s="956" t="s">
        <v>510</v>
      </c>
      <c r="C3" s="957" t="s">
        <v>511</v>
      </c>
      <c r="D3" s="958" t="s">
        <v>512</v>
      </c>
      <c r="E3" s="959"/>
      <c r="F3" s="958" t="s">
        <v>513</v>
      </c>
      <c r="G3" s="959"/>
      <c r="H3" s="958" t="s">
        <v>514</v>
      </c>
      <c r="I3" s="959"/>
      <c r="J3" s="958" t="s">
        <v>512</v>
      </c>
      <c r="K3" s="959"/>
      <c r="L3" s="958" t="s">
        <v>513</v>
      </c>
      <c r="M3" s="959"/>
      <c r="N3" s="958" t="s">
        <v>514</v>
      </c>
      <c r="O3" s="959"/>
      <c r="P3" s="958" t="s">
        <v>512</v>
      </c>
      <c r="Q3" s="959"/>
      <c r="R3" s="958" t="s">
        <v>513</v>
      </c>
      <c r="S3" s="959"/>
      <c r="T3" s="958" t="s">
        <v>514</v>
      </c>
      <c r="U3" s="960"/>
    </row>
    <row r="4" spans="1:26" s="961" customFormat="1" ht="14.25" customHeight="1">
      <c r="A4" s="955" t="s">
        <v>1225</v>
      </c>
      <c r="B4" s="962" t="s">
        <v>515</v>
      </c>
      <c r="C4" s="963">
        <f>SUM(D4,J4,P4)</f>
        <v>123.6</v>
      </c>
      <c r="D4" s="964">
        <v>0</v>
      </c>
      <c r="E4" s="965"/>
      <c r="F4" s="966">
        <f>D4</f>
        <v>0</v>
      </c>
      <c r="G4" s="967"/>
      <c r="H4" s="966">
        <f>(H39+H44+H43)/((H34+H9+H10+H11)-(H16*I40*4.187*H22*H18))</f>
        <v>9.9282084250287799</v>
      </c>
      <c r="I4" s="965">
        <f>H46/(H34+H9+H10+H11)</f>
        <v>9.9282084250287799</v>
      </c>
      <c r="J4" s="964">
        <v>3.6</v>
      </c>
      <c r="K4" s="965"/>
      <c r="L4" s="966">
        <f>J4</f>
        <v>3.6</v>
      </c>
      <c r="M4" s="967"/>
      <c r="N4" s="966">
        <f>(N39+N44+N43)/((N34+N9+N10+N11)-(N16*O40*4.187*N22*N18))</f>
        <v>1.5834764822206298</v>
      </c>
      <c r="O4" s="965">
        <f>N46/(N34+N9+N10+N11)</f>
        <v>1.5834764822206295</v>
      </c>
      <c r="P4" s="964">
        <v>120</v>
      </c>
      <c r="Q4" s="965"/>
      <c r="R4" s="966">
        <f>P4</f>
        <v>120</v>
      </c>
      <c r="S4" s="967"/>
      <c r="T4" s="966">
        <f>(T39+T44+T43)/((T34+T9+T10+T11)-(T16*U40*4.187*T22*T18))</f>
        <v>-4.8944887595189028</v>
      </c>
      <c r="U4" s="968">
        <f>T46/(T34+T9+T10+T11)</f>
        <v>-4.8944887595189028</v>
      </c>
    </row>
    <row r="5" spans="1:26" s="961" customFormat="1" ht="14.25" customHeight="1">
      <c r="A5" s="955" t="s">
        <v>1226</v>
      </c>
      <c r="B5" s="962" t="s">
        <v>516</v>
      </c>
      <c r="C5" s="963">
        <f>SUM(D5,J5,P5)</f>
        <v>44.3</v>
      </c>
      <c r="D5" s="964">
        <v>44.3</v>
      </c>
      <c r="E5" s="965"/>
      <c r="F5" s="966">
        <f>D5</f>
        <v>44.3</v>
      </c>
      <c r="G5" s="967"/>
      <c r="H5" s="966">
        <v>0</v>
      </c>
      <c r="I5" s="965"/>
      <c r="J5" s="964"/>
      <c r="K5" s="965"/>
      <c r="L5" s="966">
        <f>J5</f>
        <v>0</v>
      </c>
      <c r="M5" s="967"/>
      <c r="N5" s="966">
        <v>0</v>
      </c>
      <c r="O5" s="965"/>
      <c r="P5" s="964"/>
      <c r="Q5" s="965"/>
      <c r="R5" s="966">
        <f>P5</f>
        <v>0</v>
      </c>
      <c r="S5" s="967"/>
      <c r="T5" s="966">
        <v>0</v>
      </c>
      <c r="U5" s="969"/>
      <c r="W5" s="970" t="s">
        <v>1227</v>
      </c>
      <c r="X5" s="971"/>
      <c r="Y5" s="970" t="s">
        <v>1228</v>
      </c>
      <c r="Z5" s="972" t="s">
        <v>1229</v>
      </c>
    </row>
    <row r="6" spans="1:26" s="961" customFormat="1" ht="14.25" customHeight="1">
      <c r="A6" s="955"/>
      <c r="B6" s="973" t="s">
        <v>517</v>
      </c>
      <c r="C6" s="963">
        <f>SUM(D6,J6,P6)</f>
        <v>167.9</v>
      </c>
      <c r="D6" s="974">
        <f t="shared" ref="D6:U6" si="0">SUM(D4:D5)</f>
        <v>44.3</v>
      </c>
      <c r="E6" s="975">
        <f t="shared" si="0"/>
        <v>0</v>
      </c>
      <c r="F6" s="976">
        <f t="shared" si="0"/>
        <v>44.3</v>
      </c>
      <c r="G6" s="966">
        <f t="shared" si="0"/>
        <v>0</v>
      </c>
      <c r="H6" s="966">
        <f t="shared" si="0"/>
        <v>9.9282084250287799</v>
      </c>
      <c r="I6" s="977">
        <f t="shared" si="0"/>
        <v>9.9282084250287799</v>
      </c>
      <c r="J6" s="974">
        <f>SUM(J4:J5)</f>
        <v>3.6</v>
      </c>
      <c r="K6" s="975">
        <f t="shared" si="0"/>
        <v>0</v>
      </c>
      <c r="L6" s="966">
        <f t="shared" si="0"/>
        <v>3.6</v>
      </c>
      <c r="M6" s="966">
        <f t="shared" si="0"/>
        <v>0</v>
      </c>
      <c r="N6" s="966">
        <f t="shared" si="0"/>
        <v>1.5834764822206298</v>
      </c>
      <c r="O6" s="977">
        <f t="shared" si="0"/>
        <v>1.5834764822206295</v>
      </c>
      <c r="P6" s="974">
        <f t="shared" si="0"/>
        <v>120</v>
      </c>
      <c r="Q6" s="975">
        <f t="shared" si="0"/>
        <v>0</v>
      </c>
      <c r="R6" s="966">
        <f t="shared" si="0"/>
        <v>120</v>
      </c>
      <c r="S6" s="966">
        <f t="shared" si="0"/>
        <v>0</v>
      </c>
      <c r="T6" s="966">
        <f t="shared" si="0"/>
        <v>-4.8944887595189028</v>
      </c>
      <c r="U6" s="978">
        <f t="shared" si="0"/>
        <v>-4.8944887595189028</v>
      </c>
      <c r="W6" s="979"/>
      <c r="X6" s="979" t="s">
        <v>1230</v>
      </c>
      <c r="Y6" s="980">
        <f>W6*Z6</f>
        <v>0</v>
      </c>
      <c r="Z6" s="981"/>
    </row>
    <row r="7" spans="1:26" s="961" customFormat="1">
      <c r="A7" s="955" t="s">
        <v>217</v>
      </c>
      <c r="B7" s="982" t="s">
        <v>518</v>
      </c>
      <c r="C7" s="982"/>
      <c r="D7" s="983">
        <v>1649</v>
      </c>
      <c r="E7" s="984"/>
      <c r="F7" s="985">
        <f>D7</f>
        <v>1649</v>
      </c>
      <c r="G7" s="986"/>
      <c r="H7" s="985">
        <f t="shared" ref="H7:H12" si="1">D7</f>
        <v>1649</v>
      </c>
      <c r="I7" s="987"/>
      <c r="J7" s="983">
        <v>2974</v>
      </c>
      <c r="K7" s="984"/>
      <c r="L7" s="985">
        <f>J7</f>
        <v>2974</v>
      </c>
      <c r="M7" s="986"/>
      <c r="N7" s="985">
        <f t="shared" ref="N7:N12" si="2">J7</f>
        <v>2974</v>
      </c>
      <c r="O7" s="987"/>
      <c r="P7" s="983">
        <v>3100</v>
      </c>
      <c r="Q7" s="984"/>
      <c r="R7" s="985">
        <f>P7</f>
        <v>3100</v>
      </c>
      <c r="S7" s="986"/>
      <c r="T7" s="985">
        <f t="shared" ref="T7:T12" si="3">P7</f>
        <v>3100</v>
      </c>
      <c r="U7" s="988"/>
      <c r="W7" s="979"/>
      <c r="X7" s="979"/>
      <c r="Y7" s="979">
        <f>W7*Z7</f>
        <v>0</v>
      </c>
      <c r="Z7" s="989"/>
    </row>
    <row r="8" spans="1:26" s="961" customFormat="1" ht="14.25" customHeight="1">
      <c r="A8" s="955" t="s">
        <v>1231</v>
      </c>
      <c r="B8" s="982" t="s">
        <v>519</v>
      </c>
      <c r="C8" s="982"/>
      <c r="D8" s="983">
        <v>3000</v>
      </c>
      <c r="E8" s="990"/>
      <c r="F8" s="991">
        <f>D8</f>
        <v>3000</v>
      </c>
      <c r="G8" s="991"/>
      <c r="H8" s="991">
        <f t="shared" si="1"/>
        <v>3000</v>
      </c>
      <c r="I8" s="992"/>
      <c r="J8" s="983">
        <v>3299</v>
      </c>
      <c r="K8" s="990"/>
      <c r="L8" s="991">
        <f>J8</f>
        <v>3299</v>
      </c>
      <c r="M8" s="991"/>
      <c r="N8" s="991">
        <f t="shared" si="2"/>
        <v>3299</v>
      </c>
      <c r="O8" s="992"/>
      <c r="P8" s="983">
        <v>3500</v>
      </c>
      <c r="Q8" s="990"/>
      <c r="R8" s="991">
        <f>P8</f>
        <v>3500</v>
      </c>
      <c r="S8" s="991"/>
      <c r="T8" s="991">
        <f t="shared" si="3"/>
        <v>3500</v>
      </c>
      <c r="U8" s="993"/>
      <c r="W8" s="979"/>
      <c r="X8" s="979"/>
      <c r="Y8" s="979">
        <f>W8*Z8</f>
        <v>0</v>
      </c>
      <c r="Z8" s="989"/>
    </row>
    <row r="9" spans="1:26" s="961" customFormat="1" ht="14.25" customHeight="1">
      <c r="A9" s="955"/>
      <c r="B9" s="988" t="s">
        <v>520</v>
      </c>
      <c r="C9" s="987"/>
      <c r="D9" s="994"/>
      <c r="E9" s="984">
        <v>10</v>
      </c>
      <c r="F9" s="986">
        <f>D9</f>
        <v>0</v>
      </c>
      <c r="G9" s="986">
        <v>10</v>
      </c>
      <c r="H9" s="986">
        <f t="shared" si="1"/>
        <v>0</v>
      </c>
      <c r="I9" s="987">
        <v>10</v>
      </c>
      <c r="J9" s="994">
        <v>20</v>
      </c>
      <c r="K9" s="984">
        <v>10</v>
      </c>
      <c r="L9" s="986">
        <f>J9</f>
        <v>20</v>
      </c>
      <c r="M9" s="986">
        <v>10</v>
      </c>
      <c r="N9" s="986">
        <f t="shared" si="2"/>
        <v>20</v>
      </c>
      <c r="O9" s="987">
        <v>10</v>
      </c>
      <c r="P9" s="994">
        <v>20</v>
      </c>
      <c r="Q9" s="984">
        <v>10</v>
      </c>
      <c r="R9" s="986">
        <f>P9</f>
        <v>20</v>
      </c>
      <c r="S9" s="986">
        <v>10</v>
      </c>
      <c r="T9" s="986">
        <f t="shared" si="3"/>
        <v>20</v>
      </c>
      <c r="U9" s="988">
        <v>10</v>
      </c>
      <c r="W9" s="995"/>
      <c r="X9" s="995"/>
      <c r="Y9" s="979">
        <f>W9*Z9</f>
        <v>0</v>
      </c>
      <c r="Z9" s="989"/>
    </row>
    <row r="10" spans="1:26" s="961" customFormat="1" ht="14.25" customHeight="1">
      <c r="A10" s="955"/>
      <c r="B10" s="988" t="s">
        <v>521</v>
      </c>
      <c r="C10" s="987"/>
      <c r="D10" s="994">
        <v>5</v>
      </c>
      <c r="E10" s="984">
        <v>3</v>
      </c>
      <c r="F10" s="986">
        <f>D10</f>
        <v>5</v>
      </c>
      <c r="G10" s="986">
        <v>3</v>
      </c>
      <c r="H10" s="986">
        <f t="shared" si="1"/>
        <v>5</v>
      </c>
      <c r="I10" s="987">
        <v>3</v>
      </c>
      <c r="J10" s="994">
        <v>5</v>
      </c>
      <c r="K10" s="984">
        <v>3</v>
      </c>
      <c r="L10" s="986">
        <f>J10</f>
        <v>5</v>
      </c>
      <c r="M10" s="986">
        <v>3</v>
      </c>
      <c r="N10" s="986">
        <f t="shared" si="2"/>
        <v>5</v>
      </c>
      <c r="O10" s="987">
        <v>3</v>
      </c>
      <c r="P10" s="994">
        <v>5</v>
      </c>
      <c r="Q10" s="984">
        <v>3</v>
      </c>
      <c r="R10" s="986">
        <f>P10</f>
        <v>5</v>
      </c>
      <c r="S10" s="986">
        <v>3</v>
      </c>
      <c r="T10" s="986">
        <f t="shared" si="3"/>
        <v>5</v>
      </c>
      <c r="U10" s="988">
        <v>3</v>
      </c>
      <c r="W10" s="979"/>
      <c r="X10" s="979" t="s">
        <v>1232</v>
      </c>
      <c r="Y10" s="979">
        <f>W10*Z10</f>
        <v>0</v>
      </c>
      <c r="Z10" s="989"/>
    </row>
    <row r="11" spans="1:26" s="961" customFormat="1" ht="14.25" customHeight="1" thickBot="1">
      <c r="A11" s="955"/>
      <c r="B11" s="988" t="s">
        <v>522</v>
      </c>
      <c r="C11" s="987"/>
      <c r="D11" s="996">
        <v>1</v>
      </c>
      <c r="E11" s="997">
        <v>10</v>
      </c>
      <c r="F11" s="998">
        <f>D11</f>
        <v>1</v>
      </c>
      <c r="G11" s="998">
        <v>10</v>
      </c>
      <c r="H11" s="998">
        <f t="shared" si="1"/>
        <v>1</v>
      </c>
      <c r="I11" s="999">
        <v>10</v>
      </c>
      <c r="J11" s="996">
        <v>250</v>
      </c>
      <c r="K11" s="997">
        <v>10</v>
      </c>
      <c r="L11" s="998">
        <f>J11</f>
        <v>250</v>
      </c>
      <c r="M11" s="998">
        <v>10</v>
      </c>
      <c r="N11" s="998">
        <f t="shared" si="2"/>
        <v>250</v>
      </c>
      <c r="O11" s="999">
        <v>10</v>
      </c>
      <c r="P11" s="996">
        <v>125</v>
      </c>
      <c r="Q11" s="997">
        <v>10</v>
      </c>
      <c r="R11" s="998">
        <f>P11</f>
        <v>125</v>
      </c>
      <c r="S11" s="998">
        <v>10</v>
      </c>
      <c r="T11" s="998">
        <f t="shared" si="3"/>
        <v>125</v>
      </c>
      <c r="U11" s="1000">
        <v>10</v>
      </c>
      <c r="W11" s="1001" t="s">
        <v>1233</v>
      </c>
      <c r="Y11" s="1001" t="s">
        <v>1233</v>
      </c>
    </row>
    <row r="12" spans="1:26" s="961" customFormat="1" ht="13.5" customHeight="1" thickBot="1">
      <c r="A12" s="955"/>
      <c r="B12" s="999" t="s">
        <v>523</v>
      </c>
      <c r="C12" s="963">
        <f>SUM(D12,J12,P12)</f>
        <v>780</v>
      </c>
      <c r="D12" s="1002">
        <v>120</v>
      </c>
      <c r="E12" s="1003"/>
      <c r="F12" s="1004">
        <f>D48</f>
        <v>-153.04327210261039</v>
      </c>
      <c r="G12" s="1004"/>
      <c r="H12" s="1004">
        <f t="shared" si="1"/>
        <v>120</v>
      </c>
      <c r="I12" s="1005"/>
      <c r="J12" s="1002">
        <v>60</v>
      </c>
      <c r="K12" s="1003"/>
      <c r="L12" s="1004">
        <f>J48</f>
        <v>56.31466772827401</v>
      </c>
      <c r="M12" s="1004"/>
      <c r="N12" s="1004">
        <f t="shared" si="2"/>
        <v>60</v>
      </c>
      <c r="O12" s="1005"/>
      <c r="P12" s="1002">
        <v>600</v>
      </c>
      <c r="Q12" s="1003"/>
      <c r="R12" s="1004">
        <f>P48</f>
        <v>2547.4182030486295</v>
      </c>
      <c r="S12" s="1004"/>
      <c r="T12" s="1004">
        <f t="shared" si="3"/>
        <v>600</v>
      </c>
      <c r="U12" s="1006"/>
      <c r="V12" s="1007">
        <f>D12+J12+P12</f>
        <v>780</v>
      </c>
      <c r="W12" s="1008">
        <f>SUM(W6:W10)</f>
        <v>0</v>
      </c>
      <c r="X12" s="1009">
        <f>W12-V12</f>
        <v>-780</v>
      </c>
      <c r="Y12" s="1008">
        <f>SUM(Y6:Y10)</f>
        <v>0</v>
      </c>
    </row>
    <row r="13" spans="1:26" s="961" customFormat="1" ht="13.5" customHeight="1">
      <c r="A13" s="955"/>
      <c r="B13" s="999" t="s">
        <v>1234</v>
      </c>
      <c r="C13" s="963"/>
      <c r="D13" s="1010">
        <v>0</v>
      </c>
      <c r="E13" s="1011"/>
      <c r="F13" s="1012">
        <f>D13</f>
        <v>0</v>
      </c>
      <c r="G13" s="1011"/>
      <c r="H13" s="1012">
        <f>D13</f>
        <v>0</v>
      </c>
      <c r="I13" s="1011"/>
      <c r="J13" s="1010">
        <v>0</v>
      </c>
      <c r="K13" s="1011"/>
      <c r="L13" s="1012">
        <f>J13</f>
        <v>0</v>
      </c>
      <c r="M13" s="1011"/>
      <c r="N13" s="1012">
        <f>J13</f>
        <v>0</v>
      </c>
      <c r="O13" s="1011"/>
      <c r="P13" s="1010">
        <v>0</v>
      </c>
      <c r="Q13" s="1011"/>
      <c r="R13" s="1012">
        <f>P13</f>
        <v>0</v>
      </c>
      <c r="S13" s="1011"/>
      <c r="T13" s="1012">
        <f>P13</f>
        <v>0</v>
      </c>
      <c r="U13" s="1011"/>
      <c r="V13" s="1013"/>
    </row>
    <row r="14" spans="1:26" s="961" customFormat="1" ht="14.25" customHeight="1">
      <c r="A14" s="955"/>
      <c r="B14" s="1014" t="s">
        <v>524</v>
      </c>
      <c r="C14" s="1015"/>
      <c r="D14" s="1016">
        <f t="shared" ref="D14:R14" si="4">(D4+D5)*D15</f>
        <v>53.16</v>
      </c>
      <c r="E14" s="1017">
        <f t="shared" si="4"/>
        <v>0</v>
      </c>
      <c r="F14" s="1018">
        <f t="shared" si="4"/>
        <v>53.16</v>
      </c>
      <c r="G14" s="1018">
        <f t="shared" si="4"/>
        <v>0</v>
      </c>
      <c r="H14" s="1018">
        <f t="shared" si="4"/>
        <v>11.913850110034536</v>
      </c>
      <c r="I14" s="1019">
        <f t="shared" si="4"/>
        <v>11.913850110034536</v>
      </c>
      <c r="J14" s="1016">
        <f>(J4+J5)*J15</f>
        <v>17.64</v>
      </c>
      <c r="K14" s="1017">
        <f>(K4+K5)*K15</f>
        <v>0</v>
      </c>
      <c r="L14" s="1018">
        <f t="shared" si="4"/>
        <v>17.64</v>
      </c>
      <c r="M14" s="1018">
        <f>(M4+M5)*M15</f>
        <v>0</v>
      </c>
      <c r="N14" s="1018">
        <f>(N4+N5)*N15</f>
        <v>7.7590347628810861</v>
      </c>
      <c r="O14" s="1019">
        <f>(O4+O5)*O15</f>
        <v>7.7590347628810852</v>
      </c>
      <c r="P14" s="1016">
        <f t="shared" si="4"/>
        <v>588</v>
      </c>
      <c r="Q14" s="1017">
        <f>(Q4+Q5)*Q15</f>
        <v>0</v>
      </c>
      <c r="R14" s="1018">
        <f t="shared" si="4"/>
        <v>588</v>
      </c>
      <c r="S14" s="1018">
        <f>(S4+S5)*S15</f>
        <v>0</v>
      </c>
      <c r="T14" s="1018">
        <f>(T4+T5)*T15</f>
        <v>-23.982994921642625</v>
      </c>
      <c r="U14" s="1020">
        <f>(U4+U5)*U15</f>
        <v>-23.982994921642625</v>
      </c>
    </row>
    <row r="15" spans="1:26" s="961" customFormat="1" ht="14.25" customHeight="1">
      <c r="A15" s="955"/>
      <c r="B15" s="1021" t="s">
        <v>525</v>
      </c>
      <c r="C15" s="1015"/>
      <c r="D15" s="1022">
        <v>1.2</v>
      </c>
      <c r="E15" s="1023">
        <f>D15</f>
        <v>1.2</v>
      </c>
      <c r="F15" s="986">
        <f>D15</f>
        <v>1.2</v>
      </c>
      <c r="G15" s="1024">
        <f>D15</f>
        <v>1.2</v>
      </c>
      <c r="H15" s="986">
        <f>D15</f>
        <v>1.2</v>
      </c>
      <c r="I15" s="1023">
        <f>D15</f>
        <v>1.2</v>
      </c>
      <c r="J15" s="1022">
        <v>4.9000000000000004</v>
      </c>
      <c r="K15" s="1023">
        <f>J15</f>
        <v>4.9000000000000004</v>
      </c>
      <c r="L15" s="986">
        <f>J15</f>
        <v>4.9000000000000004</v>
      </c>
      <c r="M15" s="1024">
        <f>J15</f>
        <v>4.9000000000000004</v>
      </c>
      <c r="N15" s="986">
        <f>J15</f>
        <v>4.9000000000000004</v>
      </c>
      <c r="O15" s="1023">
        <f>J15</f>
        <v>4.9000000000000004</v>
      </c>
      <c r="P15" s="1022">
        <v>4.9000000000000004</v>
      </c>
      <c r="Q15" s="1023">
        <f>P15</f>
        <v>4.9000000000000004</v>
      </c>
      <c r="R15" s="986">
        <f>P15</f>
        <v>4.9000000000000004</v>
      </c>
      <c r="S15" s="1024">
        <f>P15</f>
        <v>4.9000000000000004</v>
      </c>
      <c r="T15" s="986">
        <f>P15</f>
        <v>4.9000000000000004</v>
      </c>
      <c r="U15" s="1025">
        <f>P15</f>
        <v>4.9000000000000004</v>
      </c>
    </row>
    <row r="16" spans="1:26" s="961" customFormat="1" ht="14.25" customHeight="1">
      <c r="A16" s="955"/>
      <c r="B16" s="1021" t="s">
        <v>526</v>
      </c>
      <c r="C16" s="982"/>
      <c r="D16" s="1026">
        <v>0.2</v>
      </c>
      <c r="E16" s="1027">
        <f>D16</f>
        <v>0.2</v>
      </c>
      <c r="F16" s="986">
        <f>D16</f>
        <v>0.2</v>
      </c>
      <c r="G16" s="1024">
        <f>D16</f>
        <v>0.2</v>
      </c>
      <c r="H16" s="986">
        <f>D16</f>
        <v>0.2</v>
      </c>
      <c r="I16" s="1028">
        <f>D16</f>
        <v>0.2</v>
      </c>
      <c r="J16" s="1026">
        <v>1.8</v>
      </c>
      <c r="K16" s="1027">
        <f>J16</f>
        <v>1.8</v>
      </c>
      <c r="L16" s="986">
        <f>J16</f>
        <v>1.8</v>
      </c>
      <c r="M16" s="1024">
        <f>J16</f>
        <v>1.8</v>
      </c>
      <c r="N16" s="986">
        <f>J16</f>
        <v>1.8</v>
      </c>
      <c r="O16" s="1028">
        <f>J16</f>
        <v>1.8</v>
      </c>
      <c r="P16" s="1026">
        <v>1.8</v>
      </c>
      <c r="Q16" s="1027">
        <f>P16</f>
        <v>1.8</v>
      </c>
      <c r="R16" s="986">
        <f>P16</f>
        <v>1.8</v>
      </c>
      <c r="S16" s="1024">
        <f>P16</f>
        <v>1.8</v>
      </c>
      <c r="T16" s="986">
        <f>P16</f>
        <v>1.8</v>
      </c>
      <c r="U16" s="1029">
        <f>P16</f>
        <v>1.8</v>
      </c>
    </row>
    <row r="17" spans="1:24" s="961" customFormat="1" ht="14.25" customHeight="1">
      <c r="A17" s="955"/>
      <c r="B17" s="982" t="s">
        <v>1235</v>
      </c>
      <c r="C17" s="982"/>
      <c r="D17" s="1026">
        <v>0</v>
      </c>
      <c r="E17" s="1027"/>
      <c r="F17" s="1215"/>
      <c r="G17" s="1024"/>
      <c r="H17" s="986"/>
      <c r="I17" s="1028"/>
      <c r="J17" s="1026">
        <v>0.4</v>
      </c>
      <c r="K17" s="1027"/>
      <c r="L17" s="986"/>
      <c r="M17" s="1024"/>
      <c r="N17" s="986"/>
      <c r="O17" s="1028"/>
      <c r="P17" s="1026">
        <v>0.4</v>
      </c>
      <c r="Q17" s="1027"/>
      <c r="R17" s="986"/>
      <c r="S17" s="1024"/>
      <c r="T17" s="986"/>
      <c r="U17" s="1029"/>
    </row>
    <row r="18" spans="1:24" s="961" customFormat="1" ht="14.25" customHeight="1">
      <c r="A18" s="955"/>
      <c r="B18" s="1030" t="s">
        <v>527</v>
      </c>
      <c r="C18" s="982"/>
      <c r="D18" s="1031">
        <v>0</v>
      </c>
      <c r="E18" s="1032">
        <f t="shared" ref="E18:E23" si="5">D18</f>
        <v>0</v>
      </c>
      <c r="F18" s="1033">
        <f>D18</f>
        <v>0</v>
      </c>
      <c r="G18" s="1032">
        <f>F18</f>
        <v>0</v>
      </c>
      <c r="H18" s="1033">
        <f>D18</f>
        <v>0</v>
      </c>
      <c r="I18" s="1032">
        <f>H18</f>
        <v>0</v>
      </c>
      <c r="J18" s="1031">
        <v>1</v>
      </c>
      <c r="K18" s="1032">
        <f t="shared" ref="K18:K23" si="6">J18</f>
        <v>1</v>
      </c>
      <c r="L18" s="1033">
        <f>J18</f>
        <v>1</v>
      </c>
      <c r="M18" s="1032">
        <f>L18</f>
        <v>1</v>
      </c>
      <c r="N18" s="1033">
        <f>J18</f>
        <v>1</v>
      </c>
      <c r="O18" s="1032">
        <f>N18</f>
        <v>1</v>
      </c>
      <c r="P18" s="1031">
        <v>1</v>
      </c>
      <c r="Q18" s="1032">
        <f t="shared" ref="Q18:Q23" si="7">P18</f>
        <v>1</v>
      </c>
      <c r="R18" s="1033">
        <f>P18</f>
        <v>1</v>
      </c>
      <c r="S18" s="1032">
        <f>R18</f>
        <v>1</v>
      </c>
      <c r="T18" s="1033">
        <f>P18</f>
        <v>1</v>
      </c>
      <c r="U18" s="1032">
        <f>T18</f>
        <v>1</v>
      </c>
    </row>
    <row r="19" spans="1:24" s="961" customFormat="1" ht="14.25" customHeight="1">
      <c r="A19" s="955"/>
      <c r="B19" s="1030" t="s">
        <v>1265</v>
      </c>
      <c r="C19" s="982"/>
      <c r="D19" s="1257">
        <v>17</v>
      </c>
      <c r="E19" s="1258">
        <f t="shared" si="5"/>
        <v>17</v>
      </c>
      <c r="F19" s="1259">
        <f>D19</f>
        <v>17</v>
      </c>
      <c r="G19" s="1258">
        <f>F19</f>
        <v>17</v>
      </c>
      <c r="H19" s="1259">
        <f>D19</f>
        <v>17</v>
      </c>
      <c r="I19" s="1258">
        <f>H19</f>
        <v>17</v>
      </c>
      <c r="J19" s="1257">
        <v>10</v>
      </c>
      <c r="K19" s="1258">
        <f t="shared" si="6"/>
        <v>10</v>
      </c>
      <c r="L19" s="1259">
        <f>J19</f>
        <v>10</v>
      </c>
      <c r="M19" s="1258">
        <f>L19</f>
        <v>10</v>
      </c>
      <c r="N19" s="1259">
        <f>J19</f>
        <v>10</v>
      </c>
      <c r="O19" s="1258">
        <f>N19</f>
        <v>10</v>
      </c>
      <c r="P19" s="1257">
        <f>D19</f>
        <v>17</v>
      </c>
      <c r="Q19" s="1258">
        <f t="shared" si="7"/>
        <v>17</v>
      </c>
      <c r="R19" s="1259">
        <f>P19</f>
        <v>17</v>
      </c>
      <c r="S19" s="1258">
        <f>R19</f>
        <v>17</v>
      </c>
      <c r="T19" s="1259">
        <f>P19</f>
        <v>17</v>
      </c>
      <c r="U19" s="1034"/>
      <c r="W19" s="961">
        <f>90+44+7.5</f>
        <v>141.5</v>
      </c>
    </row>
    <row r="20" spans="1:24" s="961" customFormat="1" ht="14.25" customHeight="1">
      <c r="A20" s="955"/>
      <c r="B20" s="1021" t="s">
        <v>528</v>
      </c>
      <c r="C20" s="982"/>
      <c r="D20" s="1026">
        <v>325</v>
      </c>
      <c r="E20" s="1027">
        <f t="shared" si="5"/>
        <v>325</v>
      </c>
      <c r="F20" s="1035"/>
      <c r="G20" s="1036"/>
      <c r="H20" s="1035"/>
      <c r="I20" s="1028">
        <f>D20</f>
        <v>325</v>
      </c>
      <c r="J20" s="1026">
        <v>16</v>
      </c>
      <c r="K20" s="1027">
        <f t="shared" si="6"/>
        <v>16</v>
      </c>
      <c r="L20" s="1035"/>
      <c r="M20" s="1036"/>
      <c r="N20" s="1035"/>
      <c r="O20" s="1028">
        <f>J20</f>
        <v>16</v>
      </c>
      <c r="P20" s="1026"/>
      <c r="Q20" s="1027">
        <f t="shared" si="7"/>
        <v>0</v>
      </c>
      <c r="R20" s="1035"/>
      <c r="S20" s="1036"/>
      <c r="T20" s="1035"/>
      <c r="U20" s="1029">
        <f>P20</f>
        <v>0</v>
      </c>
    </row>
    <row r="21" spans="1:24" s="961" customFormat="1" ht="14.25" customHeight="1">
      <c r="A21" s="955"/>
      <c r="B21" s="1030" t="s">
        <v>1236</v>
      </c>
      <c r="C21" s="982"/>
      <c r="D21" s="994">
        <v>11</v>
      </c>
      <c r="E21" s="1023">
        <f t="shared" si="5"/>
        <v>11</v>
      </c>
      <c r="F21" s="986">
        <f>D21</f>
        <v>11</v>
      </c>
      <c r="G21" s="1023">
        <f>D21</f>
        <v>11</v>
      </c>
      <c r="H21" s="1037">
        <f>D21</f>
        <v>11</v>
      </c>
      <c r="I21" s="1023"/>
      <c r="J21" s="994">
        <v>14</v>
      </c>
      <c r="K21" s="1023">
        <f t="shared" si="6"/>
        <v>14</v>
      </c>
      <c r="L21" s="986">
        <f>J21</f>
        <v>14</v>
      </c>
      <c r="M21" s="1023">
        <f>J21</f>
        <v>14</v>
      </c>
      <c r="N21" s="1037">
        <f>J21</f>
        <v>14</v>
      </c>
      <c r="O21" s="1023"/>
      <c r="P21" s="994">
        <v>14</v>
      </c>
      <c r="Q21" s="1023">
        <f t="shared" si="7"/>
        <v>14</v>
      </c>
      <c r="R21" s="986">
        <f>P21</f>
        <v>14</v>
      </c>
      <c r="S21" s="1023">
        <f>P21</f>
        <v>14</v>
      </c>
      <c r="T21" s="1037">
        <f>P21</f>
        <v>14</v>
      </c>
      <c r="U21" s="1025"/>
    </row>
    <row r="22" spans="1:24" s="961" customFormat="1" ht="14.25" customHeight="1">
      <c r="A22" s="955"/>
      <c r="B22" s="1038" t="s">
        <v>534</v>
      </c>
      <c r="C22" s="982"/>
      <c r="D22" s="994">
        <v>11</v>
      </c>
      <c r="E22" s="1023">
        <f t="shared" si="5"/>
        <v>11</v>
      </c>
      <c r="F22" s="986">
        <f>D22</f>
        <v>11</v>
      </c>
      <c r="G22" s="1023">
        <f>D22</f>
        <v>11</v>
      </c>
      <c r="H22" s="986">
        <f>D22</f>
        <v>11</v>
      </c>
      <c r="I22" s="1023">
        <f>D22</f>
        <v>11</v>
      </c>
      <c r="J22" s="994">
        <v>3</v>
      </c>
      <c r="K22" s="1023">
        <f t="shared" si="6"/>
        <v>3</v>
      </c>
      <c r="L22" s="986">
        <f>J22</f>
        <v>3</v>
      </c>
      <c r="M22" s="1023">
        <f>J22</f>
        <v>3</v>
      </c>
      <c r="N22" s="986">
        <f>J22</f>
        <v>3</v>
      </c>
      <c r="O22" s="1023">
        <f>J22</f>
        <v>3</v>
      </c>
      <c r="P22" s="994">
        <v>3</v>
      </c>
      <c r="Q22" s="1023">
        <f t="shared" si="7"/>
        <v>3</v>
      </c>
      <c r="R22" s="986">
        <f>P22</f>
        <v>3</v>
      </c>
      <c r="S22" s="1023">
        <f>P22</f>
        <v>3</v>
      </c>
      <c r="T22" s="986">
        <f>P22</f>
        <v>3</v>
      </c>
      <c r="U22" s="1025">
        <f>P22</f>
        <v>3</v>
      </c>
    </row>
    <row r="23" spans="1:24" s="961" customFormat="1" ht="14.25" customHeight="1" thickBot="1">
      <c r="A23" s="955"/>
      <c r="B23" s="1021" t="s">
        <v>535</v>
      </c>
      <c r="C23" s="982"/>
      <c r="D23" s="994"/>
      <c r="E23" s="1023">
        <f t="shared" si="5"/>
        <v>0</v>
      </c>
      <c r="F23" s="986">
        <f>D23</f>
        <v>0</v>
      </c>
      <c r="G23" s="1023">
        <f>D23</f>
        <v>0</v>
      </c>
      <c r="H23" s="986">
        <f>D23</f>
        <v>0</v>
      </c>
      <c r="I23" s="1023">
        <f>D23</f>
        <v>0</v>
      </c>
      <c r="J23" s="994"/>
      <c r="K23" s="1023">
        <f t="shared" si="6"/>
        <v>0</v>
      </c>
      <c r="L23" s="986">
        <f>J23</f>
        <v>0</v>
      </c>
      <c r="M23" s="1023">
        <f>J23</f>
        <v>0</v>
      </c>
      <c r="N23" s="986">
        <f>J23</f>
        <v>0</v>
      </c>
      <c r="O23" s="1023">
        <f>J23</f>
        <v>0</v>
      </c>
      <c r="P23" s="994"/>
      <c r="Q23" s="1023">
        <f t="shared" si="7"/>
        <v>0</v>
      </c>
      <c r="R23" s="986">
        <f>P23</f>
        <v>0</v>
      </c>
      <c r="S23" s="1023">
        <f>P23</f>
        <v>0</v>
      </c>
      <c r="T23" s="986">
        <f>P23</f>
        <v>0</v>
      </c>
      <c r="U23" s="1025">
        <f>P23</f>
        <v>0</v>
      </c>
    </row>
    <row r="24" spans="1:24" s="961" customFormat="1" ht="14.25" customHeight="1" thickBot="1">
      <c r="A24" s="955"/>
      <c r="B24" s="1021" t="s">
        <v>536</v>
      </c>
      <c r="C24" s="982"/>
      <c r="D24" s="996">
        <v>1.8599999999999998E-2</v>
      </c>
      <c r="E24" s="997"/>
      <c r="F24" s="1039">
        <f>$D$24</f>
        <v>1.8599999999999998E-2</v>
      </c>
      <c r="G24" s="1039"/>
      <c r="H24" s="1039">
        <f>$D$24</f>
        <v>1.8599999999999998E-2</v>
      </c>
      <c r="I24" s="999"/>
      <c r="J24" s="996">
        <v>1.1299999999999999E-2</v>
      </c>
      <c r="K24" s="997"/>
      <c r="L24" s="1039">
        <f>$D$24</f>
        <v>1.8599999999999998E-2</v>
      </c>
      <c r="M24" s="1039"/>
      <c r="N24" s="1039">
        <f>$D$24</f>
        <v>1.8599999999999998E-2</v>
      </c>
      <c r="O24" s="999"/>
      <c r="P24" s="1216">
        <f>D24</f>
        <v>1.8599999999999998E-2</v>
      </c>
      <c r="Q24" s="997"/>
      <c r="R24" s="1039">
        <f>$D$24</f>
        <v>1.8599999999999998E-2</v>
      </c>
      <c r="S24" s="1039"/>
      <c r="T24" s="1039">
        <f>$D$24</f>
        <v>1.8599999999999998E-2</v>
      </c>
      <c r="U24" s="1000"/>
      <c r="V24" s="1040" t="s">
        <v>1237</v>
      </c>
      <c r="W24" s="1041"/>
    </row>
    <row r="25" spans="1:24" s="961" customFormat="1" ht="14.25" customHeight="1" thickBot="1">
      <c r="A25" s="955"/>
      <c r="B25" s="1021" t="s">
        <v>537</v>
      </c>
      <c r="C25" s="982"/>
      <c r="D25" s="1042">
        <v>27</v>
      </c>
      <c r="E25" s="997"/>
      <c r="F25" s="1043">
        <f>$D$25</f>
        <v>27</v>
      </c>
      <c r="G25" s="1039"/>
      <c r="H25" s="1043">
        <f>$D$25</f>
        <v>27</v>
      </c>
      <c r="I25" s="999"/>
      <c r="J25" s="1042">
        <v>21</v>
      </c>
      <c r="K25" s="997"/>
      <c r="L25" s="1043">
        <f>$D$25</f>
        <v>27</v>
      </c>
      <c r="M25" s="1039"/>
      <c r="N25" s="1043">
        <f>$D$25</f>
        <v>27</v>
      </c>
      <c r="O25" s="999"/>
      <c r="P25" s="1217">
        <f>D25</f>
        <v>27</v>
      </c>
      <c r="Q25" s="997"/>
      <c r="R25" s="1043">
        <f>$D$25</f>
        <v>27</v>
      </c>
      <c r="S25" s="1039"/>
      <c r="T25" s="1043">
        <f>$D$25</f>
        <v>27</v>
      </c>
      <c r="U25" s="1000"/>
      <c r="W25" s="1044" t="s">
        <v>1233</v>
      </c>
    </row>
    <row r="26" spans="1:24" s="961" customFormat="1" ht="14.25" customHeight="1" thickBot="1">
      <c r="A26" s="955"/>
      <c r="B26" s="1038" t="s">
        <v>538</v>
      </c>
      <c r="C26" s="1030"/>
      <c r="D26" s="1045">
        <v>97</v>
      </c>
      <c r="E26" s="997">
        <f>D26</f>
        <v>97</v>
      </c>
      <c r="F26" s="1039"/>
      <c r="G26" s="1039">
        <f>D26</f>
        <v>97</v>
      </c>
      <c r="H26" s="1039"/>
      <c r="I26" s="999">
        <f>D26</f>
        <v>97</v>
      </c>
      <c r="J26" s="1045">
        <v>87.5</v>
      </c>
      <c r="K26" s="997">
        <f>J26</f>
        <v>87.5</v>
      </c>
      <c r="L26" s="1039"/>
      <c r="M26" s="1039">
        <f>J26</f>
        <v>87.5</v>
      </c>
      <c r="N26" s="1039"/>
      <c r="O26" s="999">
        <f>J26</f>
        <v>87.5</v>
      </c>
      <c r="P26" s="1218">
        <f>D26</f>
        <v>97</v>
      </c>
      <c r="Q26" s="997">
        <f>P26</f>
        <v>97</v>
      </c>
      <c r="R26" s="1039"/>
      <c r="S26" s="1039">
        <f>P26</f>
        <v>97</v>
      </c>
      <c r="T26" s="1039"/>
      <c r="U26" s="1000">
        <f>P26</f>
        <v>97</v>
      </c>
      <c r="V26" s="1007">
        <f>D52+D40+J52+P52</f>
        <v>1668.0526767243764</v>
      </c>
      <c r="W26" s="1046">
        <v>120</v>
      </c>
      <c r="X26" s="1009">
        <f>W26-V41</f>
        <v>8.4355709876543301</v>
      </c>
    </row>
    <row r="27" spans="1:24" s="961" customFormat="1" ht="14.25" customHeight="1">
      <c r="A27" s="955"/>
      <c r="B27" s="1021" t="s">
        <v>1238</v>
      </c>
      <c r="C27" s="1030"/>
      <c r="D27" s="1045">
        <v>0.4</v>
      </c>
      <c r="E27" s="997"/>
      <c r="F27" s="986">
        <f>D27</f>
        <v>0.4</v>
      </c>
      <c r="G27" s="1023">
        <f>D27</f>
        <v>0.4</v>
      </c>
      <c r="H27" s="986">
        <f>D27</f>
        <v>0.4</v>
      </c>
      <c r="I27" s="999"/>
      <c r="J27" s="1045">
        <v>0.4</v>
      </c>
      <c r="K27" s="997"/>
      <c r="L27" s="986">
        <f>J27</f>
        <v>0.4</v>
      </c>
      <c r="M27" s="1023">
        <f>J27</f>
        <v>0.4</v>
      </c>
      <c r="N27" s="986">
        <f>J27</f>
        <v>0.4</v>
      </c>
      <c r="O27" s="999"/>
      <c r="P27" s="1045">
        <v>0.4</v>
      </c>
      <c r="Q27" s="997"/>
      <c r="R27" s="986">
        <f>P27</f>
        <v>0.4</v>
      </c>
      <c r="S27" s="1023">
        <f>P27</f>
        <v>0.4</v>
      </c>
      <c r="T27" s="986">
        <f>P27</f>
        <v>0.4</v>
      </c>
      <c r="U27" s="1000"/>
    </row>
    <row r="28" spans="1:24" s="961" customFormat="1" ht="14.25" customHeight="1">
      <c r="A28" s="955"/>
      <c r="B28" s="1038" t="s">
        <v>204</v>
      </c>
      <c r="C28" s="1030"/>
      <c r="D28" s="1047">
        <v>1.3</v>
      </c>
      <c r="E28" s="997"/>
      <c r="F28" s="1048">
        <f>D28</f>
        <v>1.3</v>
      </c>
      <c r="G28" s="1023"/>
      <c r="H28" s="1048">
        <f>D28</f>
        <v>1.3</v>
      </c>
      <c r="I28" s="999"/>
      <c r="J28" s="1047">
        <v>1.3</v>
      </c>
      <c r="K28" s="997"/>
      <c r="L28" s="1048">
        <f>J28</f>
        <v>1.3</v>
      </c>
      <c r="M28" s="1023"/>
      <c r="N28" s="1048">
        <f>J28</f>
        <v>1.3</v>
      </c>
      <c r="O28" s="999"/>
      <c r="P28" s="1047">
        <v>1.3</v>
      </c>
      <c r="Q28" s="997"/>
      <c r="R28" s="1048">
        <f>P28</f>
        <v>1.3</v>
      </c>
      <c r="S28" s="1023"/>
      <c r="T28" s="1048">
        <f>P28</f>
        <v>1.3</v>
      </c>
      <c r="U28" s="999"/>
    </row>
    <row r="29" spans="1:24" s="961" customFormat="1" ht="14.25" customHeight="1" thickBot="1">
      <c r="A29" s="955"/>
      <c r="B29" s="1049" t="s">
        <v>539</v>
      </c>
      <c r="C29" s="1050"/>
      <c r="D29" s="1051">
        <v>27.5</v>
      </c>
      <c r="E29" s="1052">
        <f>D29</f>
        <v>27.5</v>
      </c>
      <c r="F29" s="1053">
        <f>D29</f>
        <v>27.5</v>
      </c>
      <c r="G29" s="1053">
        <f>D29</f>
        <v>27.5</v>
      </c>
      <c r="H29" s="1053">
        <f>D29</f>
        <v>27.5</v>
      </c>
      <c r="I29" s="1054">
        <f>D29</f>
        <v>27.5</v>
      </c>
      <c r="J29" s="1051">
        <v>28.5</v>
      </c>
      <c r="K29" s="1052">
        <f>J29</f>
        <v>28.5</v>
      </c>
      <c r="L29" s="1053">
        <f>J29</f>
        <v>28.5</v>
      </c>
      <c r="M29" s="1053">
        <f>J29</f>
        <v>28.5</v>
      </c>
      <c r="N29" s="1053">
        <f>J29</f>
        <v>28.5</v>
      </c>
      <c r="O29" s="1054">
        <f>J29</f>
        <v>28.5</v>
      </c>
      <c r="P29" s="1051">
        <v>28.5</v>
      </c>
      <c r="Q29" s="1052">
        <f>P29</f>
        <v>28.5</v>
      </c>
      <c r="R29" s="1053">
        <f>P29</f>
        <v>28.5</v>
      </c>
      <c r="S29" s="1053">
        <f>P29</f>
        <v>28.5</v>
      </c>
      <c r="T29" s="1053">
        <f>P29</f>
        <v>28.5</v>
      </c>
      <c r="U29" s="1055">
        <f>P29</f>
        <v>28.5</v>
      </c>
    </row>
    <row r="30" spans="1:24" s="961" customFormat="1" ht="20.25" customHeight="1" thickBot="1">
      <c r="A30" s="955"/>
      <c r="B30" s="954" t="s">
        <v>540</v>
      </c>
      <c r="C30" s="1056"/>
      <c r="D30" s="1057"/>
      <c r="E30" s="1058"/>
      <c r="F30" s="1023"/>
      <c r="G30" s="1058"/>
      <c r="H30" s="1023"/>
      <c r="I30" s="1058"/>
      <c r="J30" s="1057"/>
      <c r="K30" s="1058"/>
      <c r="L30" s="1023"/>
      <c r="M30" s="1058"/>
      <c r="N30" s="1023"/>
      <c r="O30" s="1058"/>
      <c r="P30" s="1057"/>
      <c r="Q30" s="1058"/>
      <c r="R30" s="1023"/>
      <c r="S30" s="1058"/>
      <c r="T30" s="1023"/>
      <c r="U30" s="1058"/>
    </row>
    <row r="31" spans="1:24" s="961" customFormat="1" ht="15.75" thickBot="1">
      <c r="A31" s="955"/>
      <c r="B31" s="1059" t="s">
        <v>541</v>
      </c>
      <c r="C31" s="1059"/>
      <c r="D31" s="958"/>
      <c r="E31" s="1060"/>
      <c r="F31" s="958"/>
      <c r="G31" s="1060"/>
      <c r="H31" s="958"/>
      <c r="I31" s="1060"/>
      <c r="J31" s="958"/>
      <c r="K31" s="1060"/>
      <c r="L31" s="958"/>
      <c r="M31" s="1060"/>
      <c r="N31" s="958"/>
      <c r="O31" s="1060"/>
      <c r="P31" s="958"/>
      <c r="Q31" s="1060"/>
      <c r="R31" s="958"/>
      <c r="S31" s="1060"/>
      <c r="T31" s="958"/>
      <c r="U31" s="1060"/>
    </row>
    <row r="32" spans="1:24" s="961" customFormat="1" ht="14.25" customHeight="1">
      <c r="A32" s="955"/>
      <c r="B32" s="1061" t="s">
        <v>542</v>
      </c>
      <c r="C32" s="962"/>
      <c r="D32" s="1062">
        <f>(((D8-1000)*((2.3*D35)-59.5)/2500)+((6.833*D35)-178))</f>
        <v>222.54605219999996</v>
      </c>
      <c r="E32" s="1027"/>
      <c r="F32" s="1062">
        <f>(((F8-1000)*((2.3*F35)-59.5)/2500)+((6.833*F35)-178))</f>
        <v>222.54605219999996</v>
      </c>
      <c r="G32" s="1027"/>
      <c r="H32" s="1062">
        <f>(((H8-1000)*((2.3*H35)-59.5)/2500)+((6.833*H35)-178))</f>
        <v>222.54605219999996</v>
      </c>
      <c r="I32" s="1027"/>
      <c r="J32" s="1062">
        <f>(((J8-1000)*((2.3*J35)-59.5)/2500)+((6.833*J35)-178))</f>
        <v>255.90444609600002</v>
      </c>
      <c r="K32" s="1027"/>
      <c r="L32" s="1062">
        <f>(((L8-1000)*((2.3*L35)-59.5)/2500)+((6.833*L35)-178))</f>
        <v>450.16905251199989</v>
      </c>
      <c r="M32" s="1027"/>
      <c r="N32" s="1062">
        <f>(((N8-1000)*((2.3*N35)-59.5)/2500)+((6.833*N35)-178))</f>
        <v>450.16905251199989</v>
      </c>
      <c r="O32" s="1027"/>
      <c r="P32" s="1062">
        <f>(((P8-1000)*((2.3*P35)-59.5)/2500)+((6.833*P35)-178))</f>
        <v>480.90178000000003</v>
      </c>
      <c r="Q32" s="1027"/>
      <c r="R32" s="1062">
        <f>(((R8-1000)*((2.3*R35)-59.5)/2500)+((6.833*R35)-178))</f>
        <v>480.90178000000003</v>
      </c>
      <c r="S32" s="1027"/>
      <c r="T32" s="1062">
        <f>(((T8-1000)*((2.3*T35)-59.5)/2500)+((6.833*T35)-178))</f>
        <v>480.90178000000003</v>
      </c>
      <c r="U32" s="1027"/>
    </row>
    <row r="33" spans="1:23" s="961" customFormat="1" ht="14.25" customHeight="1">
      <c r="A33" s="955"/>
      <c r="B33" s="1063" t="s">
        <v>543</v>
      </c>
      <c r="C33" s="982"/>
      <c r="D33" s="1064">
        <f>(-4*D29+120)/100</f>
        <v>0.1</v>
      </c>
      <c r="E33" s="1027"/>
      <c r="F33" s="1064">
        <f>(-4*F29+120)/100</f>
        <v>0.1</v>
      </c>
      <c r="G33" s="1027"/>
      <c r="H33" s="1064">
        <f>(-4*H29+120)/100</f>
        <v>0.1</v>
      </c>
      <c r="I33" s="1027"/>
      <c r="J33" s="1064">
        <f>(-4*J29+120)/100</f>
        <v>0.06</v>
      </c>
      <c r="K33" s="1027"/>
      <c r="L33" s="1064">
        <f>(-4*L29+120)/100</f>
        <v>0.06</v>
      </c>
      <c r="M33" s="1027"/>
      <c r="N33" s="1064">
        <f>(-4*N29+120)/100</f>
        <v>0.06</v>
      </c>
      <c r="O33" s="1027"/>
      <c r="P33" s="1064">
        <f>(-4*P29+120)/100</f>
        <v>0.06</v>
      </c>
      <c r="Q33" s="1027"/>
      <c r="R33" s="1064">
        <f>(-4*R29+120)/100</f>
        <v>0.06</v>
      </c>
      <c r="S33" s="1027"/>
      <c r="T33" s="1064">
        <f>(-4*T29+120)/100</f>
        <v>0.06</v>
      </c>
      <c r="U33" s="1027"/>
    </row>
    <row r="34" spans="1:23" s="961" customFormat="1" ht="14.25" customHeight="1">
      <c r="A34" s="955"/>
      <c r="B34" s="1065" t="s">
        <v>544</v>
      </c>
      <c r="C34" s="982"/>
      <c r="D34" s="1066">
        <f>D32+D32*D33</f>
        <v>244.80065741999996</v>
      </c>
      <c r="E34" s="1027"/>
      <c r="F34" s="1066">
        <f>F32+F32*F33</f>
        <v>244.80065741999996</v>
      </c>
      <c r="G34" s="1027"/>
      <c r="H34" s="1066">
        <f>H32+H32*H33</f>
        <v>244.80065741999996</v>
      </c>
      <c r="I34" s="1027"/>
      <c r="J34" s="1066">
        <f>J32+J32*J33</f>
        <v>271.25871286175999</v>
      </c>
      <c r="K34" s="1027"/>
      <c r="L34" s="1066">
        <f>L32+L32*L33</f>
        <v>477.17919566271991</v>
      </c>
      <c r="M34" s="1027"/>
      <c r="N34" s="1066">
        <f>N32+N32*N33</f>
        <v>477.17919566271991</v>
      </c>
      <c r="O34" s="1027"/>
      <c r="P34" s="1066">
        <f>P32+P32*P33</f>
        <v>509.75588680000004</v>
      </c>
      <c r="Q34" s="1027"/>
      <c r="R34" s="1066">
        <f>R32+R32*R33</f>
        <v>509.75588680000004</v>
      </c>
      <c r="S34" s="1027"/>
      <c r="T34" s="1066">
        <f>T32+T32*T33</f>
        <v>509.75588680000004</v>
      </c>
      <c r="U34" s="1027"/>
    </row>
    <row r="35" spans="1:23" s="961" customFormat="1" ht="14.25" customHeight="1">
      <c r="A35" s="955"/>
      <c r="B35" s="1067" t="s">
        <v>545</v>
      </c>
      <c r="C35" s="982"/>
      <c r="D35" s="1068">
        <f>21+(D24*D7)</f>
        <v>51.671399999999998</v>
      </c>
      <c r="E35" s="1027"/>
      <c r="F35" s="1068">
        <f>21+(F24*F7)</f>
        <v>51.671399999999998</v>
      </c>
      <c r="G35" s="1027"/>
      <c r="H35" s="1068">
        <f>21+(H24*H7)</f>
        <v>51.671399999999998</v>
      </c>
      <c r="I35" s="1027"/>
      <c r="J35" s="1068">
        <f>21+(J24*J7)</f>
        <v>54.606200000000001</v>
      </c>
      <c r="K35" s="1027"/>
      <c r="L35" s="1068">
        <f>21+(L24*L7)</f>
        <v>76.316399999999987</v>
      </c>
      <c r="M35" s="1027"/>
      <c r="N35" s="1068">
        <f>21+(N24*N7)</f>
        <v>76.316399999999987</v>
      </c>
      <c r="O35" s="1027"/>
      <c r="P35" s="1068">
        <f>21+(P24*P7)</f>
        <v>78.66</v>
      </c>
      <c r="Q35" s="1027"/>
      <c r="R35" s="1068">
        <f>21+(R24*R7)</f>
        <v>78.66</v>
      </c>
      <c r="S35" s="1027"/>
      <c r="T35" s="1068">
        <f>21+(T24*T7)</f>
        <v>78.66</v>
      </c>
      <c r="U35" s="1027"/>
    </row>
    <row r="36" spans="1:23" s="961" customFormat="1" ht="14.25" customHeight="1">
      <c r="A36" s="955"/>
      <c r="B36" s="1067" t="s">
        <v>1239</v>
      </c>
      <c r="C36" s="982"/>
      <c r="D36" s="1068">
        <f>(((+D6*1000*12/365/24/3600*D27*1000))*4.187*(D35-D29))</f>
        <v>682.40644973211568</v>
      </c>
      <c r="E36" s="1027"/>
      <c r="F36" s="1068">
        <f>(((+F6*1000*12/365/24/3600*F27*1000))*4.187*(F35-F29))</f>
        <v>682.40644973211568</v>
      </c>
      <c r="G36" s="1027"/>
      <c r="H36" s="1068">
        <f>(((+H6*1000*12/365/24/3600*H27*1000))*4.187*(H35-H29))</f>
        <v>152.93619556488417</v>
      </c>
      <c r="I36" s="1027"/>
      <c r="J36" s="1068">
        <f>(((+J6*1000*12/365/24/3600*J27*1000))*4.187*(J35-J29))</f>
        <v>59.894059945205498</v>
      </c>
      <c r="K36" s="1027"/>
      <c r="L36" s="1068">
        <f>(((+L6*1000*12/365/24/3600*L27*1000))*4.187*(L35-L29))</f>
        <v>109.70261194520548</v>
      </c>
      <c r="M36" s="1027"/>
      <c r="N36" s="1068">
        <f>(((+N6*1000*12/365/24/3600*N27*1000))*4.187*(N35-N29))</f>
        <v>48.253196125946893</v>
      </c>
      <c r="O36" s="1027"/>
      <c r="P36" s="1068">
        <f>(((+P6*1000*12/365/24/3600*P27*1000))*4.187*(P35-P29))</f>
        <v>3835.9802739726028</v>
      </c>
      <c r="Q36" s="1027"/>
      <c r="R36" s="1068">
        <f>(((+R6*1000*12/365/24/3600*R27*1000))*4.187*(R35-R29))</f>
        <v>3835.9802739726028</v>
      </c>
      <c r="S36" s="1027"/>
      <c r="T36" s="1068">
        <f>(((+T6*1000*12/365/24/3600*T27*1000))*4.187*(T35-T29))</f>
        <v>-156.45968610579288</v>
      </c>
      <c r="U36" s="1027"/>
    </row>
    <row r="37" spans="1:23" s="961" customFormat="1" ht="14.25" customHeight="1" thickBot="1">
      <c r="A37" s="955" t="s">
        <v>1240</v>
      </c>
      <c r="B37" s="1069" t="s">
        <v>1241</v>
      </c>
      <c r="C37" s="1070">
        <f>SUM(D37,J37,P37)</f>
        <v>96825.987689658272</v>
      </c>
      <c r="D37" s="1066">
        <f>(D4+D5)*(D34+D9+D10+D11)+D36</f>
        <v>11792.875573438114</v>
      </c>
      <c r="E37" s="1027">
        <f>E39-(D19-18)*(E38-E39)/13</f>
        <v>15.961546153846157</v>
      </c>
      <c r="F37" s="1066">
        <f>(F4+F5)*(F34+F9+F10+F11)+F36</f>
        <v>11792.875573438114</v>
      </c>
      <c r="G37" s="1027">
        <f>G39-(F19-18)*(G38-G39)/13</f>
        <v>15.961546153846157</v>
      </c>
      <c r="H37" s="1066">
        <f>(H4+H5)*(H34+H9+H10+H11)+H36</f>
        <v>2642.9373955648848</v>
      </c>
      <c r="I37" s="1027">
        <f>I39-(H19-18)*(I38-I39)/13</f>
        <v>15.961546153846157</v>
      </c>
      <c r="J37" s="1066">
        <f>(J4+J5)*(J34+J9+J10+J11)+J36</f>
        <v>2026.4254262475413</v>
      </c>
      <c r="K37" s="1027">
        <f>K39-(J19-18)*(K38-K39)/13</f>
        <v>15.048620512820513</v>
      </c>
      <c r="L37" s="1066">
        <f>(L4+L5)*(L34+L9+L10+L11)+L36</f>
        <v>2817.547716330997</v>
      </c>
      <c r="M37" s="1027">
        <f>M39-(L19-18)*(M38-M39)/13</f>
        <v>15.048620512820513</v>
      </c>
      <c r="N37" s="1066">
        <f>(N4+N5)*(N34+N9+N10+N11)+N36</f>
        <v>1239.3112628734934</v>
      </c>
      <c r="O37" s="1027">
        <f>O39-(N19-18)*(O38-O39)/13</f>
        <v>15.048620512820513</v>
      </c>
      <c r="P37" s="1066">
        <f>(P4+P5)*(P34+P9+P10+P11)+P36</f>
        <v>83006.686689972616</v>
      </c>
      <c r="Q37" s="1027">
        <f>Q39-(P19-18)*(Q38-Q39)/13</f>
        <v>-4.0715384615384629</v>
      </c>
      <c r="R37" s="1066">
        <f>(R4+R5)*(R34+R9+R10+R11)+R36</f>
        <v>83006.686689972616</v>
      </c>
      <c r="S37" s="1027">
        <f>S39-(R19-18)*(S38-S39)/13</f>
        <v>-4.0715384615384629</v>
      </c>
      <c r="T37" s="1066">
        <f>(T4+T5)*(T34+T9+T10+T11)+T36</f>
        <v>-3385.6274580748191</v>
      </c>
      <c r="U37" s="1027">
        <f>U39-(T19-18)*(U38-U39)/13</f>
        <v>-4.0715384615384629</v>
      </c>
    </row>
    <row r="38" spans="1:23" s="961" customFormat="1" ht="14.25" customHeight="1" thickBot="1">
      <c r="A38" s="955" t="s">
        <v>347</v>
      </c>
      <c r="B38" s="1071" t="s">
        <v>546</v>
      </c>
      <c r="C38" s="1072">
        <f>SUM(D38,J38,P38)</f>
        <v>1014</v>
      </c>
      <c r="D38" s="1073">
        <f>D12*E48</f>
        <v>156</v>
      </c>
      <c r="E38" s="1074">
        <f>(D29-26)*(-0.0004*D7+11.8)/3-0.0193*D7+75.7</f>
        <v>49.444500000000005</v>
      </c>
      <c r="F38" s="1073">
        <f>F12*G48</f>
        <v>-198.95625373339351</v>
      </c>
      <c r="G38" s="1074">
        <f>(F29-26)*(-0.0004*F7+11.8)/3-0.0193*F7+75.7</f>
        <v>49.444500000000005</v>
      </c>
      <c r="H38" s="1073">
        <f>H12*I48</f>
        <v>156</v>
      </c>
      <c r="I38" s="1074">
        <f>(H29-26)*(-0.0004*H7+11.8)/3-0.0193*H7+75.7</f>
        <v>49.444500000000005</v>
      </c>
      <c r="J38" s="1073">
        <f>J12*K48</f>
        <v>78</v>
      </c>
      <c r="K38" s="1074">
        <f>(J29-26)*(-0.0004*J7+11.8)/3-0.0193*J7+75.7</f>
        <v>27.143799999999999</v>
      </c>
      <c r="L38" s="1073">
        <f>L12*M48</f>
        <v>73.209068046756215</v>
      </c>
      <c r="M38" s="1074">
        <f>(L29-26)*(-0.0004*L7+11.8)/3-0.0193*L7+75.7</f>
        <v>27.143799999999999</v>
      </c>
      <c r="N38" s="1073">
        <f>N12*O48</f>
        <v>78</v>
      </c>
      <c r="O38" s="1074">
        <f>(N29-26)*(-0.0004*N7+11.8)/3-0.0193*N7+75.7</f>
        <v>27.143799999999999</v>
      </c>
      <c r="P38" s="1073">
        <f>P12*Q48</f>
        <v>780</v>
      </c>
      <c r="Q38" s="1074">
        <f>(P29-26)*(-0.0004*P7+11.8)/3-0.0193*P7+75.7</f>
        <v>24.67</v>
      </c>
      <c r="R38" s="1073">
        <f>R12*S48</f>
        <v>3311.6436639632184</v>
      </c>
      <c r="S38" s="1074">
        <f>(R29-26)*(-0.0004*R7+11.8)/3-0.0193*R7+75.7</f>
        <v>24.67</v>
      </c>
      <c r="T38" s="1073">
        <f>T12*U48</f>
        <v>780</v>
      </c>
      <c r="U38" s="1074">
        <f>(T29-26)*(-0.0004*T7+11.8)/3-0.0193*T7+75.7</f>
        <v>24.67</v>
      </c>
      <c r="V38" s="1075">
        <f>D38+J38+P38</f>
        <v>1014</v>
      </c>
    </row>
    <row r="39" spans="1:23" s="961" customFormat="1" ht="14.25" customHeight="1" thickBot="1">
      <c r="A39" s="955" t="s">
        <v>215</v>
      </c>
      <c r="B39" s="1076" t="s">
        <v>547</v>
      </c>
      <c r="C39" s="1070">
        <f>SUM(D39,J39,P39)</f>
        <v>487.99359999999979</v>
      </c>
      <c r="D39" s="1066">
        <f>(D38*E37)</f>
        <v>2490.0012000000006</v>
      </c>
      <c r="E39" s="1074">
        <f>(D29-26)*(-0.0026*D7+20.1)/3-0.015*D7+30</f>
        <v>13.171300000000002</v>
      </c>
      <c r="F39" s="1066">
        <f>(F38*G37)</f>
        <v>-3175.6494265618871</v>
      </c>
      <c r="G39" s="1074">
        <f>(F29-26)*(-0.0026*F7+20.1)/3-0.015*F7+30</f>
        <v>13.171300000000002</v>
      </c>
      <c r="H39" s="1066">
        <f>(H38*I37)</f>
        <v>2490.0012000000006</v>
      </c>
      <c r="I39" s="1074">
        <f>(H29-26)*(-0.0026*H7+20.1)/3-0.015*H7+30</f>
        <v>13.171300000000002</v>
      </c>
      <c r="J39" s="1066">
        <f>(J38*K37)</f>
        <v>1173.7924</v>
      </c>
      <c r="K39" s="1074">
        <f>(J29-26)*(-0.0026*J7+20.1)/3-0.015*J7+30</f>
        <v>-4.3036666666666648</v>
      </c>
      <c r="L39" s="1066">
        <f>(L38*M37)</f>
        <v>1101.6954831328883</v>
      </c>
      <c r="M39" s="1074">
        <f>(L29-26)*(-0.0026*L7+20.1)/3-0.015*L7+30</f>
        <v>-4.3036666666666648</v>
      </c>
      <c r="N39" s="1066">
        <f>(N38*O37)</f>
        <v>1173.7924</v>
      </c>
      <c r="O39" s="1074">
        <f>(N29-26)*(-0.0026*N7+20.1)/3-0.015*N7+30</f>
        <v>-4.3036666666666648</v>
      </c>
      <c r="P39" s="1066">
        <f>(P38*Q37)</f>
        <v>-3175.8000000000011</v>
      </c>
      <c r="Q39" s="1074">
        <f>(P29-26)*(-0.0026*P7+20.1)/3-0.015*P7+30</f>
        <v>-6.4666666666666686</v>
      </c>
      <c r="R39" s="1066">
        <f>(R38*S37)</f>
        <v>-13483.4845487364</v>
      </c>
      <c r="S39" s="1074">
        <f>(R29-26)*(-0.0026*R7+20.1)/3-0.015*R7+30</f>
        <v>-6.4666666666666686</v>
      </c>
      <c r="T39" s="1066">
        <f>(T38*U37)</f>
        <v>-3175.8000000000011</v>
      </c>
      <c r="U39" s="1074">
        <f>(T29-26)*(-0.0026*T7+20.1)/3-0.015*T7+30</f>
        <v>-6.4666666666666686</v>
      </c>
    </row>
    <row r="40" spans="1:23" s="961" customFormat="1" ht="14.25" customHeight="1" thickBot="1">
      <c r="A40" s="955" t="s">
        <v>203</v>
      </c>
      <c r="B40" s="1063" t="s">
        <v>548</v>
      </c>
      <c r="C40" s="963">
        <f>SUM(D40,J40,P40)</f>
        <v>111.56442901234567</v>
      </c>
      <c r="D40" s="1062">
        <f>D16*(D4+D5)*E40</f>
        <v>4.2727623456790118</v>
      </c>
      <c r="E40" s="1077">
        <f>1000*1000/(24*24*3600)</f>
        <v>0.48225308641975306</v>
      </c>
      <c r="F40" s="1062">
        <f>F16*(F4+F5)*G40</f>
        <v>4.2727623456790118</v>
      </c>
      <c r="G40" s="1077">
        <f>1000*1000/(24*24*3600)</f>
        <v>0.48225308641975306</v>
      </c>
      <c r="H40" s="1062">
        <f>H16*(H4+H5)*I40</f>
        <v>0.95758183111774497</v>
      </c>
      <c r="I40" s="1077">
        <f>1000*1000/(24*24*3600)</f>
        <v>0.48225308641975306</v>
      </c>
      <c r="J40" s="1062">
        <f>J16*(J4+J5)*K40</f>
        <v>3.125</v>
      </c>
      <c r="K40" s="1077">
        <f>1000*1000/(24*24*3600)</f>
        <v>0.48225308641975306</v>
      </c>
      <c r="L40" s="1062">
        <f>L16*(L4+L5)*M40</f>
        <v>3.125</v>
      </c>
      <c r="M40" s="1077">
        <f>1000*1000/(24*24*3600)</f>
        <v>0.48225308641975306</v>
      </c>
      <c r="N40" s="1062">
        <f>N16*(N4+N5)*O40</f>
        <v>1.3745455574831855</v>
      </c>
      <c r="O40" s="1077">
        <f>1000*1000/(24*24*3600)</f>
        <v>0.48225308641975306</v>
      </c>
      <c r="P40" s="1062">
        <f>P16*(P4+P5)*Q40</f>
        <v>104.16666666666666</v>
      </c>
      <c r="Q40" s="1077">
        <f>1000*1000/(24*24*3600)</f>
        <v>0.48225308641975306</v>
      </c>
      <c r="R40" s="1062">
        <f>R16*(R4+R5)*S40</f>
        <v>104.16666666666666</v>
      </c>
      <c r="S40" s="1077">
        <f>1000*1000/(24*24*3600)</f>
        <v>0.48225308641975306</v>
      </c>
      <c r="T40" s="1062">
        <f>T16*(T4+T5)*U40</f>
        <v>-4.2486881593046029</v>
      </c>
      <c r="U40" s="1077">
        <f>1000*1000/(24*24*3600)</f>
        <v>0.48225308641975306</v>
      </c>
      <c r="V40" s="1078" t="s">
        <v>1242</v>
      </c>
      <c r="W40" s="1041"/>
    </row>
    <row r="41" spans="1:23" s="961" customFormat="1" ht="14.25" customHeight="1" thickBot="1">
      <c r="A41" s="955"/>
      <c r="B41" s="1063" t="s">
        <v>549</v>
      </c>
      <c r="C41" s="963"/>
      <c r="D41" s="1062">
        <f>D40</f>
        <v>4.2727623456790118</v>
      </c>
      <c r="E41" s="1077"/>
      <c r="F41" s="1062">
        <f>F40</f>
        <v>4.2727623456790118</v>
      </c>
      <c r="G41" s="1077"/>
      <c r="H41" s="1062">
        <f>H40</f>
        <v>0.95758183111774497</v>
      </c>
      <c r="I41" s="1077"/>
      <c r="J41" s="1062">
        <f>J40</f>
        <v>3.125</v>
      </c>
      <c r="K41" s="1077"/>
      <c r="L41" s="1062">
        <f>L40</f>
        <v>3.125</v>
      </c>
      <c r="M41" s="1077"/>
      <c r="N41" s="1062">
        <f>N40</f>
        <v>1.3745455574831855</v>
      </c>
      <c r="O41" s="1077"/>
      <c r="P41" s="1062">
        <f>P40</f>
        <v>104.16666666666666</v>
      </c>
      <c r="Q41" s="1077"/>
      <c r="R41" s="1062">
        <f>R40</f>
        <v>104.16666666666666</v>
      </c>
      <c r="S41" s="1077"/>
      <c r="T41" s="1062">
        <f>T40</f>
        <v>-4.2486881593046029</v>
      </c>
      <c r="U41" s="1077"/>
      <c r="V41" s="1075">
        <f>D41+J41+P41</f>
        <v>111.56442901234567</v>
      </c>
    </row>
    <row r="42" spans="1:23" s="961" customFormat="1" ht="14.25" customHeight="1">
      <c r="A42" s="955" t="s">
        <v>1243</v>
      </c>
      <c r="B42" s="1079" t="s">
        <v>550</v>
      </c>
      <c r="C42" s="1080"/>
      <c r="D42" s="1081">
        <f>D40*4.187*D22*D18</f>
        <v>0</v>
      </c>
      <c r="E42" s="1082">
        <f>E40*4.187*D22*E18</f>
        <v>0</v>
      </c>
      <c r="F42" s="1081">
        <f>F40*4.187*F22*F18</f>
        <v>0</v>
      </c>
      <c r="G42" s="1082">
        <f>G40*4.187*F22*G18</f>
        <v>0</v>
      </c>
      <c r="H42" s="1081">
        <f>H40*4.187*H22*H18</f>
        <v>0</v>
      </c>
      <c r="I42" s="1082">
        <f>I40*4.187*H22*I18</f>
        <v>0</v>
      </c>
      <c r="J42" s="1081">
        <f>J40*4.187*J22*J18</f>
        <v>39.253125000000004</v>
      </c>
      <c r="K42" s="1082">
        <f>K40*4.187*J22*K18</f>
        <v>6.057581018518519</v>
      </c>
      <c r="L42" s="1081">
        <f>L40*4.187*L22*L18</f>
        <v>39.253125000000004</v>
      </c>
      <c r="M42" s="1082">
        <f>M40*4.187*L22*M18</f>
        <v>6.057581018518519</v>
      </c>
      <c r="N42" s="1081">
        <f>N40*4.187*N22*N18</f>
        <v>17.265666747546295</v>
      </c>
      <c r="O42" s="1082">
        <f>O40*4.187*N22*O18</f>
        <v>6.057581018518519</v>
      </c>
      <c r="P42" s="1081">
        <f>P40*4.187*P22*P18</f>
        <v>1308.4375</v>
      </c>
      <c r="Q42" s="1082">
        <f>Q40*4.187*P22*Q18</f>
        <v>6.057581018518519</v>
      </c>
      <c r="R42" s="1081">
        <f>R40*4.187*R22*R18</f>
        <v>1308.4375</v>
      </c>
      <c r="S42" s="1082">
        <f>S40*4.187*R22*S18</f>
        <v>6.057581018518519</v>
      </c>
      <c r="T42" s="1081">
        <f>T40*4.187*T22*T18</f>
        <v>-53.367771969025128</v>
      </c>
      <c r="U42" s="1082">
        <f>U40*4.187*T22*U18</f>
        <v>6.057581018518519</v>
      </c>
    </row>
    <row r="43" spans="1:23" s="961" customFormat="1" ht="14.25" customHeight="1">
      <c r="A43" s="955" t="s">
        <v>1244</v>
      </c>
      <c r="B43" s="1079" t="s">
        <v>551</v>
      </c>
      <c r="C43" s="1080"/>
      <c r="D43" s="1081">
        <f>D20*4.187*D21</f>
        <v>14968.525000000001</v>
      </c>
      <c r="E43" s="1027"/>
      <c r="F43" s="1081"/>
      <c r="G43" s="1027"/>
      <c r="H43" s="1081"/>
      <c r="I43" s="1027"/>
      <c r="J43" s="1081"/>
      <c r="K43" s="1027"/>
      <c r="L43" s="1081"/>
      <c r="M43" s="1027"/>
      <c r="N43" s="1081"/>
      <c r="O43" s="1027"/>
      <c r="P43" s="1081"/>
      <c r="Q43" s="1027"/>
      <c r="R43" s="1081"/>
      <c r="S43" s="1027"/>
      <c r="T43" s="1081"/>
      <c r="U43" s="1027"/>
    </row>
    <row r="44" spans="1:23" s="961" customFormat="1" ht="14.25" customHeight="1">
      <c r="A44" s="955"/>
      <c r="B44" s="1079" t="s">
        <v>552</v>
      </c>
      <c r="C44" s="1080"/>
      <c r="D44" s="1081"/>
      <c r="E44" s="1027"/>
      <c r="F44" s="1081"/>
      <c r="G44" s="1027"/>
      <c r="H44" s="1081"/>
      <c r="I44" s="1027"/>
      <c r="J44" s="1081"/>
      <c r="K44" s="1027"/>
      <c r="L44" s="1081"/>
      <c r="M44" s="1027"/>
      <c r="N44" s="1081"/>
      <c r="O44" s="1027"/>
      <c r="P44" s="1081"/>
      <c r="Q44" s="1027"/>
      <c r="R44" s="1081"/>
      <c r="S44" s="1027"/>
      <c r="T44" s="1081"/>
      <c r="U44" s="1027"/>
    </row>
    <row r="45" spans="1:23" s="961" customFormat="1" ht="14.25" customHeight="1">
      <c r="A45" s="955"/>
      <c r="B45" s="1083" t="s">
        <v>553</v>
      </c>
      <c r="C45" s="1084">
        <f>SUM(D45,J45,P45)</f>
        <v>16316.215625000001</v>
      </c>
      <c r="D45" s="1066">
        <f>D42+D43+D44</f>
        <v>14968.525000000001</v>
      </c>
      <c r="E45" s="1027"/>
      <c r="F45" s="1066">
        <f>F42+F43+F44</f>
        <v>0</v>
      </c>
      <c r="G45" s="1027"/>
      <c r="H45" s="1066">
        <f>H42+H43+H44</f>
        <v>0</v>
      </c>
      <c r="I45" s="1027"/>
      <c r="J45" s="1066">
        <f>J42+J43+J44</f>
        <v>39.253125000000004</v>
      </c>
      <c r="K45" s="1027"/>
      <c r="L45" s="1066">
        <f>L42+L43+L44</f>
        <v>39.253125000000004</v>
      </c>
      <c r="M45" s="1027"/>
      <c r="N45" s="1066">
        <f>N42+N43+N44</f>
        <v>17.265666747546295</v>
      </c>
      <c r="O45" s="1027"/>
      <c r="P45" s="1066">
        <f>P42+P43+P44</f>
        <v>1308.4375</v>
      </c>
      <c r="Q45" s="1027"/>
      <c r="R45" s="1066">
        <f>R42+R43+R44</f>
        <v>1308.4375</v>
      </c>
      <c r="S45" s="1027"/>
      <c r="T45" s="1066">
        <f>T42+T43+T44</f>
        <v>-53.367771969025128</v>
      </c>
      <c r="U45" s="1027"/>
    </row>
    <row r="46" spans="1:23" s="961" customFormat="1" ht="14.25" customHeight="1">
      <c r="A46" s="955"/>
      <c r="B46" s="1085" t="s">
        <v>555</v>
      </c>
      <c r="C46" s="1086">
        <f>SUM(D46,J46,P46)</f>
        <v>16804.209224999999</v>
      </c>
      <c r="D46" s="1087">
        <f>D45+D39</f>
        <v>17458.5262</v>
      </c>
      <c r="E46" s="1027"/>
      <c r="F46" s="1087">
        <f>F45+F39</f>
        <v>-3175.6494265618871</v>
      </c>
      <c r="G46" s="1027"/>
      <c r="H46" s="1087">
        <f>H45+H39</f>
        <v>2490.0012000000006</v>
      </c>
      <c r="I46" s="1027"/>
      <c r="J46" s="1087">
        <f>J45+J39</f>
        <v>1213.045525</v>
      </c>
      <c r="K46" s="1027"/>
      <c r="L46" s="1087">
        <f>L45+L39</f>
        <v>1140.9486081328882</v>
      </c>
      <c r="M46" s="1027"/>
      <c r="N46" s="1087">
        <f>N45+N39</f>
        <v>1191.0580667475463</v>
      </c>
      <c r="O46" s="1027"/>
      <c r="P46" s="1087">
        <f>P45+P39</f>
        <v>-1867.3625000000011</v>
      </c>
      <c r="Q46" s="1027"/>
      <c r="R46" s="1087">
        <f>R45+R39</f>
        <v>-12175.0470487364</v>
      </c>
      <c r="S46" s="1027"/>
      <c r="T46" s="1087">
        <f>T45+T39</f>
        <v>-3229.167771969026</v>
      </c>
      <c r="U46" s="1027"/>
    </row>
    <row r="47" spans="1:23" s="961" customFormat="1" ht="14.25" customHeight="1">
      <c r="A47" s="955"/>
      <c r="B47" s="1088" t="s">
        <v>556</v>
      </c>
      <c r="C47" s="1089"/>
      <c r="D47" s="1090"/>
      <c r="E47" s="984"/>
      <c r="F47" s="1090"/>
      <c r="G47" s="984"/>
      <c r="H47" s="1090"/>
      <c r="I47" s="984"/>
      <c r="J47" s="1090"/>
      <c r="K47" s="984"/>
      <c r="L47" s="1090"/>
      <c r="M47" s="984"/>
      <c r="N47" s="1090"/>
      <c r="O47" s="984"/>
      <c r="P47" s="1090"/>
      <c r="Q47" s="984"/>
      <c r="R47" s="1090"/>
      <c r="S47" s="984"/>
      <c r="T47" s="1090"/>
      <c r="U47" s="984"/>
    </row>
    <row r="48" spans="1:23" s="961" customFormat="1" ht="14.25" customHeight="1">
      <c r="A48" s="955"/>
      <c r="B48" s="1091" t="s">
        <v>557</v>
      </c>
      <c r="C48" s="1092">
        <f>SUM(D48,J48,P48)</f>
        <v>2450.6895986742929</v>
      </c>
      <c r="D48" s="1093">
        <f>(D37-D45)/(E48*E37)</f>
        <v>-153.04327210261039</v>
      </c>
      <c r="E48" s="1094">
        <f>D28</f>
        <v>1.3</v>
      </c>
      <c r="F48" s="1093">
        <f>(F37-F45)/(G48*G38)</f>
        <v>183.46717529348152</v>
      </c>
      <c r="G48" s="1094">
        <f>F28</f>
        <v>1.3</v>
      </c>
      <c r="H48" s="1093">
        <f>(H37-H45)/(I48*I38)</f>
        <v>41.117389513882067</v>
      </c>
      <c r="I48" s="1094">
        <f>H28</f>
        <v>1.3</v>
      </c>
      <c r="J48" s="1093">
        <f>(J37-J45)/(K48*K38)</f>
        <v>56.31466772827401</v>
      </c>
      <c r="K48" s="1094">
        <f>J28</f>
        <v>1.3</v>
      </c>
      <c r="L48" s="1093">
        <f>(L37-L45)/(M48*M38)</f>
        <v>78.734358698458877</v>
      </c>
      <c r="M48" s="1094">
        <f>L28</f>
        <v>1.3</v>
      </c>
      <c r="N48" s="1093">
        <f>(N37-N45)/(O48*O38)</f>
        <v>34.631668150481374</v>
      </c>
      <c r="O48" s="1094">
        <f>N28</f>
        <v>1.3</v>
      </c>
      <c r="P48" s="1093">
        <f>(P37-P45)/(Q48*Q38)</f>
        <v>2547.4182030486295</v>
      </c>
      <c r="Q48" s="1094">
        <f>P28</f>
        <v>1.3</v>
      </c>
      <c r="R48" s="1093">
        <f>(R37-R45)/(S48*S38)</f>
        <v>2547.4182030486295</v>
      </c>
      <c r="S48" s="1094">
        <f>R28</f>
        <v>1.3</v>
      </c>
      <c r="T48" s="1093">
        <f>(T37-T45)/(U48*U38)</f>
        <v>-103.90258133846135</v>
      </c>
      <c r="U48" s="1094">
        <f>T28</f>
        <v>1.3</v>
      </c>
      <c r="V48" s="1219">
        <f>0.00004023*P$7+1.075</f>
        <v>1.199713</v>
      </c>
    </row>
    <row r="49" spans="1:21" s="961" customFormat="1" ht="14.25" customHeight="1">
      <c r="A49" s="955"/>
      <c r="B49" s="1095" t="s">
        <v>558</v>
      </c>
      <c r="C49" s="1096"/>
      <c r="D49" s="1093">
        <f>D38/(D4+D5)</f>
        <v>3.5214446952595937</v>
      </c>
      <c r="E49" s="984"/>
      <c r="F49" s="1093">
        <f>F38/(F4+F5)</f>
        <v>-4.4911118224242328</v>
      </c>
      <c r="G49" s="984"/>
      <c r="H49" s="1093">
        <f>H38/(H4+H5)</f>
        <v>15.712804699660381</v>
      </c>
      <c r="I49" s="984"/>
      <c r="J49" s="1093">
        <f>J38/(J4+J5)</f>
        <v>21.666666666666668</v>
      </c>
      <c r="K49" s="984"/>
      <c r="L49" s="1093">
        <f>L38/(L4+L5)</f>
        <v>20.335852235210059</v>
      </c>
      <c r="M49" s="984"/>
      <c r="N49" s="1093">
        <f>N38/(N4+N5)</f>
        <v>49.258704423961291</v>
      </c>
      <c r="O49" s="984"/>
      <c r="P49" s="1093">
        <f>P38/(P4+P5)</f>
        <v>6.5</v>
      </c>
      <c r="Q49" s="984"/>
      <c r="R49" s="1093">
        <f>R38/(R4+R5)</f>
        <v>27.597030533026821</v>
      </c>
      <c r="S49" s="984"/>
      <c r="T49" s="1093">
        <f>T38/(T4+T5)</f>
        <v>-159.36291578625855</v>
      </c>
      <c r="U49" s="984"/>
    </row>
    <row r="50" spans="1:21" s="961" customFormat="1" ht="14.25" customHeight="1" thickBot="1">
      <c r="A50" s="955"/>
      <c r="B50" s="1097" t="s">
        <v>559</v>
      </c>
      <c r="C50" s="1098">
        <f>SUM(D50,J50,P50)</f>
        <v>80021.778464658273</v>
      </c>
      <c r="D50" s="1087">
        <f>D37-D46</f>
        <v>-5665.6506265618864</v>
      </c>
      <c r="E50" s="984"/>
      <c r="F50" s="1087">
        <f>F37-F46</f>
        <v>14968.525000000001</v>
      </c>
      <c r="G50" s="984"/>
      <c r="H50" s="1087">
        <f>H37-H46</f>
        <v>152.9361955648842</v>
      </c>
      <c r="I50" s="984"/>
      <c r="J50" s="1087">
        <f>J37-J46</f>
        <v>813.37990124754128</v>
      </c>
      <c r="K50" s="984"/>
      <c r="L50" s="1087">
        <f>L37-L46</f>
        <v>1676.5991081981088</v>
      </c>
      <c r="M50" s="984"/>
      <c r="N50" s="1087">
        <f>N37-N46</f>
        <v>48.25319612594717</v>
      </c>
      <c r="O50" s="984"/>
      <c r="P50" s="1087">
        <f>P37-P46</f>
        <v>84874.049189972618</v>
      </c>
      <c r="Q50" s="984"/>
      <c r="R50" s="1087">
        <f>R37-R46</f>
        <v>95181.733738709008</v>
      </c>
      <c r="S50" s="984"/>
      <c r="T50" s="1087">
        <f>T37-T46</f>
        <v>-156.45968610579303</v>
      </c>
      <c r="U50" s="984"/>
    </row>
    <row r="51" spans="1:21" s="1104" customFormat="1" ht="16.5" thickBot="1">
      <c r="A51" s="1099"/>
      <c r="B51" s="1100" t="s">
        <v>1245</v>
      </c>
      <c r="C51" s="1101"/>
      <c r="D51" s="1102">
        <f>IF((D37-D38*E37)-D42&lt;0,0,(D37-D38*E37)-D42)</f>
        <v>9302.8743734381133</v>
      </c>
      <c r="E51" s="1103"/>
      <c r="F51" s="1102">
        <f>IF((F37-F38*G37)-F42&lt;0,0,(F37-F38*G37)-F42)</f>
        <v>14968.525000000001</v>
      </c>
      <c r="G51" s="1103"/>
      <c r="H51" s="1102">
        <f>IF((H37-H38*I37)-H42&lt;0,0,(H37-H38*I37)-H42)</f>
        <v>152.9361955648842</v>
      </c>
      <c r="I51" s="1103"/>
      <c r="J51" s="1102">
        <f>IF((J37-J38*K37)-J42&lt;0,0,(J37-J38*K37)-J42)</f>
        <v>813.37990124754128</v>
      </c>
      <c r="K51" s="1103"/>
      <c r="L51" s="1102">
        <f>IF((L37-L38*M37)-L42&lt;0,0,(L37-L38*M37)-L42)</f>
        <v>1676.5991081981088</v>
      </c>
      <c r="M51" s="1103"/>
      <c r="N51" s="1102">
        <f>IF((N37-N38*O37)-N42&lt;0,0,(N37-N38*O37)-N42)</f>
        <v>48.253196125947099</v>
      </c>
      <c r="O51" s="1103"/>
      <c r="P51" s="1102">
        <f>IF((P37-P38*Q37)-P42&lt;0,0,(P37-P38*Q37)-P42)</f>
        <v>84874.049189972618</v>
      </c>
      <c r="Q51" s="1103"/>
      <c r="R51" s="1102">
        <f>IF((R37-R38*S37)-R42&lt;0,0,(R37-R38*S37)-R42)</f>
        <v>95181.733738709008</v>
      </c>
      <c r="S51" s="1103"/>
      <c r="T51" s="1102">
        <f>IF((T37-T38*U37)-T42&lt;0,0,(T37-T38*U37)-T42)</f>
        <v>0</v>
      </c>
      <c r="U51" s="1103"/>
    </row>
    <row r="52" spans="1:21" s="1104" customFormat="1" ht="16.5" thickBot="1">
      <c r="A52" s="1099"/>
      <c r="B52" s="1100" t="s">
        <v>1246</v>
      </c>
      <c r="C52" s="1101"/>
      <c r="D52" s="1102">
        <f>IF((D37-D38*E37)-D42&lt;0,0,(D37-D38*E37)-D42)/D21/4.187</f>
        <v>201.98611228343384</v>
      </c>
      <c r="E52" s="1103"/>
      <c r="F52" s="1102">
        <f>IF((F37-F38*G37)-F42&lt;0,0,(F37-F38*G37)-F42)/F21/4.187</f>
        <v>325</v>
      </c>
      <c r="G52" s="1103"/>
      <c r="H52" s="1102">
        <f>IF((H37-H38*I37)-H42&lt;0,0,(H37-H38*I37)-H42)/H21/4.187</f>
        <v>3.3205852653208892</v>
      </c>
      <c r="I52" s="1103"/>
      <c r="J52" s="1102">
        <f>IF((J37-J38*K37)-J42&lt;0,0,(J37-J38*K37)-J42)/J21/4.187</f>
        <v>13.875940858568038</v>
      </c>
      <c r="K52" s="1103"/>
      <c r="L52" s="1102">
        <f>IF((L37-L38*M37)-L42&lt;0,0,(L37-L38*M37)-L42)/L21/4.187</f>
        <v>28.602120648915157</v>
      </c>
      <c r="M52" s="1103"/>
      <c r="N52" s="1102">
        <f>IF((N37-N38*O37)-N42&lt;0,0,(N37-N38*O37)-N42)/N21/4.187</f>
        <v>0.82318052690209653</v>
      </c>
      <c r="O52" s="1103"/>
      <c r="P52" s="1102">
        <f>IF((P37-P38*Q37)-P42&lt;0,0,(P37-P38*Q37)-P42)/P21/4.187</f>
        <v>1447.9178612366954</v>
      </c>
      <c r="Q52" s="1103"/>
      <c r="R52" s="1102">
        <f>IF((R37-R38*S37)-R42&lt;0,0,(R37-R38*S37)-R42)/R21/4.187</f>
        <v>1623.7629011346173</v>
      </c>
      <c r="S52" s="1103"/>
      <c r="T52" s="1102">
        <f>IF((T37-T38*U37)-T42&lt;0,0,(T37-T38*U37)-T42)/T21/4.187</f>
        <v>0</v>
      </c>
      <c r="U52" s="1103"/>
    </row>
    <row r="53" spans="1:21" s="971" customFormat="1" ht="15">
      <c r="A53" s="1105"/>
      <c r="B53" s="1106" t="s">
        <v>561</v>
      </c>
      <c r="C53" s="1107"/>
      <c r="D53" s="1108"/>
      <c r="E53" s="1109"/>
      <c r="F53" s="1110"/>
      <c r="G53" s="1110"/>
      <c r="H53" s="1110"/>
      <c r="I53" s="1111"/>
      <c r="J53" s="1108"/>
      <c r="K53" s="1109"/>
      <c r="L53" s="1110"/>
      <c r="M53" s="1110"/>
      <c r="N53" s="1110"/>
      <c r="O53" s="1111"/>
      <c r="P53" s="1112"/>
      <c r="Q53" s="1109"/>
      <c r="R53" s="1110"/>
      <c r="S53" s="1110"/>
      <c r="T53" s="1110"/>
      <c r="U53" s="1111"/>
    </row>
    <row r="54" spans="1:21" s="961" customFormat="1" ht="14.25" customHeight="1">
      <c r="A54" s="955"/>
      <c r="B54" s="1113" t="s">
        <v>563</v>
      </c>
      <c r="C54" s="963">
        <f t="shared" ref="C54:C61" si="8">SUM(D54,J54,P54)</f>
        <v>253.5</v>
      </c>
      <c r="D54" s="1114">
        <f>D38/4</f>
        <v>39</v>
      </c>
      <c r="E54" s="1115">
        <f>E37/4</f>
        <v>3.9903865384615393</v>
      </c>
      <c r="F54" s="1115">
        <f>F38/4</f>
        <v>-49.739063433348377</v>
      </c>
      <c r="G54" s="1116">
        <f>G37/4</f>
        <v>3.9903865384615393</v>
      </c>
      <c r="H54" s="1116">
        <f>H38/4</f>
        <v>39</v>
      </c>
      <c r="I54" s="1117">
        <f>I37/4</f>
        <v>3.9903865384615393</v>
      </c>
      <c r="J54" s="1114">
        <f>J38/4</f>
        <v>19.5</v>
      </c>
      <c r="K54" s="1115">
        <f>K37/4</f>
        <v>3.7621551282051282</v>
      </c>
      <c r="L54" s="1115">
        <f>L38/4</f>
        <v>18.302267011689054</v>
      </c>
      <c r="M54" s="1116">
        <f>M37/4</f>
        <v>3.7621551282051282</v>
      </c>
      <c r="N54" s="1116">
        <f>N38/4</f>
        <v>19.5</v>
      </c>
      <c r="O54" s="1117">
        <f>O37/4</f>
        <v>3.7621551282051282</v>
      </c>
      <c r="P54" s="1114">
        <f>P38/4</f>
        <v>195</v>
      </c>
      <c r="Q54" s="1115">
        <f>Q37/4</f>
        <v>-1.0178846153846157</v>
      </c>
      <c r="R54" s="1115">
        <f>R38/4</f>
        <v>827.9109159908046</v>
      </c>
      <c r="S54" s="1116">
        <f>S37/4</f>
        <v>-1.0178846153846157</v>
      </c>
      <c r="T54" s="1116">
        <f>T38/4</f>
        <v>195</v>
      </c>
      <c r="U54" s="1117">
        <f>U37/4</f>
        <v>-1.0178846153846157</v>
      </c>
    </row>
    <row r="55" spans="1:21" s="961" customFormat="1" ht="14.25" customHeight="1">
      <c r="A55" s="955"/>
      <c r="B55" s="1113" t="s">
        <v>564</v>
      </c>
      <c r="C55" s="963">
        <f t="shared" si="8"/>
        <v>29640.287769784176</v>
      </c>
      <c r="D55" s="1066">
        <f t="shared" ref="D55:U55" si="9">D4*1000/4.17</f>
        <v>0</v>
      </c>
      <c r="E55" s="1118">
        <f t="shared" si="9"/>
        <v>0</v>
      </c>
      <c r="F55" s="1118">
        <f t="shared" si="9"/>
        <v>0</v>
      </c>
      <c r="G55" s="1119">
        <f t="shared" si="9"/>
        <v>0</v>
      </c>
      <c r="H55" s="1119">
        <f t="shared" si="9"/>
        <v>2380.8653297431129</v>
      </c>
      <c r="I55" s="1120">
        <f t="shared" si="9"/>
        <v>2380.8653297431129</v>
      </c>
      <c r="J55" s="1066">
        <f t="shared" si="9"/>
        <v>863.30935251798564</v>
      </c>
      <c r="K55" s="1118">
        <f t="shared" si="9"/>
        <v>0</v>
      </c>
      <c r="L55" s="1118">
        <f t="shared" si="9"/>
        <v>863.30935251798564</v>
      </c>
      <c r="M55" s="1119">
        <f t="shared" si="9"/>
        <v>0</v>
      </c>
      <c r="N55" s="1119">
        <f t="shared" si="9"/>
        <v>379.7305712759304</v>
      </c>
      <c r="O55" s="1120">
        <f t="shared" si="9"/>
        <v>379.73057127593034</v>
      </c>
      <c r="P55" s="1066">
        <f t="shared" si="9"/>
        <v>28776.978417266189</v>
      </c>
      <c r="Q55" s="1118">
        <f t="shared" si="9"/>
        <v>0</v>
      </c>
      <c r="R55" s="1118">
        <f t="shared" si="9"/>
        <v>28776.978417266189</v>
      </c>
      <c r="S55" s="1119">
        <f t="shared" si="9"/>
        <v>0</v>
      </c>
      <c r="T55" s="1119">
        <f t="shared" si="9"/>
        <v>-1173.7383116352285</v>
      </c>
      <c r="U55" s="1120">
        <f t="shared" si="9"/>
        <v>-1173.7383116352285</v>
      </c>
    </row>
    <row r="56" spans="1:21" s="961" customFormat="1" ht="14.25" customHeight="1">
      <c r="A56" s="955"/>
      <c r="B56" s="1113" t="s">
        <v>565</v>
      </c>
      <c r="C56" s="963">
        <f t="shared" si="8"/>
        <v>60791.366906474817</v>
      </c>
      <c r="D56" s="1066">
        <f>(D38*1000)/(4*4.17)</f>
        <v>9352.5179856115101</v>
      </c>
      <c r="E56" s="1118">
        <f>(E37*1000)/(4*4.17)</f>
        <v>956.92722744881041</v>
      </c>
      <c r="F56" s="1118">
        <f>(F38*1000)/(4*4.17)</f>
        <v>-11927.8329576375</v>
      </c>
      <c r="G56" s="1119">
        <f>(G37*1000)/(4*4.17)</f>
        <v>956.92722744881041</v>
      </c>
      <c r="H56" s="1119">
        <f>(H38*1000)/(4*4.17)</f>
        <v>9352.5179856115101</v>
      </c>
      <c r="I56" s="1120">
        <f>(I37*1000)/(4*4.17)</f>
        <v>956.92722744881041</v>
      </c>
      <c r="J56" s="1066">
        <f>(J38*1000)/(4*4.17)</f>
        <v>4676.258992805755</v>
      </c>
      <c r="K56" s="1118">
        <f>(K37*1000)/(4*4.17)</f>
        <v>902.19547438971904</v>
      </c>
      <c r="L56" s="1118">
        <f>(L38*1000)/(4*4.17)</f>
        <v>4389.0328565201571</v>
      </c>
      <c r="M56" s="1119">
        <f>(M37*1000)/(4*4.17)</f>
        <v>902.19547438971904</v>
      </c>
      <c r="N56" s="1119">
        <f>(N38*1000)/(4*4.17)</f>
        <v>4676.258992805755</v>
      </c>
      <c r="O56" s="1120">
        <f>(O37*1000)/(4*4.17)</f>
        <v>902.19547438971904</v>
      </c>
      <c r="P56" s="1066">
        <f>(P38*1000)/(4*4.17)</f>
        <v>46762.589928057554</v>
      </c>
      <c r="Q56" s="1118">
        <f>(Q37*1000)/(4*4.17)</f>
        <v>-244.09703006825316</v>
      </c>
      <c r="R56" s="1118">
        <f>(R38*1000)/(4*4.17)</f>
        <v>198539.78800738719</v>
      </c>
      <c r="S56" s="1119">
        <f>(S37*1000)/(4*4.17)</f>
        <v>-244.09703006825316</v>
      </c>
      <c r="T56" s="1119">
        <f>(T38*1000)/(4*4.17)</f>
        <v>46762.589928057554</v>
      </c>
      <c r="U56" s="1120">
        <f>(U37*1000)/(4*4.17)</f>
        <v>-244.09703006825316</v>
      </c>
    </row>
    <row r="57" spans="1:21" s="1058" customFormat="1" ht="14.25" customHeight="1">
      <c r="A57" s="1121"/>
      <c r="B57" s="1113" t="s">
        <v>566</v>
      </c>
      <c r="C57" s="963">
        <f t="shared" si="8"/>
        <v>69.001424909288517</v>
      </c>
      <c r="D57" s="1066">
        <f t="shared" ref="D57:U57" si="10">D46/(D34+D9+D10+D11)</f>
        <v>69.61116601366524</v>
      </c>
      <c r="E57" s="1118">
        <f t="shared" si="10"/>
        <v>0</v>
      </c>
      <c r="F57" s="1118">
        <f t="shared" si="10"/>
        <v>-12.662045862359237</v>
      </c>
      <c r="G57" s="1119">
        <f t="shared" si="10"/>
        <v>0</v>
      </c>
      <c r="H57" s="1119">
        <f t="shared" si="10"/>
        <v>9.9282084250287799</v>
      </c>
      <c r="I57" s="1120">
        <f t="shared" si="10"/>
        <v>0</v>
      </c>
      <c r="J57" s="1066">
        <f t="shared" si="10"/>
        <v>2.2206428866737031</v>
      </c>
      <c r="K57" s="1118">
        <f t="shared" si="10"/>
        <v>0</v>
      </c>
      <c r="L57" s="1118">
        <f t="shared" si="10"/>
        <v>1.5168574386421798</v>
      </c>
      <c r="M57" s="1119">
        <f t="shared" si="10"/>
        <v>0</v>
      </c>
      <c r="N57" s="1119">
        <f t="shared" si="10"/>
        <v>1.5834764822206295</v>
      </c>
      <c r="O57" s="1120">
        <f t="shared" si="10"/>
        <v>0</v>
      </c>
      <c r="P57" s="1066">
        <f t="shared" si="10"/>
        <v>-2.8303839910504318</v>
      </c>
      <c r="Q57" s="1118">
        <f t="shared" si="10"/>
        <v>0</v>
      </c>
      <c r="R57" s="1118">
        <f t="shared" si="10"/>
        <v>-18.45386648657092</v>
      </c>
      <c r="S57" s="1119">
        <f t="shared" si="10"/>
        <v>0</v>
      </c>
      <c r="T57" s="1119">
        <f t="shared" si="10"/>
        <v>-4.8944887595189028</v>
      </c>
      <c r="U57" s="1120">
        <f t="shared" si="10"/>
        <v>0</v>
      </c>
    </row>
    <row r="58" spans="1:21" s="961" customFormat="1" ht="14.25" customHeight="1">
      <c r="A58" s="955"/>
      <c r="B58" s="1113" t="s">
        <v>567</v>
      </c>
      <c r="C58" s="963">
        <f t="shared" si="8"/>
        <v>16547.104294793407</v>
      </c>
      <c r="D58" s="1066">
        <f t="shared" ref="D58:U58" si="11">D57*1000/4.17</f>
        <v>16693.325183133151</v>
      </c>
      <c r="E58" s="1118">
        <f t="shared" si="11"/>
        <v>0</v>
      </c>
      <c r="F58" s="1118">
        <f t="shared" si="11"/>
        <v>-3036.4618374962197</v>
      </c>
      <c r="G58" s="1119">
        <f t="shared" si="11"/>
        <v>0</v>
      </c>
      <c r="H58" s="1119">
        <f t="shared" si="11"/>
        <v>2380.8653297431129</v>
      </c>
      <c r="I58" s="1120">
        <f t="shared" si="11"/>
        <v>0</v>
      </c>
      <c r="J58" s="1066">
        <f t="shared" si="11"/>
        <v>532.52827018554035</v>
      </c>
      <c r="K58" s="1118">
        <f t="shared" si="11"/>
        <v>0</v>
      </c>
      <c r="L58" s="1118">
        <f t="shared" si="11"/>
        <v>363.75478144896402</v>
      </c>
      <c r="M58" s="1119">
        <f t="shared" si="11"/>
        <v>0</v>
      </c>
      <c r="N58" s="1119">
        <f t="shared" si="11"/>
        <v>379.73057127593034</v>
      </c>
      <c r="O58" s="1120">
        <f t="shared" si="11"/>
        <v>0</v>
      </c>
      <c r="P58" s="1066">
        <f t="shared" si="11"/>
        <v>-678.74915852528341</v>
      </c>
      <c r="Q58" s="1118">
        <f t="shared" si="11"/>
        <v>0</v>
      </c>
      <c r="R58" s="1118">
        <f t="shared" si="11"/>
        <v>-4425.3876466596939</v>
      </c>
      <c r="S58" s="1119">
        <f t="shared" si="11"/>
        <v>0</v>
      </c>
      <c r="T58" s="1119">
        <f t="shared" si="11"/>
        <v>-1173.7383116352285</v>
      </c>
      <c r="U58" s="1120">
        <f t="shared" si="11"/>
        <v>0</v>
      </c>
    </row>
    <row r="59" spans="1:21" s="961" customFormat="1" ht="14.25" customHeight="1">
      <c r="A59" s="955"/>
      <c r="B59" s="1113" t="s">
        <v>568</v>
      </c>
      <c r="C59" s="963">
        <f t="shared" si="8"/>
        <v>760.5</v>
      </c>
      <c r="D59" s="1114">
        <f>D38*0.75</f>
        <v>117</v>
      </c>
      <c r="E59" s="1115">
        <f>E37*0.75</f>
        <v>11.971159615384618</v>
      </c>
      <c r="F59" s="1115">
        <f>F38*0.75</f>
        <v>-149.21719030004513</v>
      </c>
      <c r="G59" s="1116">
        <f>G37*0.75</f>
        <v>11.971159615384618</v>
      </c>
      <c r="H59" s="1116">
        <f>H38*0.75</f>
        <v>117</v>
      </c>
      <c r="I59" s="1117">
        <f>I37*0.75</f>
        <v>11.971159615384618</v>
      </c>
      <c r="J59" s="1114">
        <f>J38*0.75</f>
        <v>58.5</v>
      </c>
      <c r="K59" s="1115">
        <f>K37*0.75</f>
        <v>11.286465384615385</v>
      </c>
      <c r="L59" s="1115">
        <f>L38*0.75</f>
        <v>54.906801035067161</v>
      </c>
      <c r="M59" s="1116">
        <f>M37*0.75</f>
        <v>11.286465384615385</v>
      </c>
      <c r="N59" s="1116">
        <f>N38*0.75</f>
        <v>58.5</v>
      </c>
      <c r="O59" s="1117">
        <f>O37*0.75</f>
        <v>11.286465384615385</v>
      </c>
      <c r="P59" s="1114">
        <f>P38*0.75</f>
        <v>585</v>
      </c>
      <c r="Q59" s="1115">
        <f>Q37*0.75</f>
        <v>-3.0536538461538472</v>
      </c>
      <c r="R59" s="1115">
        <f>R38*0.75</f>
        <v>2483.7327479724136</v>
      </c>
      <c r="S59" s="1116">
        <f>S37*0.75</f>
        <v>-3.0536538461538472</v>
      </c>
      <c r="T59" s="1116">
        <f>T38*0.75</f>
        <v>585</v>
      </c>
      <c r="U59" s="1117">
        <f>U37*0.75</f>
        <v>-3.0536538461538472</v>
      </c>
    </row>
    <row r="60" spans="1:21" s="961" customFormat="1" ht="14.25" customHeight="1">
      <c r="A60" s="955"/>
      <c r="B60" s="1113" t="s">
        <v>569</v>
      </c>
      <c r="C60" s="963">
        <f t="shared" si="8"/>
        <v>253.5</v>
      </c>
      <c r="D60" s="1114">
        <f>D38-D59</f>
        <v>39</v>
      </c>
      <c r="E60" s="1115">
        <f>E37-E59</f>
        <v>3.9903865384615393</v>
      </c>
      <c r="F60" s="1115">
        <f>F38-F59</f>
        <v>-49.739063433348377</v>
      </c>
      <c r="G60" s="1116">
        <f>G37-G59</f>
        <v>3.9903865384615393</v>
      </c>
      <c r="H60" s="1116">
        <f>H38-H59</f>
        <v>39</v>
      </c>
      <c r="I60" s="1117">
        <f>I37-I59</f>
        <v>3.9903865384615393</v>
      </c>
      <c r="J60" s="1114">
        <f>J38-J59</f>
        <v>19.5</v>
      </c>
      <c r="K60" s="1115">
        <f>K37-K59</f>
        <v>3.7621551282051282</v>
      </c>
      <c r="L60" s="1115">
        <f>L38-L59</f>
        <v>18.302267011689054</v>
      </c>
      <c r="M60" s="1116">
        <f>M37-M59</f>
        <v>3.7621551282051282</v>
      </c>
      <c r="N60" s="1116">
        <f>N38-N59</f>
        <v>19.5</v>
      </c>
      <c r="O60" s="1117">
        <f>O37-O59</f>
        <v>3.7621551282051282</v>
      </c>
      <c r="P60" s="1114">
        <f>P38-P59</f>
        <v>195</v>
      </c>
      <c r="Q60" s="1115">
        <f>Q37-Q59</f>
        <v>-1.0178846153846157</v>
      </c>
      <c r="R60" s="1115">
        <f>R38-R59</f>
        <v>827.91091599080482</v>
      </c>
      <c r="S60" s="1116">
        <f>S37-S59</f>
        <v>-1.0178846153846157</v>
      </c>
      <c r="T60" s="1116">
        <f>T38-T59</f>
        <v>195</v>
      </c>
      <c r="U60" s="1117">
        <f>U37-U59</f>
        <v>-1.0178846153846157</v>
      </c>
    </row>
    <row r="61" spans="1:21" s="961" customFormat="1" ht="14.25" customHeight="1" thickBot="1">
      <c r="A61" s="955"/>
      <c r="B61" s="1113" t="s">
        <v>570</v>
      </c>
      <c r="C61" s="963">
        <f t="shared" si="8"/>
        <v>715.49339299598705</v>
      </c>
      <c r="D61" s="1122">
        <f>D46/(D4+D5)</f>
        <v>394.0976568848759</v>
      </c>
      <c r="E61" s="1115"/>
      <c r="F61" s="1115">
        <f>F46/(F4+F5)</f>
        <v>-71.685088635708524</v>
      </c>
      <c r="G61" s="1116"/>
      <c r="H61" s="1116">
        <f>H46/(H4+H5)</f>
        <v>250.80065741999999</v>
      </c>
      <c r="I61" s="1117">
        <f>I46/(I4+I5)</f>
        <v>0</v>
      </c>
      <c r="J61" s="1122">
        <f>J46/(J4+J5)</f>
        <v>336.95709027777775</v>
      </c>
      <c r="K61" s="1115"/>
      <c r="L61" s="1115">
        <f>L46/(L4+L5)</f>
        <v>316.93016892580226</v>
      </c>
      <c r="M61" s="1116"/>
      <c r="N61" s="1116">
        <f>N46/(N4+N5)</f>
        <v>752.17919566271974</v>
      </c>
      <c r="O61" s="1117">
        <f>O46/(O4+O5)</f>
        <v>0</v>
      </c>
      <c r="P61" s="1122">
        <f>P46/(P4+P5)</f>
        <v>-15.561354166666677</v>
      </c>
      <c r="Q61" s="1115"/>
      <c r="R61" s="1115">
        <f>R46/(R4+R5)</f>
        <v>-101.45872540613667</v>
      </c>
      <c r="S61" s="1116"/>
      <c r="T61" s="1116">
        <f>T46/(T4+T5)</f>
        <v>659.7558868000001</v>
      </c>
      <c r="U61" s="1117">
        <f>U46/(U4+U5)</f>
        <v>0</v>
      </c>
    </row>
    <row r="62" spans="1:21" s="953" customFormat="1" ht="14.25" customHeight="1">
      <c r="A62" s="950"/>
    </row>
    <row r="63" spans="1:21" s="953" customFormat="1" ht="14.25" customHeight="1">
      <c r="A63" s="950"/>
    </row>
    <row r="64" spans="1:21" s="953" customFormat="1" ht="14.25" customHeight="1">
      <c r="A64" s="950"/>
    </row>
    <row r="65" spans="1:1" s="953" customFormat="1" ht="14.25">
      <c r="A65" s="950"/>
    </row>
    <row r="66" spans="1:1" s="953" customFormat="1" ht="14.25" customHeight="1">
      <c r="A66" s="950"/>
    </row>
    <row r="67" spans="1:1" s="953" customFormat="1" ht="14.25" customHeight="1">
      <c r="A67" s="950"/>
    </row>
    <row r="68" spans="1:1" s="953" customFormat="1" ht="14.25" customHeight="1">
      <c r="A68" s="950"/>
    </row>
    <row r="69" spans="1:1" s="953" customFormat="1" ht="14.25" customHeight="1">
      <c r="A69" s="950"/>
    </row>
    <row r="70" spans="1:1" s="953" customFormat="1" ht="14.25" customHeight="1">
      <c r="A70" s="950"/>
    </row>
    <row r="71" spans="1:1" s="953" customFormat="1" ht="14.25" customHeight="1">
      <c r="A71" s="950"/>
    </row>
    <row r="72" spans="1:1" s="953" customFormat="1" ht="14.25" customHeight="1">
      <c r="A72" s="950"/>
    </row>
    <row r="73" spans="1:1" s="953" customFormat="1" ht="14.25" customHeight="1">
      <c r="A73" s="950"/>
    </row>
    <row r="74" spans="1:1" s="953" customFormat="1" ht="14.25" customHeight="1">
      <c r="A74" s="950"/>
    </row>
    <row r="75" spans="1:1" s="953" customFormat="1" ht="14.25" customHeight="1">
      <c r="A75" s="950"/>
    </row>
    <row r="76" spans="1:1" s="953" customFormat="1" ht="14.25" customHeight="1">
      <c r="A76" s="950"/>
    </row>
    <row r="77" spans="1:1" s="953" customFormat="1" ht="14.25" customHeight="1">
      <c r="A77" s="950"/>
    </row>
    <row r="78" spans="1:1" s="953" customFormat="1" ht="14.25" customHeight="1">
      <c r="A78" s="950"/>
    </row>
    <row r="79" spans="1:1" s="953" customFormat="1" ht="14.25" customHeight="1">
      <c r="A79" s="950"/>
    </row>
    <row r="80" spans="1:1" s="953" customFormat="1" ht="14.25" customHeight="1">
      <c r="A80" s="950"/>
    </row>
    <row r="81" spans="1:1" s="953" customFormat="1" ht="14.25">
      <c r="A81" s="950"/>
    </row>
    <row r="82" spans="1:1" s="953" customFormat="1" ht="14.25">
      <c r="A82" s="950"/>
    </row>
    <row r="83" spans="1:1" s="953" customFormat="1" ht="14.25">
      <c r="A83" s="950"/>
    </row>
    <row r="84" spans="1:1" s="953" customFormat="1" ht="14.25">
      <c r="A84" s="950"/>
    </row>
    <row r="85" spans="1:1" s="953" customFormat="1" ht="14.25">
      <c r="A85" s="950"/>
    </row>
    <row r="86" spans="1:1" s="953" customFormat="1" ht="14.25">
      <c r="A86" s="950"/>
    </row>
    <row r="87" spans="1:1" s="953" customFormat="1" ht="14.25">
      <c r="A87" s="950"/>
    </row>
    <row r="88" spans="1:1" s="953" customFormat="1" ht="14.25">
      <c r="A88" s="950"/>
    </row>
  </sheetData>
  <mergeCells count="1">
    <mergeCell ref="V2:X2"/>
  </mergeCells>
  <conditionalFormatting sqref="X26 X12">
    <cfRule type="cellIs" dxfId="24" priority="1" operator="lessThan">
      <formula>0</formula>
    </cfRule>
  </conditionalFormatting>
  <hyperlinks>
    <hyperlink ref="V2" location="INDEX!A1" display="INDEX!A1"/>
  </hyperlinks>
  <printOptions horizontalCentered="1"/>
  <pageMargins left="0" right="0" top="0" bottom="0" header="0" footer="0"/>
  <pageSetup paperSize="9" scale="85"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66"/>
  </sheetPr>
  <dimension ref="B1:G62"/>
  <sheetViews>
    <sheetView workbookViewId="0">
      <selection activeCell="D1" sqref="D1:F1"/>
    </sheetView>
  </sheetViews>
  <sheetFormatPr defaultRowHeight="12.75"/>
  <cols>
    <col min="1" max="1" width="3.140625" style="435" customWidth="1"/>
    <col min="2" max="2" width="31.140625" style="435" bestFit="1" customWidth="1"/>
    <col min="3" max="3" width="11.7109375" style="435" customWidth="1"/>
    <col min="4" max="4" width="9.140625" style="435"/>
    <col min="5" max="5" width="10.5703125" style="435" bestFit="1" customWidth="1"/>
    <col min="6" max="6" width="10.42578125" style="435" customWidth="1"/>
    <col min="7" max="7" width="5.42578125" style="435" bestFit="1" customWidth="1"/>
    <col min="8" max="256" width="9.140625" style="435"/>
    <col min="257" max="257" width="3.140625" style="435" customWidth="1"/>
    <col min="258" max="258" width="31.140625" style="435" bestFit="1" customWidth="1"/>
    <col min="259" max="259" width="11.7109375" style="435" customWidth="1"/>
    <col min="260" max="260" width="9.140625" style="435"/>
    <col min="261" max="261" width="10.5703125" style="435" bestFit="1" customWidth="1"/>
    <col min="262" max="262" width="10.42578125" style="435" customWidth="1"/>
    <col min="263" max="263" width="5.42578125" style="435" bestFit="1" customWidth="1"/>
    <col min="264" max="512" width="9.140625" style="435"/>
    <col min="513" max="513" width="3.140625" style="435" customWidth="1"/>
    <col min="514" max="514" width="31.140625" style="435" bestFit="1" customWidth="1"/>
    <col min="515" max="515" width="11.7109375" style="435" customWidth="1"/>
    <col min="516" max="516" width="9.140625" style="435"/>
    <col min="517" max="517" width="10.5703125" style="435" bestFit="1" customWidth="1"/>
    <col min="518" max="518" width="10.42578125" style="435" customWidth="1"/>
    <col min="519" max="519" width="5.42578125" style="435" bestFit="1" customWidth="1"/>
    <col min="520" max="768" width="9.140625" style="435"/>
    <col min="769" max="769" width="3.140625" style="435" customWidth="1"/>
    <col min="770" max="770" width="31.140625" style="435" bestFit="1" customWidth="1"/>
    <col min="771" max="771" width="11.7109375" style="435" customWidth="1"/>
    <col min="772" max="772" width="9.140625" style="435"/>
    <col min="773" max="773" width="10.5703125" style="435" bestFit="1" customWidth="1"/>
    <col min="774" max="774" width="10.42578125" style="435" customWidth="1"/>
    <col min="775" max="775" width="5.42578125" style="435" bestFit="1" customWidth="1"/>
    <col min="776" max="1024" width="9.140625" style="435"/>
    <col min="1025" max="1025" width="3.140625" style="435" customWidth="1"/>
    <col min="1026" max="1026" width="31.140625" style="435" bestFit="1" customWidth="1"/>
    <col min="1027" max="1027" width="11.7109375" style="435" customWidth="1"/>
    <col min="1028" max="1028" width="9.140625" style="435"/>
    <col min="1029" max="1029" width="10.5703125" style="435" bestFit="1" customWidth="1"/>
    <col min="1030" max="1030" width="10.42578125" style="435" customWidth="1"/>
    <col min="1031" max="1031" width="5.42578125" style="435" bestFit="1" customWidth="1"/>
    <col min="1032" max="1280" width="9.140625" style="435"/>
    <col min="1281" max="1281" width="3.140625" style="435" customWidth="1"/>
    <col min="1282" max="1282" width="31.140625" style="435" bestFit="1" customWidth="1"/>
    <col min="1283" max="1283" width="11.7109375" style="435" customWidth="1"/>
    <col min="1284" max="1284" width="9.140625" style="435"/>
    <col min="1285" max="1285" width="10.5703125" style="435" bestFit="1" customWidth="1"/>
    <col min="1286" max="1286" width="10.42578125" style="435" customWidth="1"/>
    <col min="1287" max="1287" width="5.42578125" style="435" bestFit="1" customWidth="1"/>
    <col min="1288" max="1536" width="9.140625" style="435"/>
    <col min="1537" max="1537" width="3.140625" style="435" customWidth="1"/>
    <col min="1538" max="1538" width="31.140625" style="435" bestFit="1" customWidth="1"/>
    <col min="1539" max="1539" width="11.7109375" style="435" customWidth="1"/>
    <col min="1540" max="1540" width="9.140625" style="435"/>
    <col min="1541" max="1541" width="10.5703125" style="435" bestFit="1" customWidth="1"/>
    <col min="1542" max="1542" width="10.42578125" style="435" customWidth="1"/>
    <col min="1543" max="1543" width="5.42578125" style="435" bestFit="1" customWidth="1"/>
    <col min="1544" max="1792" width="9.140625" style="435"/>
    <col min="1793" max="1793" width="3.140625" style="435" customWidth="1"/>
    <col min="1794" max="1794" width="31.140625" style="435" bestFit="1" customWidth="1"/>
    <col min="1795" max="1795" width="11.7109375" style="435" customWidth="1"/>
    <col min="1796" max="1796" width="9.140625" style="435"/>
    <col min="1797" max="1797" width="10.5703125" style="435" bestFit="1" customWidth="1"/>
    <col min="1798" max="1798" width="10.42578125" style="435" customWidth="1"/>
    <col min="1799" max="1799" width="5.42578125" style="435" bestFit="1" customWidth="1"/>
    <col min="1800" max="2048" width="9.140625" style="435"/>
    <col min="2049" max="2049" width="3.140625" style="435" customWidth="1"/>
    <col min="2050" max="2050" width="31.140625" style="435" bestFit="1" customWidth="1"/>
    <col min="2051" max="2051" width="11.7109375" style="435" customWidth="1"/>
    <col min="2052" max="2052" width="9.140625" style="435"/>
    <col min="2053" max="2053" width="10.5703125" style="435" bestFit="1" customWidth="1"/>
    <col min="2054" max="2054" width="10.42578125" style="435" customWidth="1"/>
    <col min="2055" max="2055" width="5.42578125" style="435" bestFit="1" customWidth="1"/>
    <col min="2056" max="2304" width="9.140625" style="435"/>
    <col min="2305" max="2305" width="3.140625" style="435" customWidth="1"/>
    <col min="2306" max="2306" width="31.140625" style="435" bestFit="1" customWidth="1"/>
    <col min="2307" max="2307" width="11.7109375" style="435" customWidth="1"/>
    <col min="2308" max="2308" width="9.140625" style="435"/>
    <col min="2309" max="2309" width="10.5703125" style="435" bestFit="1" customWidth="1"/>
    <col min="2310" max="2310" width="10.42578125" style="435" customWidth="1"/>
    <col min="2311" max="2311" width="5.42578125" style="435" bestFit="1" customWidth="1"/>
    <col min="2312" max="2560" width="9.140625" style="435"/>
    <col min="2561" max="2561" width="3.140625" style="435" customWidth="1"/>
    <col min="2562" max="2562" width="31.140625" style="435" bestFit="1" customWidth="1"/>
    <col min="2563" max="2563" width="11.7109375" style="435" customWidth="1"/>
    <col min="2564" max="2564" width="9.140625" style="435"/>
    <col min="2565" max="2565" width="10.5703125" style="435" bestFit="1" customWidth="1"/>
    <col min="2566" max="2566" width="10.42578125" style="435" customWidth="1"/>
    <col min="2567" max="2567" width="5.42578125" style="435" bestFit="1" customWidth="1"/>
    <col min="2568" max="2816" width="9.140625" style="435"/>
    <col min="2817" max="2817" width="3.140625" style="435" customWidth="1"/>
    <col min="2818" max="2818" width="31.140625" style="435" bestFit="1" customWidth="1"/>
    <col min="2819" max="2819" width="11.7109375" style="435" customWidth="1"/>
    <col min="2820" max="2820" width="9.140625" style="435"/>
    <col min="2821" max="2821" width="10.5703125" style="435" bestFit="1" customWidth="1"/>
    <col min="2822" max="2822" width="10.42578125" style="435" customWidth="1"/>
    <col min="2823" max="2823" width="5.42578125" style="435" bestFit="1" customWidth="1"/>
    <col min="2824" max="3072" width="9.140625" style="435"/>
    <col min="3073" max="3073" width="3.140625" style="435" customWidth="1"/>
    <col min="3074" max="3074" width="31.140625" style="435" bestFit="1" customWidth="1"/>
    <col min="3075" max="3075" width="11.7109375" style="435" customWidth="1"/>
    <col min="3076" max="3076" width="9.140625" style="435"/>
    <col min="3077" max="3077" width="10.5703125" style="435" bestFit="1" customWidth="1"/>
    <col min="3078" max="3078" width="10.42578125" style="435" customWidth="1"/>
    <col min="3079" max="3079" width="5.42578125" style="435" bestFit="1" customWidth="1"/>
    <col min="3080" max="3328" width="9.140625" style="435"/>
    <col min="3329" max="3329" width="3.140625" style="435" customWidth="1"/>
    <col min="3330" max="3330" width="31.140625" style="435" bestFit="1" customWidth="1"/>
    <col min="3331" max="3331" width="11.7109375" style="435" customWidth="1"/>
    <col min="3332" max="3332" width="9.140625" style="435"/>
    <col min="3333" max="3333" width="10.5703125" style="435" bestFit="1" customWidth="1"/>
    <col min="3334" max="3334" width="10.42578125" style="435" customWidth="1"/>
    <col min="3335" max="3335" width="5.42578125" style="435" bestFit="1" customWidth="1"/>
    <col min="3336" max="3584" width="9.140625" style="435"/>
    <col min="3585" max="3585" width="3.140625" style="435" customWidth="1"/>
    <col min="3586" max="3586" width="31.140625" style="435" bestFit="1" customWidth="1"/>
    <col min="3587" max="3587" width="11.7109375" style="435" customWidth="1"/>
    <col min="3588" max="3588" width="9.140625" style="435"/>
    <col min="3589" max="3589" width="10.5703125" style="435" bestFit="1" customWidth="1"/>
    <col min="3590" max="3590" width="10.42578125" style="435" customWidth="1"/>
    <col min="3591" max="3591" width="5.42578125" style="435" bestFit="1" customWidth="1"/>
    <col min="3592" max="3840" width="9.140625" style="435"/>
    <col min="3841" max="3841" width="3.140625" style="435" customWidth="1"/>
    <col min="3842" max="3842" width="31.140625" style="435" bestFit="1" customWidth="1"/>
    <col min="3843" max="3843" width="11.7109375" style="435" customWidth="1"/>
    <col min="3844" max="3844" width="9.140625" style="435"/>
    <col min="3845" max="3845" width="10.5703125" style="435" bestFit="1" customWidth="1"/>
    <col min="3846" max="3846" width="10.42578125" style="435" customWidth="1"/>
    <col min="3847" max="3847" width="5.42578125" style="435" bestFit="1" customWidth="1"/>
    <col min="3848" max="4096" width="9.140625" style="435"/>
    <col min="4097" max="4097" width="3.140625" style="435" customWidth="1"/>
    <col min="4098" max="4098" width="31.140625" style="435" bestFit="1" customWidth="1"/>
    <col min="4099" max="4099" width="11.7109375" style="435" customWidth="1"/>
    <col min="4100" max="4100" width="9.140625" style="435"/>
    <col min="4101" max="4101" width="10.5703125" style="435" bestFit="1" customWidth="1"/>
    <col min="4102" max="4102" width="10.42578125" style="435" customWidth="1"/>
    <col min="4103" max="4103" width="5.42578125" style="435" bestFit="1" customWidth="1"/>
    <col min="4104" max="4352" width="9.140625" style="435"/>
    <col min="4353" max="4353" width="3.140625" style="435" customWidth="1"/>
    <col min="4354" max="4354" width="31.140625" style="435" bestFit="1" customWidth="1"/>
    <col min="4355" max="4355" width="11.7109375" style="435" customWidth="1"/>
    <col min="4356" max="4356" width="9.140625" style="435"/>
    <col min="4357" max="4357" width="10.5703125" style="435" bestFit="1" customWidth="1"/>
    <col min="4358" max="4358" width="10.42578125" style="435" customWidth="1"/>
    <col min="4359" max="4359" width="5.42578125" style="435" bestFit="1" customWidth="1"/>
    <col min="4360" max="4608" width="9.140625" style="435"/>
    <col min="4609" max="4609" width="3.140625" style="435" customWidth="1"/>
    <col min="4610" max="4610" width="31.140625" style="435" bestFit="1" customWidth="1"/>
    <col min="4611" max="4611" width="11.7109375" style="435" customWidth="1"/>
    <col min="4612" max="4612" width="9.140625" style="435"/>
    <col min="4613" max="4613" width="10.5703125" style="435" bestFit="1" customWidth="1"/>
    <col min="4614" max="4614" width="10.42578125" style="435" customWidth="1"/>
    <col min="4615" max="4615" width="5.42578125" style="435" bestFit="1" customWidth="1"/>
    <col min="4616" max="4864" width="9.140625" style="435"/>
    <col min="4865" max="4865" width="3.140625" style="435" customWidth="1"/>
    <col min="4866" max="4866" width="31.140625" style="435" bestFit="1" customWidth="1"/>
    <col min="4867" max="4867" width="11.7109375" style="435" customWidth="1"/>
    <col min="4868" max="4868" width="9.140625" style="435"/>
    <col min="4869" max="4869" width="10.5703125" style="435" bestFit="1" customWidth="1"/>
    <col min="4870" max="4870" width="10.42578125" style="435" customWidth="1"/>
    <col min="4871" max="4871" width="5.42578125" style="435" bestFit="1" customWidth="1"/>
    <col min="4872" max="5120" width="9.140625" style="435"/>
    <col min="5121" max="5121" width="3.140625" style="435" customWidth="1"/>
    <col min="5122" max="5122" width="31.140625" style="435" bestFit="1" customWidth="1"/>
    <col min="5123" max="5123" width="11.7109375" style="435" customWidth="1"/>
    <col min="5124" max="5124" width="9.140625" style="435"/>
    <col min="5125" max="5125" width="10.5703125" style="435" bestFit="1" customWidth="1"/>
    <col min="5126" max="5126" width="10.42578125" style="435" customWidth="1"/>
    <col min="5127" max="5127" width="5.42578125" style="435" bestFit="1" customWidth="1"/>
    <col min="5128" max="5376" width="9.140625" style="435"/>
    <col min="5377" max="5377" width="3.140625" style="435" customWidth="1"/>
    <col min="5378" max="5378" width="31.140625" style="435" bestFit="1" customWidth="1"/>
    <col min="5379" max="5379" width="11.7109375" style="435" customWidth="1"/>
    <col min="5380" max="5380" width="9.140625" style="435"/>
    <col min="5381" max="5381" width="10.5703125" style="435" bestFit="1" customWidth="1"/>
    <col min="5382" max="5382" width="10.42578125" style="435" customWidth="1"/>
    <col min="5383" max="5383" width="5.42578125" style="435" bestFit="1" customWidth="1"/>
    <col min="5384" max="5632" width="9.140625" style="435"/>
    <col min="5633" max="5633" width="3.140625" style="435" customWidth="1"/>
    <col min="5634" max="5634" width="31.140625" style="435" bestFit="1" customWidth="1"/>
    <col min="5635" max="5635" width="11.7109375" style="435" customWidth="1"/>
    <col min="5636" max="5636" width="9.140625" style="435"/>
    <col min="5637" max="5637" width="10.5703125" style="435" bestFit="1" customWidth="1"/>
    <col min="5638" max="5638" width="10.42578125" style="435" customWidth="1"/>
    <col min="5639" max="5639" width="5.42578125" style="435" bestFit="1" customWidth="1"/>
    <col min="5640" max="5888" width="9.140625" style="435"/>
    <col min="5889" max="5889" width="3.140625" style="435" customWidth="1"/>
    <col min="5890" max="5890" width="31.140625" style="435" bestFit="1" customWidth="1"/>
    <col min="5891" max="5891" width="11.7109375" style="435" customWidth="1"/>
    <col min="5892" max="5892" width="9.140625" style="435"/>
    <col min="5893" max="5893" width="10.5703125" style="435" bestFit="1" customWidth="1"/>
    <col min="5894" max="5894" width="10.42578125" style="435" customWidth="1"/>
    <col min="5895" max="5895" width="5.42578125" style="435" bestFit="1" customWidth="1"/>
    <col min="5896" max="6144" width="9.140625" style="435"/>
    <col min="6145" max="6145" width="3.140625" style="435" customWidth="1"/>
    <col min="6146" max="6146" width="31.140625" style="435" bestFit="1" customWidth="1"/>
    <col min="6147" max="6147" width="11.7109375" style="435" customWidth="1"/>
    <col min="6148" max="6148" width="9.140625" style="435"/>
    <col min="6149" max="6149" width="10.5703125" style="435" bestFit="1" customWidth="1"/>
    <col min="6150" max="6150" width="10.42578125" style="435" customWidth="1"/>
    <col min="6151" max="6151" width="5.42578125" style="435" bestFit="1" customWidth="1"/>
    <col min="6152" max="6400" width="9.140625" style="435"/>
    <col min="6401" max="6401" width="3.140625" style="435" customWidth="1"/>
    <col min="6402" max="6402" width="31.140625" style="435" bestFit="1" customWidth="1"/>
    <col min="6403" max="6403" width="11.7109375" style="435" customWidth="1"/>
    <col min="6404" max="6404" width="9.140625" style="435"/>
    <col min="6405" max="6405" width="10.5703125" style="435" bestFit="1" customWidth="1"/>
    <col min="6406" max="6406" width="10.42578125" style="435" customWidth="1"/>
    <col min="6407" max="6407" width="5.42578125" style="435" bestFit="1" customWidth="1"/>
    <col min="6408" max="6656" width="9.140625" style="435"/>
    <col min="6657" max="6657" width="3.140625" style="435" customWidth="1"/>
    <col min="6658" max="6658" width="31.140625" style="435" bestFit="1" customWidth="1"/>
    <col min="6659" max="6659" width="11.7109375" style="435" customWidth="1"/>
    <col min="6660" max="6660" width="9.140625" style="435"/>
    <col min="6661" max="6661" width="10.5703125" style="435" bestFit="1" customWidth="1"/>
    <col min="6662" max="6662" width="10.42578125" style="435" customWidth="1"/>
    <col min="6663" max="6663" width="5.42578125" style="435" bestFit="1" customWidth="1"/>
    <col min="6664" max="6912" width="9.140625" style="435"/>
    <col min="6913" max="6913" width="3.140625" style="435" customWidth="1"/>
    <col min="6914" max="6914" width="31.140625" style="435" bestFit="1" customWidth="1"/>
    <col min="6915" max="6915" width="11.7109375" style="435" customWidth="1"/>
    <col min="6916" max="6916" width="9.140625" style="435"/>
    <col min="6917" max="6917" width="10.5703125" style="435" bestFit="1" customWidth="1"/>
    <col min="6918" max="6918" width="10.42578125" style="435" customWidth="1"/>
    <col min="6919" max="6919" width="5.42578125" style="435" bestFit="1" customWidth="1"/>
    <col min="6920" max="7168" width="9.140625" style="435"/>
    <col min="7169" max="7169" width="3.140625" style="435" customWidth="1"/>
    <col min="7170" max="7170" width="31.140625" style="435" bestFit="1" customWidth="1"/>
    <col min="7171" max="7171" width="11.7109375" style="435" customWidth="1"/>
    <col min="7172" max="7172" width="9.140625" style="435"/>
    <col min="7173" max="7173" width="10.5703125" style="435" bestFit="1" customWidth="1"/>
    <col min="7174" max="7174" width="10.42578125" style="435" customWidth="1"/>
    <col min="7175" max="7175" width="5.42578125" style="435" bestFit="1" customWidth="1"/>
    <col min="7176" max="7424" width="9.140625" style="435"/>
    <col min="7425" max="7425" width="3.140625" style="435" customWidth="1"/>
    <col min="7426" max="7426" width="31.140625" style="435" bestFit="1" customWidth="1"/>
    <col min="7427" max="7427" width="11.7109375" style="435" customWidth="1"/>
    <col min="7428" max="7428" width="9.140625" style="435"/>
    <col min="7429" max="7429" width="10.5703125" style="435" bestFit="1" customWidth="1"/>
    <col min="7430" max="7430" width="10.42578125" style="435" customWidth="1"/>
    <col min="7431" max="7431" width="5.42578125" style="435" bestFit="1" customWidth="1"/>
    <col min="7432" max="7680" width="9.140625" style="435"/>
    <col min="7681" max="7681" width="3.140625" style="435" customWidth="1"/>
    <col min="7682" max="7682" width="31.140625" style="435" bestFit="1" customWidth="1"/>
    <col min="7683" max="7683" width="11.7109375" style="435" customWidth="1"/>
    <col min="7684" max="7684" width="9.140625" style="435"/>
    <col min="7685" max="7685" width="10.5703125" style="435" bestFit="1" customWidth="1"/>
    <col min="7686" max="7686" width="10.42578125" style="435" customWidth="1"/>
    <col min="7687" max="7687" width="5.42578125" style="435" bestFit="1" customWidth="1"/>
    <col min="7688" max="7936" width="9.140625" style="435"/>
    <col min="7937" max="7937" width="3.140625" style="435" customWidth="1"/>
    <col min="7938" max="7938" width="31.140625" style="435" bestFit="1" customWidth="1"/>
    <col min="7939" max="7939" width="11.7109375" style="435" customWidth="1"/>
    <col min="7940" max="7940" width="9.140625" style="435"/>
    <col min="7941" max="7941" width="10.5703125" style="435" bestFit="1" customWidth="1"/>
    <col min="7942" max="7942" width="10.42578125" style="435" customWidth="1"/>
    <col min="7943" max="7943" width="5.42578125" style="435" bestFit="1" customWidth="1"/>
    <col min="7944" max="8192" width="9.140625" style="435"/>
    <col min="8193" max="8193" width="3.140625" style="435" customWidth="1"/>
    <col min="8194" max="8194" width="31.140625" style="435" bestFit="1" customWidth="1"/>
    <col min="8195" max="8195" width="11.7109375" style="435" customWidth="1"/>
    <col min="8196" max="8196" width="9.140625" style="435"/>
    <col min="8197" max="8197" width="10.5703125" style="435" bestFit="1" customWidth="1"/>
    <col min="8198" max="8198" width="10.42578125" style="435" customWidth="1"/>
    <col min="8199" max="8199" width="5.42578125" style="435" bestFit="1" customWidth="1"/>
    <col min="8200" max="8448" width="9.140625" style="435"/>
    <col min="8449" max="8449" width="3.140625" style="435" customWidth="1"/>
    <col min="8450" max="8450" width="31.140625" style="435" bestFit="1" customWidth="1"/>
    <col min="8451" max="8451" width="11.7109375" style="435" customWidth="1"/>
    <col min="8452" max="8452" width="9.140625" style="435"/>
    <col min="8453" max="8453" width="10.5703125" style="435" bestFit="1" customWidth="1"/>
    <col min="8454" max="8454" width="10.42578125" style="435" customWidth="1"/>
    <col min="8455" max="8455" width="5.42578125" style="435" bestFit="1" customWidth="1"/>
    <col min="8456" max="8704" width="9.140625" style="435"/>
    <col min="8705" max="8705" width="3.140625" style="435" customWidth="1"/>
    <col min="8706" max="8706" width="31.140625" style="435" bestFit="1" customWidth="1"/>
    <col min="8707" max="8707" width="11.7109375" style="435" customWidth="1"/>
    <col min="8708" max="8708" width="9.140625" style="435"/>
    <col min="8709" max="8709" width="10.5703125" style="435" bestFit="1" customWidth="1"/>
    <col min="8710" max="8710" width="10.42578125" style="435" customWidth="1"/>
    <col min="8711" max="8711" width="5.42578125" style="435" bestFit="1" customWidth="1"/>
    <col min="8712" max="8960" width="9.140625" style="435"/>
    <col min="8961" max="8961" width="3.140625" style="435" customWidth="1"/>
    <col min="8962" max="8962" width="31.140625" style="435" bestFit="1" customWidth="1"/>
    <col min="8963" max="8963" width="11.7109375" style="435" customWidth="1"/>
    <col min="8964" max="8964" width="9.140625" style="435"/>
    <col min="8965" max="8965" width="10.5703125" style="435" bestFit="1" customWidth="1"/>
    <col min="8966" max="8966" width="10.42578125" style="435" customWidth="1"/>
    <col min="8967" max="8967" width="5.42578125" style="435" bestFit="1" customWidth="1"/>
    <col min="8968" max="9216" width="9.140625" style="435"/>
    <col min="9217" max="9217" width="3.140625" style="435" customWidth="1"/>
    <col min="9218" max="9218" width="31.140625" style="435" bestFit="1" customWidth="1"/>
    <col min="9219" max="9219" width="11.7109375" style="435" customWidth="1"/>
    <col min="9220" max="9220" width="9.140625" style="435"/>
    <col min="9221" max="9221" width="10.5703125" style="435" bestFit="1" customWidth="1"/>
    <col min="9222" max="9222" width="10.42578125" style="435" customWidth="1"/>
    <col min="9223" max="9223" width="5.42578125" style="435" bestFit="1" customWidth="1"/>
    <col min="9224" max="9472" width="9.140625" style="435"/>
    <col min="9473" max="9473" width="3.140625" style="435" customWidth="1"/>
    <col min="9474" max="9474" width="31.140625" style="435" bestFit="1" customWidth="1"/>
    <col min="9475" max="9475" width="11.7109375" style="435" customWidth="1"/>
    <col min="9476" max="9476" width="9.140625" style="435"/>
    <col min="9477" max="9477" width="10.5703125" style="435" bestFit="1" customWidth="1"/>
    <col min="9478" max="9478" width="10.42578125" style="435" customWidth="1"/>
    <col min="9479" max="9479" width="5.42578125" style="435" bestFit="1" customWidth="1"/>
    <col min="9480" max="9728" width="9.140625" style="435"/>
    <col min="9729" max="9729" width="3.140625" style="435" customWidth="1"/>
    <col min="9730" max="9730" width="31.140625" style="435" bestFit="1" customWidth="1"/>
    <col min="9731" max="9731" width="11.7109375" style="435" customWidth="1"/>
    <col min="9732" max="9732" width="9.140625" style="435"/>
    <col min="9733" max="9733" width="10.5703125" style="435" bestFit="1" customWidth="1"/>
    <col min="9734" max="9734" width="10.42578125" style="435" customWidth="1"/>
    <col min="9735" max="9735" width="5.42578125" style="435" bestFit="1" customWidth="1"/>
    <col min="9736" max="9984" width="9.140625" style="435"/>
    <col min="9985" max="9985" width="3.140625" style="435" customWidth="1"/>
    <col min="9986" max="9986" width="31.140625" style="435" bestFit="1" customWidth="1"/>
    <col min="9987" max="9987" width="11.7109375" style="435" customWidth="1"/>
    <col min="9988" max="9988" width="9.140625" style="435"/>
    <col min="9989" max="9989" width="10.5703125" style="435" bestFit="1" customWidth="1"/>
    <col min="9990" max="9990" width="10.42578125" style="435" customWidth="1"/>
    <col min="9991" max="9991" width="5.42578125" style="435" bestFit="1" customWidth="1"/>
    <col min="9992" max="10240" width="9.140625" style="435"/>
    <col min="10241" max="10241" width="3.140625" style="435" customWidth="1"/>
    <col min="10242" max="10242" width="31.140625" style="435" bestFit="1" customWidth="1"/>
    <col min="10243" max="10243" width="11.7109375" style="435" customWidth="1"/>
    <col min="10244" max="10244" width="9.140625" style="435"/>
    <col min="10245" max="10245" width="10.5703125" style="435" bestFit="1" customWidth="1"/>
    <col min="10246" max="10246" width="10.42578125" style="435" customWidth="1"/>
    <col min="10247" max="10247" width="5.42578125" style="435" bestFit="1" customWidth="1"/>
    <col min="10248" max="10496" width="9.140625" style="435"/>
    <col min="10497" max="10497" width="3.140625" style="435" customWidth="1"/>
    <col min="10498" max="10498" width="31.140625" style="435" bestFit="1" customWidth="1"/>
    <col min="10499" max="10499" width="11.7109375" style="435" customWidth="1"/>
    <col min="10500" max="10500" width="9.140625" style="435"/>
    <col min="10501" max="10501" width="10.5703125" style="435" bestFit="1" customWidth="1"/>
    <col min="10502" max="10502" width="10.42578125" style="435" customWidth="1"/>
    <col min="10503" max="10503" width="5.42578125" style="435" bestFit="1" customWidth="1"/>
    <col min="10504" max="10752" width="9.140625" style="435"/>
    <col min="10753" max="10753" width="3.140625" style="435" customWidth="1"/>
    <col min="10754" max="10754" width="31.140625" style="435" bestFit="1" customWidth="1"/>
    <col min="10755" max="10755" width="11.7109375" style="435" customWidth="1"/>
    <col min="10756" max="10756" width="9.140625" style="435"/>
    <col min="10757" max="10757" width="10.5703125" style="435" bestFit="1" customWidth="1"/>
    <col min="10758" max="10758" width="10.42578125" style="435" customWidth="1"/>
    <col min="10759" max="10759" width="5.42578125" style="435" bestFit="1" customWidth="1"/>
    <col min="10760" max="11008" width="9.140625" style="435"/>
    <col min="11009" max="11009" width="3.140625" style="435" customWidth="1"/>
    <col min="11010" max="11010" width="31.140625" style="435" bestFit="1" customWidth="1"/>
    <col min="11011" max="11011" width="11.7109375" style="435" customWidth="1"/>
    <col min="11012" max="11012" width="9.140625" style="435"/>
    <col min="11013" max="11013" width="10.5703125" style="435" bestFit="1" customWidth="1"/>
    <col min="11014" max="11014" width="10.42578125" style="435" customWidth="1"/>
    <col min="11015" max="11015" width="5.42578125" style="435" bestFit="1" customWidth="1"/>
    <col min="11016" max="11264" width="9.140625" style="435"/>
    <col min="11265" max="11265" width="3.140625" style="435" customWidth="1"/>
    <col min="11266" max="11266" width="31.140625" style="435" bestFit="1" customWidth="1"/>
    <col min="11267" max="11267" width="11.7109375" style="435" customWidth="1"/>
    <col min="11268" max="11268" width="9.140625" style="435"/>
    <col min="11269" max="11269" width="10.5703125" style="435" bestFit="1" customWidth="1"/>
    <col min="11270" max="11270" width="10.42578125" style="435" customWidth="1"/>
    <col min="11271" max="11271" width="5.42578125" style="435" bestFit="1" customWidth="1"/>
    <col min="11272" max="11520" width="9.140625" style="435"/>
    <col min="11521" max="11521" width="3.140625" style="435" customWidth="1"/>
    <col min="11522" max="11522" width="31.140625" style="435" bestFit="1" customWidth="1"/>
    <col min="11523" max="11523" width="11.7109375" style="435" customWidth="1"/>
    <col min="11524" max="11524" width="9.140625" style="435"/>
    <col min="11525" max="11525" width="10.5703125" style="435" bestFit="1" customWidth="1"/>
    <col min="11526" max="11526" width="10.42578125" style="435" customWidth="1"/>
    <col min="11527" max="11527" width="5.42578125" style="435" bestFit="1" customWidth="1"/>
    <col min="11528" max="11776" width="9.140625" style="435"/>
    <col min="11777" max="11777" width="3.140625" style="435" customWidth="1"/>
    <col min="11778" max="11778" width="31.140625" style="435" bestFit="1" customWidth="1"/>
    <col min="11779" max="11779" width="11.7109375" style="435" customWidth="1"/>
    <col min="11780" max="11780" width="9.140625" style="435"/>
    <col min="11781" max="11781" width="10.5703125" style="435" bestFit="1" customWidth="1"/>
    <col min="11782" max="11782" width="10.42578125" style="435" customWidth="1"/>
    <col min="11783" max="11783" width="5.42578125" style="435" bestFit="1" customWidth="1"/>
    <col min="11784" max="12032" width="9.140625" style="435"/>
    <col min="12033" max="12033" width="3.140625" style="435" customWidth="1"/>
    <col min="12034" max="12034" width="31.140625" style="435" bestFit="1" customWidth="1"/>
    <col min="12035" max="12035" width="11.7109375" style="435" customWidth="1"/>
    <col min="12036" max="12036" width="9.140625" style="435"/>
    <col min="12037" max="12037" width="10.5703125" style="435" bestFit="1" customWidth="1"/>
    <col min="12038" max="12038" width="10.42578125" style="435" customWidth="1"/>
    <col min="12039" max="12039" width="5.42578125" style="435" bestFit="1" customWidth="1"/>
    <col min="12040" max="12288" width="9.140625" style="435"/>
    <col min="12289" max="12289" width="3.140625" style="435" customWidth="1"/>
    <col min="12290" max="12290" width="31.140625" style="435" bestFit="1" customWidth="1"/>
    <col min="12291" max="12291" width="11.7109375" style="435" customWidth="1"/>
    <col min="12292" max="12292" width="9.140625" style="435"/>
    <col min="12293" max="12293" width="10.5703125" style="435" bestFit="1" customWidth="1"/>
    <col min="12294" max="12294" width="10.42578125" style="435" customWidth="1"/>
    <col min="12295" max="12295" width="5.42578125" style="435" bestFit="1" customWidth="1"/>
    <col min="12296" max="12544" width="9.140625" style="435"/>
    <col min="12545" max="12545" width="3.140625" style="435" customWidth="1"/>
    <col min="12546" max="12546" width="31.140625" style="435" bestFit="1" customWidth="1"/>
    <col min="12547" max="12547" width="11.7109375" style="435" customWidth="1"/>
    <col min="12548" max="12548" width="9.140625" style="435"/>
    <col min="12549" max="12549" width="10.5703125" style="435" bestFit="1" customWidth="1"/>
    <col min="12550" max="12550" width="10.42578125" style="435" customWidth="1"/>
    <col min="12551" max="12551" width="5.42578125" style="435" bestFit="1" customWidth="1"/>
    <col min="12552" max="12800" width="9.140625" style="435"/>
    <col min="12801" max="12801" width="3.140625" style="435" customWidth="1"/>
    <col min="12802" max="12802" width="31.140625" style="435" bestFit="1" customWidth="1"/>
    <col min="12803" max="12803" width="11.7109375" style="435" customWidth="1"/>
    <col min="12804" max="12804" width="9.140625" style="435"/>
    <col min="12805" max="12805" width="10.5703125" style="435" bestFit="1" customWidth="1"/>
    <col min="12806" max="12806" width="10.42578125" style="435" customWidth="1"/>
    <col min="12807" max="12807" width="5.42578125" style="435" bestFit="1" customWidth="1"/>
    <col min="12808" max="13056" width="9.140625" style="435"/>
    <col min="13057" max="13057" width="3.140625" style="435" customWidth="1"/>
    <col min="13058" max="13058" width="31.140625" style="435" bestFit="1" customWidth="1"/>
    <col min="13059" max="13059" width="11.7109375" style="435" customWidth="1"/>
    <col min="13060" max="13060" width="9.140625" style="435"/>
    <col min="13061" max="13061" width="10.5703125" style="435" bestFit="1" customWidth="1"/>
    <col min="13062" max="13062" width="10.42578125" style="435" customWidth="1"/>
    <col min="13063" max="13063" width="5.42578125" style="435" bestFit="1" customWidth="1"/>
    <col min="13064" max="13312" width="9.140625" style="435"/>
    <col min="13313" max="13313" width="3.140625" style="435" customWidth="1"/>
    <col min="13314" max="13314" width="31.140625" style="435" bestFit="1" customWidth="1"/>
    <col min="13315" max="13315" width="11.7109375" style="435" customWidth="1"/>
    <col min="13316" max="13316" width="9.140625" style="435"/>
    <col min="13317" max="13317" width="10.5703125" style="435" bestFit="1" customWidth="1"/>
    <col min="13318" max="13318" width="10.42578125" style="435" customWidth="1"/>
    <col min="13319" max="13319" width="5.42578125" style="435" bestFit="1" customWidth="1"/>
    <col min="13320" max="13568" width="9.140625" style="435"/>
    <col min="13569" max="13569" width="3.140625" style="435" customWidth="1"/>
    <col min="13570" max="13570" width="31.140625" style="435" bestFit="1" customWidth="1"/>
    <col min="13571" max="13571" width="11.7109375" style="435" customWidth="1"/>
    <col min="13572" max="13572" width="9.140625" style="435"/>
    <col min="13573" max="13573" width="10.5703125" style="435" bestFit="1" customWidth="1"/>
    <col min="13574" max="13574" width="10.42578125" style="435" customWidth="1"/>
    <col min="13575" max="13575" width="5.42578125" style="435" bestFit="1" customWidth="1"/>
    <col min="13576" max="13824" width="9.140625" style="435"/>
    <col min="13825" max="13825" width="3.140625" style="435" customWidth="1"/>
    <col min="13826" max="13826" width="31.140625" style="435" bestFit="1" customWidth="1"/>
    <col min="13827" max="13827" width="11.7109375" style="435" customWidth="1"/>
    <col min="13828" max="13828" width="9.140625" style="435"/>
    <col min="13829" max="13829" width="10.5703125" style="435" bestFit="1" customWidth="1"/>
    <col min="13830" max="13830" width="10.42578125" style="435" customWidth="1"/>
    <col min="13831" max="13831" width="5.42578125" style="435" bestFit="1" customWidth="1"/>
    <col min="13832" max="14080" width="9.140625" style="435"/>
    <col min="14081" max="14081" width="3.140625" style="435" customWidth="1"/>
    <col min="14082" max="14082" width="31.140625" style="435" bestFit="1" customWidth="1"/>
    <col min="14083" max="14083" width="11.7109375" style="435" customWidth="1"/>
    <col min="14084" max="14084" width="9.140625" style="435"/>
    <col min="14085" max="14085" width="10.5703125" style="435" bestFit="1" customWidth="1"/>
    <col min="14086" max="14086" width="10.42578125" style="435" customWidth="1"/>
    <col min="14087" max="14087" width="5.42578125" style="435" bestFit="1" customWidth="1"/>
    <col min="14088" max="14336" width="9.140625" style="435"/>
    <col min="14337" max="14337" width="3.140625" style="435" customWidth="1"/>
    <col min="14338" max="14338" width="31.140625" style="435" bestFit="1" customWidth="1"/>
    <col min="14339" max="14339" width="11.7109375" style="435" customWidth="1"/>
    <col min="14340" max="14340" width="9.140625" style="435"/>
    <col min="14341" max="14341" width="10.5703125" style="435" bestFit="1" customWidth="1"/>
    <col min="14342" max="14342" width="10.42578125" style="435" customWidth="1"/>
    <col min="14343" max="14343" width="5.42578125" style="435" bestFit="1" customWidth="1"/>
    <col min="14344" max="14592" width="9.140625" style="435"/>
    <col min="14593" max="14593" width="3.140625" style="435" customWidth="1"/>
    <col min="14594" max="14594" width="31.140625" style="435" bestFit="1" customWidth="1"/>
    <col min="14595" max="14595" width="11.7109375" style="435" customWidth="1"/>
    <col min="14596" max="14596" width="9.140625" style="435"/>
    <col min="14597" max="14597" width="10.5703125" style="435" bestFit="1" customWidth="1"/>
    <col min="14598" max="14598" width="10.42578125" style="435" customWidth="1"/>
    <col min="14599" max="14599" width="5.42578125" style="435" bestFit="1" customWidth="1"/>
    <col min="14600" max="14848" width="9.140625" style="435"/>
    <col min="14849" max="14849" width="3.140625" style="435" customWidth="1"/>
    <col min="14850" max="14850" width="31.140625" style="435" bestFit="1" customWidth="1"/>
    <col min="14851" max="14851" width="11.7109375" style="435" customWidth="1"/>
    <col min="14852" max="14852" width="9.140625" style="435"/>
    <col min="14853" max="14853" width="10.5703125" style="435" bestFit="1" customWidth="1"/>
    <col min="14854" max="14854" width="10.42578125" style="435" customWidth="1"/>
    <col min="14855" max="14855" width="5.42578125" style="435" bestFit="1" customWidth="1"/>
    <col min="14856" max="15104" width="9.140625" style="435"/>
    <col min="15105" max="15105" width="3.140625" style="435" customWidth="1"/>
    <col min="15106" max="15106" width="31.140625" style="435" bestFit="1" customWidth="1"/>
    <col min="15107" max="15107" width="11.7109375" style="435" customWidth="1"/>
    <col min="15108" max="15108" width="9.140625" style="435"/>
    <col min="15109" max="15109" width="10.5703125" style="435" bestFit="1" customWidth="1"/>
    <col min="15110" max="15110" width="10.42578125" style="435" customWidth="1"/>
    <col min="15111" max="15111" width="5.42578125" style="435" bestFit="1" customWidth="1"/>
    <col min="15112" max="15360" width="9.140625" style="435"/>
    <col min="15361" max="15361" width="3.140625" style="435" customWidth="1"/>
    <col min="15362" max="15362" width="31.140625" style="435" bestFit="1" customWidth="1"/>
    <col min="15363" max="15363" width="11.7109375" style="435" customWidth="1"/>
    <col min="15364" max="15364" width="9.140625" style="435"/>
    <col min="15365" max="15365" width="10.5703125" style="435" bestFit="1" customWidth="1"/>
    <col min="15366" max="15366" width="10.42578125" style="435" customWidth="1"/>
    <col min="15367" max="15367" width="5.42578125" style="435" bestFit="1" customWidth="1"/>
    <col min="15368" max="15616" width="9.140625" style="435"/>
    <col min="15617" max="15617" width="3.140625" style="435" customWidth="1"/>
    <col min="15618" max="15618" width="31.140625" style="435" bestFit="1" customWidth="1"/>
    <col min="15619" max="15619" width="11.7109375" style="435" customWidth="1"/>
    <col min="15620" max="15620" width="9.140625" style="435"/>
    <col min="15621" max="15621" width="10.5703125" style="435" bestFit="1" customWidth="1"/>
    <col min="15622" max="15622" width="10.42578125" style="435" customWidth="1"/>
    <col min="15623" max="15623" width="5.42578125" style="435" bestFit="1" customWidth="1"/>
    <col min="15624" max="15872" width="9.140625" style="435"/>
    <col min="15873" max="15873" width="3.140625" style="435" customWidth="1"/>
    <col min="15874" max="15874" width="31.140625" style="435" bestFit="1" customWidth="1"/>
    <col min="15875" max="15875" width="11.7109375" style="435" customWidth="1"/>
    <col min="15876" max="15876" width="9.140625" style="435"/>
    <col min="15877" max="15877" width="10.5703125" style="435" bestFit="1" customWidth="1"/>
    <col min="15878" max="15878" width="10.42578125" style="435" customWidth="1"/>
    <col min="15879" max="15879" width="5.42578125" style="435" bestFit="1" customWidth="1"/>
    <col min="15880" max="16128" width="9.140625" style="435"/>
    <col min="16129" max="16129" width="3.140625" style="435" customWidth="1"/>
    <col min="16130" max="16130" width="31.140625" style="435" bestFit="1" customWidth="1"/>
    <col min="16131" max="16131" width="11.7109375" style="435" customWidth="1"/>
    <col min="16132" max="16132" width="9.140625" style="435"/>
    <col min="16133" max="16133" width="10.5703125" style="435" bestFit="1" customWidth="1"/>
    <col min="16134" max="16134" width="10.42578125" style="435" customWidth="1"/>
    <col min="16135" max="16135" width="5.42578125" style="435" bestFit="1" customWidth="1"/>
    <col min="16136" max="16384" width="9.140625" style="435"/>
  </cols>
  <sheetData>
    <row r="1" spans="2:7" ht="15.75" customHeight="1" thickBot="1">
      <c r="D1" s="2767" t="s">
        <v>1749</v>
      </c>
      <c r="E1" s="2768"/>
      <c r="F1" s="2769"/>
    </row>
    <row r="2" spans="2:7" ht="13.5" thickBot="1"/>
    <row r="3" spans="2:7" ht="15">
      <c r="B3" s="2770" t="s">
        <v>571</v>
      </c>
      <c r="C3" s="2771"/>
      <c r="D3" s="2771"/>
      <c r="E3" s="2771"/>
      <c r="F3" s="2771"/>
      <c r="G3" s="2772"/>
    </row>
    <row r="4" spans="2:7" ht="14.25">
      <c r="B4" s="436"/>
      <c r="C4" s="437"/>
      <c r="D4" s="438"/>
      <c r="E4" s="438"/>
      <c r="F4" s="438"/>
      <c r="G4" s="439"/>
    </row>
    <row r="5" spans="2:7">
      <c r="B5" s="2773" t="s">
        <v>572</v>
      </c>
      <c r="C5" s="2774"/>
      <c r="D5" s="2774"/>
      <c r="E5" s="440">
        <v>2264</v>
      </c>
      <c r="F5" s="441" t="s">
        <v>357</v>
      </c>
      <c r="G5" s="442" t="s">
        <v>573</v>
      </c>
    </row>
    <row r="6" spans="2:7" ht="13.5" thickBot="1">
      <c r="B6" s="2773" t="s">
        <v>574</v>
      </c>
      <c r="C6" s="2774"/>
      <c r="D6" s="2774"/>
      <c r="E6" s="443">
        <v>46.6</v>
      </c>
      <c r="F6" s="441" t="s">
        <v>575</v>
      </c>
      <c r="G6" s="442" t="s">
        <v>573</v>
      </c>
    </row>
    <row r="7" spans="2:7" ht="16.5" thickBot="1">
      <c r="B7" s="2775" t="s">
        <v>576</v>
      </c>
      <c r="C7" s="2776"/>
      <c r="D7" s="2776"/>
      <c r="E7" s="444">
        <f>(((E5-1000)*((3.2*E6)-84)/3500)+((7*E6)-187))</f>
        <v>162.71762285714286</v>
      </c>
      <c r="F7" s="445" t="s">
        <v>577</v>
      </c>
      <c r="G7" s="439"/>
    </row>
    <row r="8" spans="2:7" ht="16.5" thickBot="1">
      <c r="B8" s="2775" t="s">
        <v>544</v>
      </c>
      <c r="C8" s="2776"/>
      <c r="D8" s="2776"/>
      <c r="E8" s="444">
        <f>E7+(E7*(E26/100))</f>
        <v>178.98938514285715</v>
      </c>
      <c r="F8" s="445" t="s">
        <v>577</v>
      </c>
      <c r="G8" s="439"/>
    </row>
    <row r="9" spans="2:7" ht="13.5" thickBot="1">
      <c r="B9" s="446"/>
      <c r="C9" s="447"/>
      <c r="D9" s="448"/>
      <c r="E9" s="449"/>
      <c r="F9" s="448"/>
      <c r="G9" s="450"/>
    </row>
    <row r="11" spans="2:7">
      <c r="B11" s="418"/>
    </row>
    <row r="13" spans="2:7" ht="13.5" thickBot="1"/>
    <row r="14" spans="2:7" ht="15">
      <c r="B14" s="2770" t="s">
        <v>578</v>
      </c>
      <c r="C14" s="2771"/>
      <c r="D14" s="2771"/>
      <c r="E14" s="2771"/>
      <c r="F14" s="2771"/>
      <c r="G14" s="2772"/>
    </row>
    <row r="15" spans="2:7" ht="14.25">
      <c r="B15" s="436"/>
      <c r="C15" s="437"/>
      <c r="D15" s="438"/>
      <c r="E15" s="438"/>
      <c r="F15" s="438"/>
      <c r="G15" s="439"/>
    </row>
    <row r="16" spans="2:7">
      <c r="B16" s="2773" t="s">
        <v>572</v>
      </c>
      <c r="C16" s="2774"/>
      <c r="D16" s="2774"/>
      <c r="E16" s="440">
        <v>2264</v>
      </c>
      <c r="F16" s="441" t="s">
        <v>357</v>
      </c>
      <c r="G16" s="442" t="s">
        <v>573</v>
      </c>
    </row>
    <row r="17" spans="2:7" ht="13.5" thickBot="1">
      <c r="B17" s="2773" t="s">
        <v>574</v>
      </c>
      <c r="C17" s="2774"/>
      <c r="D17" s="2774"/>
      <c r="E17" s="443">
        <v>46.6</v>
      </c>
      <c r="F17" s="441" t="s">
        <v>575</v>
      </c>
      <c r="G17" s="442" t="s">
        <v>573</v>
      </c>
    </row>
    <row r="18" spans="2:7" ht="16.5" thickBot="1">
      <c r="B18" s="2775" t="s">
        <v>576</v>
      </c>
      <c r="C18" s="2776"/>
      <c r="D18" s="2776"/>
      <c r="E18" s="444">
        <f>(((E16-1000)*((2.3*E17)-59.5)/2500)+((6.833*E17)-178))</f>
        <v>164.52480800000001</v>
      </c>
      <c r="F18" s="445" t="s">
        <v>577</v>
      </c>
      <c r="G18" s="439"/>
    </row>
    <row r="19" spans="2:7" ht="16.5" thickBot="1">
      <c r="B19" s="2775" t="s">
        <v>544</v>
      </c>
      <c r="C19" s="2776"/>
      <c r="D19" s="2776"/>
      <c r="E19" s="444">
        <f>E18+(E18*(E26/100))</f>
        <v>180.9772888</v>
      </c>
      <c r="F19" s="445" t="s">
        <v>577</v>
      </c>
      <c r="G19" s="439"/>
    </row>
    <row r="20" spans="2:7" ht="13.5" thickBot="1">
      <c r="B20" s="446"/>
      <c r="C20" s="447"/>
      <c r="D20" s="448"/>
      <c r="E20" s="449"/>
      <c r="F20" s="448"/>
      <c r="G20" s="450"/>
    </row>
    <row r="22" spans="2:7" ht="13.5" thickBot="1"/>
    <row r="23" spans="2:7" ht="15">
      <c r="B23" s="2770" t="s">
        <v>579</v>
      </c>
      <c r="C23" s="2771"/>
      <c r="D23" s="2771"/>
      <c r="E23" s="2771"/>
      <c r="F23" s="2771"/>
      <c r="G23" s="2772"/>
    </row>
    <row r="24" spans="2:7" ht="14.25">
      <c r="B24" s="436"/>
      <c r="C24" s="437"/>
      <c r="D24" s="438"/>
      <c r="E24" s="438"/>
      <c r="F24" s="438"/>
      <c r="G24" s="439"/>
    </row>
    <row r="25" spans="2:7" ht="13.5" thickBot="1">
      <c r="B25" s="2773" t="s">
        <v>580</v>
      </c>
      <c r="C25" s="2774"/>
      <c r="D25" s="2774"/>
      <c r="E25" s="443">
        <v>27.5</v>
      </c>
      <c r="F25" s="441" t="s">
        <v>575</v>
      </c>
      <c r="G25" s="442" t="s">
        <v>573</v>
      </c>
    </row>
    <row r="26" spans="2:7" ht="16.5" thickBot="1">
      <c r="B26" s="2775" t="s">
        <v>581</v>
      </c>
      <c r="C26" s="2776"/>
      <c r="D26" s="2776"/>
      <c r="E26" s="451">
        <f>(-4*E25+120)</f>
        <v>10</v>
      </c>
      <c r="F26" s="445" t="s">
        <v>211</v>
      </c>
      <c r="G26" s="439"/>
    </row>
    <row r="27" spans="2:7" ht="13.5" thickBot="1">
      <c r="B27" s="446"/>
      <c r="C27" s="447"/>
      <c r="D27" s="448"/>
      <c r="E27" s="449"/>
      <c r="F27" s="448"/>
      <c r="G27" s="450"/>
    </row>
    <row r="30" spans="2:7" ht="13.5" thickBot="1"/>
    <row r="31" spans="2:7">
      <c r="B31" s="452" t="s">
        <v>582</v>
      </c>
      <c r="C31" s="453"/>
      <c r="D31" s="453"/>
      <c r="E31" s="454"/>
    </row>
    <row r="32" spans="2:7">
      <c r="B32" s="455" t="s">
        <v>583</v>
      </c>
      <c r="C32" s="456"/>
      <c r="D32" s="456"/>
      <c r="E32" s="457"/>
    </row>
    <row r="33" spans="2:5">
      <c r="B33" s="455" t="s">
        <v>584</v>
      </c>
      <c r="C33" s="456"/>
      <c r="D33" s="456"/>
      <c r="E33" s="457"/>
    </row>
    <row r="34" spans="2:5">
      <c r="B34" s="455">
        <v>3</v>
      </c>
      <c r="C34" s="456"/>
      <c r="D34" s="456"/>
      <c r="E34" s="457"/>
    </row>
    <row r="35" spans="2:5">
      <c r="B35" s="455">
        <v>4</v>
      </c>
      <c r="C35" s="456"/>
      <c r="D35" s="456"/>
      <c r="E35" s="457"/>
    </row>
    <row r="36" spans="2:5">
      <c r="B36" s="455"/>
      <c r="C36" s="456"/>
      <c r="D36" s="456"/>
      <c r="E36" s="457"/>
    </row>
    <row r="37" spans="2:5">
      <c r="B37" s="455"/>
      <c r="C37" s="456"/>
      <c r="D37" s="456"/>
      <c r="E37" s="457"/>
    </row>
    <row r="38" spans="2:5">
      <c r="B38" s="455"/>
      <c r="C38" s="456"/>
      <c r="D38" s="456"/>
      <c r="E38" s="457"/>
    </row>
    <row r="39" spans="2:5">
      <c r="B39" s="455"/>
      <c r="C39" s="456"/>
      <c r="D39" s="456"/>
      <c r="E39" s="457"/>
    </row>
    <row r="40" spans="2:5">
      <c r="B40" s="455"/>
      <c r="C40" s="456"/>
      <c r="D40" s="456"/>
      <c r="E40" s="457"/>
    </row>
    <row r="41" spans="2:5">
      <c r="B41" s="455"/>
      <c r="C41" s="456"/>
      <c r="D41" s="456"/>
      <c r="E41" s="457"/>
    </row>
    <row r="42" spans="2:5">
      <c r="B42" s="455"/>
      <c r="C42" s="456"/>
      <c r="D42" s="456"/>
      <c r="E42" s="457"/>
    </row>
    <row r="43" spans="2:5">
      <c r="B43" s="455"/>
      <c r="C43" s="456"/>
      <c r="D43" s="456"/>
      <c r="E43" s="457"/>
    </row>
    <row r="44" spans="2:5">
      <c r="B44" s="455"/>
      <c r="C44" s="456"/>
      <c r="D44" s="456"/>
      <c r="E44" s="457"/>
    </row>
    <row r="45" spans="2:5">
      <c r="B45" s="455"/>
      <c r="C45" s="456"/>
      <c r="D45" s="456"/>
      <c r="E45" s="457"/>
    </row>
    <row r="46" spans="2:5">
      <c r="B46" s="455"/>
      <c r="C46" s="456"/>
      <c r="D46" s="456"/>
      <c r="E46" s="457"/>
    </row>
    <row r="47" spans="2:5">
      <c r="B47" s="455"/>
      <c r="C47" s="456"/>
      <c r="D47" s="456"/>
      <c r="E47" s="457"/>
    </row>
    <row r="48" spans="2:5">
      <c r="B48" s="455"/>
      <c r="C48" s="456"/>
      <c r="D48" s="456"/>
      <c r="E48" s="457"/>
    </row>
    <row r="49" spans="2:5">
      <c r="B49" s="455"/>
      <c r="C49" s="456"/>
      <c r="D49" s="456"/>
      <c r="E49" s="457"/>
    </row>
    <row r="50" spans="2:5">
      <c r="B50" s="455"/>
      <c r="C50" s="456"/>
      <c r="D50" s="456"/>
      <c r="E50" s="457"/>
    </row>
    <row r="51" spans="2:5">
      <c r="B51" s="455"/>
      <c r="C51" s="456"/>
      <c r="D51" s="456"/>
      <c r="E51" s="457"/>
    </row>
    <row r="52" spans="2:5">
      <c r="B52" s="455"/>
      <c r="C52" s="456"/>
      <c r="D52" s="456"/>
      <c r="E52" s="457"/>
    </row>
    <row r="53" spans="2:5">
      <c r="B53" s="455"/>
      <c r="C53" s="456"/>
      <c r="D53" s="456"/>
      <c r="E53" s="457"/>
    </row>
    <row r="54" spans="2:5">
      <c r="B54" s="455"/>
      <c r="C54" s="456"/>
      <c r="D54" s="456"/>
      <c r="E54" s="457"/>
    </row>
    <row r="55" spans="2:5">
      <c r="B55" s="455"/>
      <c r="C55" s="456"/>
      <c r="D55" s="456"/>
      <c r="E55" s="457"/>
    </row>
    <row r="56" spans="2:5">
      <c r="B56" s="455"/>
      <c r="C56" s="456"/>
      <c r="D56" s="456"/>
      <c r="E56" s="457"/>
    </row>
    <row r="57" spans="2:5">
      <c r="B57" s="455"/>
      <c r="C57" s="456"/>
      <c r="D57" s="456"/>
      <c r="E57" s="457"/>
    </row>
    <row r="58" spans="2:5">
      <c r="B58" s="455"/>
      <c r="C58" s="456"/>
      <c r="D58" s="456"/>
      <c r="E58" s="457"/>
    </row>
    <row r="59" spans="2:5">
      <c r="B59" s="455"/>
      <c r="C59" s="456"/>
      <c r="D59" s="456"/>
      <c r="E59" s="457"/>
    </row>
    <row r="60" spans="2:5">
      <c r="B60" s="455"/>
      <c r="C60" s="456"/>
      <c r="D60" s="456"/>
      <c r="E60" s="457"/>
    </row>
    <row r="61" spans="2:5">
      <c r="B61" s="455"/>
      <c r="C61" s="456"/>
      <c r="D61" s="456"/>
      <c r="E61" s="457"/>
    </row>
    <row r="62" spans="2:5" ht="13.5" thickBot="1">
      <c r="B62" s="458"/>
      <c r="C62" s="459"/>
      <c r="D62" s="459"/>
      <c r="E62" s="460"/>
    </row>
  </sheetData>
  <sheetProtection sheet="1" objects="1" scenarios="1"/>
  <mergeCells count="14">
    <mergeCell ref="B26:D26"/>
    <mergeCell ref="B16:D16"/>
    <mergeCell ref="B17:D17"/>
    <mergeCell ref="B18:D18"/>
    <mergeCell ref="B19:D19"/>
    <mergeCell ref="B23:G23"/>
    <mergeCell ref="B25:D25"/>
    <mergeCell ref="D1:F1"/>
    <mergeCell ref="B14:G14"/>
    <mergeCell ref="B3:G3"/>
    <mergeCell ref="B5:D5"/>
    <mergeCell ref="B6:D6"/>
    <mergeCell ref="B7:D7"/>
    <mergeCell ref="B8:D8"/>
  </mergeCells>
  <hyperlinks>
    <hyperlink ref="D1" location="INDEX!A1" display="INDEX!A1"/>
  </hyperlinks>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3399"/>
  </sheetPr>
  <dimension ref="A1:S54"/>
  <sheetViews>
    <sheetView zoomScale="64" zoomScaleNormal="64" workbookViewId="0">
      <selection activeCell="H1" sqref="H1:J1"/>
    </sheetView>
  </sheetViews>
  <sheetFormatPr defaultRowHeight="12.75"/>
  <cols>
    <col min="1" max="1" width="3.140625" style="435" customWidth="1"/>
    <col min="2" max="2" width="31.140625" style="435" bestFit="1" customWidth="1"/>
    <col min="3" max="3" width="11.7109375" style="435" customWidth="1"/>
    <col min="4" max="4" width="11" style="435" bestFit="1" customWidth="1"/>
    <col min="5" max="5" width="10.5703125" style="435" bestFit="1" customWidth="1"/>
    <col min="6" max="6" width="10.42578125" style="435" customWidth="1"/>
    <col min="7" max="7" width="6.5703125" style="435" customWidth="1"/>
    <col min="8" max="9" width="9.140625" style="435"/>
    <col min="10" max="10" width="11" style="435" bestFit="1" customWidth="1"/>
    <col min="11" max="11" width="12.140625" style="435" bestFit="1" customWidth="1"/>
    <col min="12" max="256" width="9.140625" style="435"/>
    <col min="257" max="257" width="3.140625" style="435" customWidth="1"/>
    <col min="258" max="258" width="31.140625" style="435" bestFit="1" customWidth="1"/>
    <col min="259" max="259" width="11.7109375" style="435" customWidth="1"/>
    <col min="260" max="260" width="9.140625" style="435"/>
    <col min="261" max="261" width="10.5703125" style="435" bestFit="1" customWidth="1"/>
    <col min="262" max="262" width="10.42578125" style="435" customWidth="1"/>
    <col min="263" max="263" width="6.5703125" style="435" customWidth="1"/>
    <col min="264" max="512" width="9.140625" style="435"/>
    <col min="513" max="513" width="3.140625" style="435" customWidth="1"/>
    <col min="514" max="514" width="31.140625" style="435" bestFit="1" customWidth="1"/>
    <col min="515" max="515" width="11.7109375" style="435" customWidth="1"/>
    <col min="516" max="516" width="9.140625" style="435"/>
    <col min="517" max="517" width="10.5703125" style="435" bestFit="1" customWidth="1"/>
    <col min="518" max="518" width="10.42578125" style="435" customWidth="1"/>
    <col min="519" max="519" width="6.5703125" style="435" customWidth="1"/>
    <col min="520" max="768" width="9.140625" style="435"/>
    <col min="769" max="769" width="3.140625" style="435" customWidth="1"/>
    <col min="770" max="770" width="31.140625" style="435" bestFit="1" customWidth="1"/>
    <col min="771" max="771" width="11.7109375" style="435" customWidth="1"/>
    <col min="772" max="772" width="9.140625" style="435"/>
    <col min="773" max="773" width="10.5703125" style="435" bestFit="1" customWidth="1"/>
    <col min="774" max="774" width="10.42578125" style="435" customWidth="1"/>
    <col min="775" max="775" width="6.5703125" style="435" customWidth="1"/>
    <col min="776" max="1024" width="9.140625" style="435"/>
    <col min="1025" max="1025" width="3.140625" style="435" customWidth="1"/>
    <col min="1026" max="1026" width="31.140625" style="435" bestFit="1" customWidth="1"/>
    <col min="1027" max="1027" width="11.7109375" style="435" customWidth="1"/>
    <col min="1028" max="1028" width="9.140625" style="435"/>
    <col min="1029" max="1029" width="10.5703125" style="435" bestFit="1" customWidth="1"/>
    <col min="1030" max="1030" width="10.42578125" style="435" customWidth="1"/>
    <col min="1031" max="1031" width="6.5703125" style="435" customWidth="1"/>
    <col min="1032" max="1280" width="9.140625" style="435"/>
    <col min="1281" max="1281" width="3.140625" style="435" customWidth="1"/>
    <col min="1282" max="1282" width="31.140625" style="435" bestFit="1" customWidth="1"/>
    <col min="1283" max="1283" width="11.7109375" style="435" customWidth="1"/>
    <col min="1284" max="1284" width="9.140625" style="435"/>
    <col min="1285" max="1285" width="10.5703125" style="435" bestFit="1" customWidth="1"/>
    <col min="1286" max="1286" width="10.42578125" style="435" customWidth="1"/>
    <col min="1287" max="1287" width="6.5703125" style="435" customWidth="1"/>
    <col min="1288" max="1536" width="9.140625" style="435"/>
    <col min="1537" max="1537" width="3.140625" style="435" customWidth="1"/>
    <col min="1538" max="1538" width="31.140625" style="435" bestFit="1" customWidth="1"/>
    <col min="1539" max="1539" width="11.7109375" style="435" customWidth="1"/>
    <col min="1540" max="1540" width="9.140625" style="435"/>
    <col min="1541" max="1541" width="10.5703125" style="435" bestFit="1" customWidth="1"/>
    <col min="1542" max="1542" width="10.42578125" style="435" customWidth="1"/>
    <col min="1543" max="1543" width="6.5703125" style="435" customWidth="1"/>
    <col min="1544" max="1792" width="9.140625" style="435"/>
    <col min="1793" max="1793" width="3.140625" style="435" customWidth="1"/>
    <col min="1794" max="1794" width="31.140625" style="435" bestFit="1" customWidth="1"/>
    <col min="1795" max="1795" width="11.7109375" style="435" customWidth="1"/>
    <col min="1796" max="1796" width="9.140625" style="435"/>
    <col min="1797" max="1797" width="10.5703125" style="435" bestFit="1" customWidth="1"/>
    <col min="1798" max="1798" width="10.42578125" style="435" customWidth="1"/>
    <col min="1799" max="1799" width="6.5703125" style="435" customWidth="1"/>
    <col min="1800" max="2048" width="9.140625" style="435"/>
    <col min="2049" max="2049" width="3.140625" style="435" customWidth="1"/>
    <col min="2050" max="2050" width="31.140625" style="435" bestFit="1" customWidth="1"/>
    <col min="2051" max="2051" width="11.7109375" style="435" customWidth="1"/>
    <col min="2052" max="2052" width="9.140625" style="435"/>
    <col min="2053" max="2053" width="10.5703125" style="435" bestFit="1" customWidth="1"/>
    <col min="2054" max="2054" width="10.42578125" style="435" customWidth="1"/>
    <col min="2055" max="2055" width="6.5703125" style="435" customWidth="1"/>
    <col min="2056" max="2304" width="9.140625" style="435"/>
    <col min="2305" max="2305" width="3.140625" style="435" customWidth="1"/>
    <col min="2306" max="2306" width="31.140625" style="435" bestFit="1" customWidth="1"/>
    <col min="2307" max="2307" width="11.7109375" style="435" customWidth="1"/>
    <col min="2308" max="2308" width="9.140625" style="435"/>
    <col min="2309" max="2309" width="10.5703125" style="435" bestFit="1" customWidth="1"/>
    <col min="2310" max="2310" width="10.42578125" style="435" customWidth="1"/>
    <col min="2311" max="2311" width="6.5703125" style="435" customWidth="1"/>
    <col min="2312" max="2560" width="9.140625" style="435"/>
    <col min="2561" max="2561" width="3.140625" style="435" customWidth="1"/>
    <col min="2562" max="2562" width="31.140625" style="435" bestFit="1" customWidth="1"/>
    <col min="2563" max="2563" width="11.7109375" style="435" customWidth="1"/>
    <col min="2564" max="2564" width="9.140625" style="435"/>
    <col min="2565" max="2565" width="10.5703125" style="435" bestFit="1" customWidth="1"/>
    <col min="2566" max="2566" width="10.42578125" style="435" customWidth="1"/>
    <col min="2567" max="2567" width="6.5703125" style="435" customWidth="1"/>
    <col min="2568" max="2816" width="9.140625" style="435"/>
    <col min="2817" max="2817" width="3.140625" style="435" customWidth="1"/>
    <col min="2818" max="2818" width="31.140625" style="435" bestFit="1" customWidth="1"/>
    <col min="2819" max="2819" width="11.7109375" style="435" customWidth="1"/>
    <col min="2820" max="2820" width="9.140625" style="435"/>
    <col min="2821" max="2821" width="10.5703125" style="435" bestFit="1" customWidth="1"/>
    <col min="2822" max="2822" width="10.42578125" style="435" customWidth="1"/>
    <col min="2823" max="2823" width="6.5703125" style="435" customWidth="1"/>
    <col min="2824" max="3072" width="9.140625" style="435"/>
    <col min="3073" max="3073" width="3.140625" style="435" customWidth="1"/>
    <col min="3074" max="3074" width="31.140625" style="435" bestFit="1" customWidth="1"/>
    <col min="3075" max="3075" width="11.7109375" style="435" customWidth="1"/>
    <col min="3076" max="3076" width="9.140625" style="435"/>
    <col min="3077" max="3077" width="10.5703125" style="435" bestFit="1" customWidth="1"/>
    <col min="3078" max="3078" width="10.42578125" style="435" customWidth="1"/>
    <col min="3079" max="3079" width="6.5703125" style="435" customWidth="1"/>
    <col min="3080" max="3328" width="9.140625" style="435"/>
    <col min="3329" max="3329" width="3.140625" style="435" customWidth="1"/>
    <col min="3330" max="3330" width="31.140625" style="435" bestFit="1" customWidth="1"/>
    <col min="3331" max="3331" width="11.7109375" style="435" customWidth="1"/>
    <col min="3332" max="3332" width="9.140625" style="435"/>
    <col min="3333" max="3333" width="10.5703125" style="435" bestFit="1" customWidth="1"/>
    <col min="3334" max="3334" width="10.42578125" style="435" customWidth="1"/>
    <col min="3335" max="3335" width="6.5703125" style="435" customWidth="1"/>
    <col min="3336" max="3584" width="9.140625" style="435"/>
    <col min="3585" max="3585" width="3.140625" style="435" customWidth="1"/>
    <col min="3586" max="3586" width="31.140625" style="435" bestFit="1" customWidth="1"/>
    <col min="3587" max="3587" width="11.7109375" style="435" customWidth="1"/>
    <col min="3588" max="3588" width="9.140625" style="435"/>
    <col min="3589" max="3589" width="10.5703125" style="435" bestFit="1" customWidth="1"/>
    <col min="3590" max="3590" width="10.42578125" style="435" customWidth="1"/>
    <col min="3591" max="3591" width="6.5703125" style="435" customWidth="1"/>
    <col min="3592" max="3840" width="9.140625" style="435"/>
    <col min="3841" max="3841" width="3.140625" style="435" customWidth="1"/>
    <col min="3842" max="3842" width="31.140625" style="435" bestFit="1" customWidth="1"/>
    <col min="3843" max="3843" width="11.7109375" style="435" customWidth="1"/>
    <col min="3844" max="3844" width="9.140625" style="435"/>
    <col min="3845" max="3845" width="10.5703125" style="435" bestFit="1" customWidth="1"/>
    <col min="3846" max="3846" width="10.42578125" style="435" customWidth="1"/>
    <col min="3847" max="3847" width="6.5703125" style="435" customWidth="1"/>
    <col min="3848" max="4096" width="9.140625" style="435"/>
    <col min="4097" max="4097" width="3.140625" style="435" customWidth="1"/>
    <col min="4098" max="4098" width="31.140625" style="435" bestFit="1" customWidth="1"/>
    <col min="4099" max="4099" width="11.7109375" style="435" customWidth="1"/>
    <col min="4100" max="4100" width="9.140625" style="435"/>
    <col min="4101" max="4101" width="10.5703125" style="435" bestFit="1" customWidth="1"/>
    <col min="4102" max="4102" width="10.42578125" style="435" customWidth="1"/>
    <col min="4103" max="4103" width="6.5703125" style="435" customWidth="1"/>
    <col min="4104" max="4352" width="9.140625" style="435"/>
    <col min="4353" max="4353" width="3.140625" style="435" customWidth="1"/>
    <col min="4354" max="4354" width="31.140625" style="435" bestFit="1" customWidth="1"/>
    <col min="4355" max="4355" width="11.7109375" style="435" customWidth="1"/>
    <col min="4356" max="4356" width="9.140625" style="435"/>
    <col min="4357" max="4357" width="10.5703125" style="435" bestFit="1" customWidth="1"/>
    <col min="4358" max="4358" width="10.42578125" style="435" customWidth="1"/>
    <col min="4359" max="4359" width="6.5703125" style="435" customWidth="1"/>
    <col min="4360" max="4608" width="9.140625" style="435"/>
    <col min="4609" max="4609" width="3.140625" style="435" customWidth="1"/>
    <col min="4610" max="4610" width="31.140625" style="435" bestFit="1" customWidth="1"/>
    <col min="4611" max="4611" width="11.7109375" style="435" customWidth="1"/>
    <col min="4612" max="4612" width="9.140625" style="435"/>
    <col min="4613" max="4613" width="10.5703125" style="435" bestFit="1" customWidth="1"/>
    <col min="4614" max="4614" width="10.42578125" style="435" customWidth="1"/>
    <col min="4615" max="4615" width="6.5703125" style="435" customWidth="1"/>
    <col min="4616" max="4864" width="9.140625" style="435"/>
    <col min="4865" max="4865" width="3.140625" style="435" customWidth="1"/>
    <col min="4866" max="4866" width="31.140625" style="435" bestFit="1" customWidth="1"/>
    <col min="4867" max="4867" width="11.7109375" style="435" customWidth="1"/>
    <col min="4868" max="4868" width="9.140625" style="435"/>
    <col min="4869" max="4869" width="10.5703125" style="435" bestFit="1" customWidth="1"/>
    <col min="4870" max="4870" width="10.42578125" style="435" customWidth="1"/>
    <col min="4871" max="4871" width="6.5703125" style="435" customWidth="1"/>
    <col min="4872" max="5120" width="9.140625" style="435"/>
    <col min="5121" max="5121" width="3.140625" style="435" customWidth="1"/>
    <col min="5122" max="5122" width="31.140625" style="435" bestFit="1" customWidth="1"/>
    <col min="5123" max="5123" width="11.7109375" style="435" customWidth="1"/>
    <col min="5124" max="5124" width="9.140625" style="435"/>
    <col min="5125" max="5125" width="10.5703125" style="435" bestFit="1" customWidth="1"/>
    <col min="5126" max="5126" width="10.42578125" style="435" customWidth="1"/>
    <col min="5127" max="5127" width="6.5703125" style="435" customWidth="1"/>
    <col min="5128" max="5376" width="9.140625" style="435"/>
    <col min="5377" max="5377" width="3.140625" style="435" customWidth="1"/>
    <col min="5378" max="5378" width="31.140625" style="435" bestFit="1" customWidth="1"/>
    <col min="5379" max="5379" width="11.7109375" style="435" customWidth="1"/>
    <col min="5380" max="5380" width="9.140625" style="435"/>
    <col min="5381" max="5381" width="10.5703125" style="435" bestFit="1" customWidth="1"/>
    <col min="5382" max="5382" width="10.42578125" style="435" customWidth="1"/>
    <col min="5383" max="5383" width="6.5703125" style="435" customWidth="1"/>
    <col min="5384" max="5632" width="9.140625" style="435"/>
    <col min="5633" max="5633" width="3.140625" style="435" customWidth="1"/>
    <col min="5634" max="5634" width="31.140625" style="435" bestFit="1" customWidth="1"/>
    <col min="5635" max="5635" width="11.7109375" style="435" customWidth="1"/>
    <col min="5636" max="5636" width="9.140625" style="435"/>
    <col min="5637" max="5637" width="10.5703125" style="435" bestFit="1" customWidth="1"/>
    <col min="5638" max="5638" width="10.42578125" style="435" customWidth="1"/>
    <col min="5639" max="5639" width="6.5703125" style="435" customWidth="1"/>
    <col min="5640" max="5888" width="9.140625" style="435"/>
    <col min="5889" max="5889" width="3.140625" style="435" customWidth="1"/>
    <col min="5890" max="5890" width="31.140625" style="435" bestFit="1" customWidth="1"/>
    <col min="5891" max="5891" width="11.7109375" style="435" customWidth="1"/>
    <col min="5892" max="5892" width="9.140625" style="435"/>
    <col min="5893" max="5893" width="10.5703125" style="435" bestFit="1" customWidth="1"/>
    <col min="5894" max="5894" width="10.42578125" style="435" customWidth="1"/>
    <col min="5895" max="5895" width="6.5703125" style="435" customWidth="1"/>
    <col min="5896" max="6144" width="9.140625" style="435"/>
    <col min="6145" max="6145" width="3.140625" style="435" customWidth="1"/>
    <col min="6146" max="6146" width="31.140625" style="435" bestFit="1" customWidth="1"/>
    <col min="6147" max="6147" width="11.7109375" style="435" customWidth="1"/>
    <col min="6148" max="6148" width="9.140625" style="435"/>
    <col min="6149" max="6149" width="10.5703125" style="435" bestFit="1" customWidth="1"/>
    <col min="6150" max="6150" width="10.42578125" style="435" customWidth="1"/>
    <col min="6151" max="6151" width="6.5703125" style="435" customWidth="1"/>
    <col min="6152" max="6400" width="9.140625" style="435"/>
    <col min="6401" max="6401" width="3.140625" style="435" customWidth="1"/>
    <col min="6402" max="6402" width="31.140625" style="435" bestFit="1" customWidth="1"/>
    <col min="6403" max="6403" width="11.7109375" style="435" customWidth="1"/>
    <col min="6404" max="6404" width="9.140625" style="435"/>
    <col min="6405" max="6405" width="10.5703125" style="435" bestFit="1" customWidth="1"/>
    <col min="6406" max="6406" width="10.42578125" style="435" customWidth="1"/>
    <col min="6407" max="6407" width="6.5703125" style="435" customWidth="1"/>
    <col min="6408" max="6656" width="9.140625" style="435"/>
    <col min="6657" max="6657" width="3.140625" style="435" customWidth="1"/>
    <col min="6658" max="6658" width="31.140625" style="435" bestFit="1" customWidth="1"/>
    <col min="6659" max="6659" width="11.7109375" style="435" customWidth="1"/>
    <col min="6660" max="6660" width="9.140625" style="435"/>
    <col min="6661" max="6661" width="10.5703125" style="435" bestFit="1" customWidth="1"/>
    <col min="6662" max="6662" width="10.42578125" style="435" customWidth="1"/>
    <col min="6663" max="6663" width="6.5703125" style="435" customWidth="1"/>
    <col min="6664" max="6912" width="9.140625" style="435"/>
    <col min="6913" max="6913" width="3.140625" style="435" customWidth="1"/>
    <col min="6914" max="6914" width="31.140625" style="435" bestFit="1" customWidth="1"/>
    <col min="6915" max="6915" width="11.7109375" style="435" customWidth="1"/>
    <col min="6916" max="6916" width="9.140625" style="435"/>
    <col min="6917" max="6917" width="10.5703125" style="435" bestFit="1" customWidth="1"/>
    <col min="6918" max="6918" width="10.42578125" style="435" customWidth="1"/>
    <col min="6919" max="6919" width="6.5703125" style="435" customWidth="1"/>
    <col min="6920" max="7168" width="9.140625" style="435"/>
    <col min="7169" max="7169" width="3.140625" style="435" customWidth="1"/>
    <col min="7170" max="7170" width="31.140625" style="435" bestFit="1" customWidth="1"/>
    <col min="7171" max="7171" width="11.7109375" style="435" customWidth="1"/>
    <col min="7172" max="7172" width="9.140625" style="435"/>
    <col min="7173" max="7173" width="10.5703125" style="435" bestFit="1" customWidth="1"/>
    <col min="7174" max="7174" width="10.42578125" style="435" customWidth="1"/>
    <col min="7175" max="7175" width="6.5703125" style="435" customWidth="1"/>
    <col min="7176" max="7424" width="9.140625" style="435"/>
    <col min="7425" max="7425" width="3.140625" style="435" customWidth="1"/>
    <col min="7426" max="7426" width="31.140625" style="435" bestFit="1" customWidth="1"/>
    <col min="7427" max="7427" width="11.7109375" style="435" customWidth="1"/>
    <col min="7428" max="7428" width="9.140625" style="435"/>
    <col min="7429" max="7429" width="10.5703125" style="435" bestFit="1" customWidth="1"/>
    <col min="7430" max="7430" width="10.42578125" style="435" customWidth="1"/>
    <col min="7431" max="7431" width="6.5703125" style="435" customWidth="1"/>
    <col min="7432" max="7680" width="9.140625" style="435"/>
    <col min="7681" max="7681" width="3.140625" style="435" customWidth="1"/>
    <col min="7682" max="7682" width="31.140625" style="435" bestFit="1" customWidth="1"/>
    <col min="7683" max="7683" width="11.7109375" style="435" customWidth="1"/>
    <col min="7684" max="7684" width="9.140625" style="435"/>
    <col min="7685" max="7685" width="10.5703125" style="435" bestFit="1" customWidth="1"/>
    <col min="7686" max="7686" width="10.42578125" style="435" customWidth="1"/>
    <col min="7687" max="7687" width="6.5703125" style="435" customWidth="1"/>
    <col min="7688" max="7936" width="9.140625" style="435"/>
    <col min="7937" max="7937" width="3.140625" style="435" customWidth="1"/>
    <col min="7938" max="7938" width="31.140625" style="435" bestFit="1" customWidth="1"/>
    <col min="7939" max="7939" width="11.7109375" style="435" customWidth="1"/>
    <col min="7940" max="7940" width="9.140625" style="435"/>
    <col min="7941" max="7941" width="10.5703125" style="435" bestFit="1" customWidth="1"/>
    <col min="7942" max="7942" width="10.42578125" style="435" customWidth="1"/>
    <col min="7943" max="7943" width="6.5703125" style="435" customWidth="1"/>
    <col min="7944" max="8192" width="9.140625" style="435"/>
    <col min="8193" max="8193" width="3.140625" style="435" customWidth="1"/>
    <col min="8194" max="8194" width="31.140625" style="435" bestFit="1" customWidth="1"/>
    <col min="8195" max="8195" width="11.7109375" style="435" customWidth="1"/>
    <col min="8196" max="8196" width="9.140625" style="435"/>
    <col min="8197" max="8197" width="10.5703125" style="435" bestFit="1" customWidth="1"/>
    <col min="8198" max="8198" width="10.42578125" style="435" customWidth="1"/>
    <col min="8199" max="8199" width="6.5703125" style="435" customWidth="1"/>
    <col min="8200" max="8448" width="9.140625" style="435"/>
    <col min="8449" max="8449" width="3.140625" style="435" customWidth="1"/>
    <col min="8450" max="8450" width="31.140625" style="435" bestFit="1" customWidth="1"/>
    <col min="8451" max="8451" width="11.7109375" style="435" customWidth="1"/>
    <col min="8452" max="8452" width="9.140625" style="435"/>
    <col min="8453" max="8453" width="10.5703125" style="435" bestFit="1" customWidth="1"/>
    <col min="8454" max="8454" width="10.42578125" style="435" customWidth="1"/>
    <col min="8455" max="8455" width="6.5703125" style="435" customWidth="1"/>
    <col min="8456" max="8704" width="9.140625" style="435"/>
    <col min="8705" max="8705" width="3.140625" style="435" customWidth="1"/>
    <col min="8706" max="8706" width="31.140625" style="435" bestFit="1" customWidth="1"/>
    <col min="8707" max="8707" width="11.7109375" style="435" customWidth="1"/>
    <col min="8708" max="8708" width="9.140625" style="435"/>
    <col min="8709" max="8709" width="10.5703125" style="435" bestFit="1" customWidth="1"/>
    <col min="8710" max="8710" width="10.42578125" style="435" customWidth="1"/>
    <col min="8711" max="8711" width="6.5703125" style="435" customWidth="1"/>
    <col min="8712" max="8960" width="9.140625" style="435"/>
    <col min="8961" max="8961" width="3.140625" style="435" customWidth="1"/>
    <col min="8962" max="8962" width="31.140625" style="435" bestFit="1" customWidth="1"/>
    <col min="8963" max="8963" width="11.7109375" style="435" customWidth="1"/>
    <col min="8964" max="8964" width="9.140625" style="435"/>
    <col min="8965" max="8965" width="10.5703125" style="435" bestFit="1" customWidth="1"/>
    <col min="8966" max="8966" width="10.42578125" style="435" customWidth="1"/>
    <col min="8967" max="8967" width="6.5703125" style="435" customWidth="1"/>
    <col min="8968" max="9216" width="9.140625" style="435"/>
    <col min="9217" max="9217" width="3.140625" style="435" customWidth="1"/>
    <col min="9218" max="9218" width="31.140625" style="435" bestFit="1" customWidth="1"/>
    <col min="9219" max="9219" width="11.7109375" style="435" customWidth="1"/>
    <col min="9220" max="9220" width="9.140625" style="435"/>
    <col min="9221" max="9221" width="10.5703125" style="435" bestFit="1" customWidth="1"/>
    <col min="9222" max="9222" width="10.42578125" style="435" customWidth="1"/>
    <col min="9223" max="9223" width="6.5703125" style="435" customWidth="1"/>
    <col min="9224" max="9472" width="9.140625" style="435"/>
    <col min="9473" max="9473" width="3.140625" style="435" customWidth="1"/>
    <col min="9474" max="9474" width="31.140625" style="435" bestFit="1" customWidth="1"/>
    <col min="9475" max="9475" width="11.7109375" style="435" customWidth="1"/>
    <col min="9476" max="9476" width="9.140625" style="435"/>
    <col min="9477" max="9477" width="10.5703125" style="435" bestFit="1" customWidth="1"/>
    <col min="9478" max="9478" width="10.42578125" style="435" customWidth="1"/>
    <col min="9479" max="9479" width="6.5703125" style="435" customWidth="1"/>
    <col min="9480" max="9728" width="9.140625" style="435"/>
    <col min="9729" max="9729" width="3.140625" style="435" customWidth="1"/>
    <col min="9730" max="9730" width="31.140625" style="435" bestFit="1" customWidth="1"/>
    <col min="9731" max="9731" width="11.7109375" style="435" customWidth="1"/>
    <col min="9732" max="9732" width="9.140625" style="435"/>
    <col min="9733" max="9733" width="10.5703125" style="435" bestFit="1" customWidth="1"/>
    <col min="9734" max="9734" width="10.42578125" style="435" customWidth="1"/>
    <col min="9735" max="9735" width="6.5703125" style="435" customWidth="1"/>
    <col min="9736" max="9984" width="9.140625" style="435"/>
    <col min="9985" max="9985" width="3.140625" style="435" customWidth="1"/>
    <col min="9986" max="9986" width="31.140625" style="435" bestFit="1" customWidth="1"/>
    <col min="9987" max="9987" width="11.7109375" style="435" customWidth="1"/>
    <col min="9988" max="9988" width="9.140625" style="435"/>
    <col min="9989" max="9989" width="10.5703125" style="435" bestFit="1" customWidth="1"/>
    <col min="9990" max="9990" width="10.42578125" style="435" customWidth="1"/>
    <col min="9991" max="9991" width="6.5703125" style="435" customWidth="1"/>
    <col min="9992" max="10240" width="9.140625" style="435"/>
    <col min="10241" max="10241" width="3.140625" style="435" customWidth="1"/>
    <col min="10242" max="10242" width="31.140625" style="435" bestFit="1" customWidth="1"/>
    <col min="10243" max="10243" width="11.7109375" style="435" customWidth="1"/>
    <col min="10244" max="10244" width="9.140625" style="435"/>
    <col min="10245" max="10245" width="10.5703125" style="435" bestFit="1" customWidth="1"/>
    <col min="10246" max="10246" width="10.42578125" style="435" customWidth="1"/>
    <col min="10247" max="10247" width="6.5703125" style="435" customWidth="1"/>
    <col min="10248" max="10496" width="9.140625" style="435"/>
    <col min="10497" max="10497" width="3.140625" style="435" customWidth="1"/>
    <col min="10498" max="10498" width="31.140625" style="435" bestFit="1" customWidth="1"/>
    <col min="10499" max="10499" width="11.7109375" style="435" customWidth="1"/>
    <col min="10500" max="10500" width="9.140625" style="435"/>
    <col min="10501" max="10501" width="10.5703125" style="435" bestFit="1" customWidth="1"/>
    <col min="10502" max="10502" width="10.42578125" style="435" customWidth="1"/>
    <col min="10503" max="10503" width="6.5703125" style="435" customWidth="1"/>
    <col min="10504" max="10752" width="9.140625" style="435"/>
    <col min="10753" max="10753" width="3.140625" style="435" customWidth="1"/>
    <col min="10754" max="10754" width="31.140625" style="435" bestFit="1" customWidth="1"/>
    <col min="10755" max="10755" width="11.7109375" style="435" customWidth="1"/>
    <col min="10756" max="10756" width="9.140625" style="435"/>
    <col min="10757" max="10757" width="10.5703125" style="435" bestFit="1" customWidth="1"/>
    <col min="10758" max="10758" width="10.42578125" style="435" customWidth="1"/>
    <col min="10759" max="10759" width="6.5703125" style="435" customWidth="1"/>
    <col min="10760" max="11008" width="9.140625" style="435"/>
    <col min="11009" max="11009" width="3.140625" style="435" customWidth="1"/>
    <col min="11010" max="11010" width="31.140625" style="435" bestFit="1" customWidth="1"/>
    <col min="11011" max="11011" width="11.7109375" style="435" customWidth="1"/>
    <col min="11012" max="11012" width="9.140625" style="435"/>
    <col min="11013" max="11013" width="10.5703125" style="435" bestFit="1" customWidth="1"/>
    <col min="11014" max="11014" width="10.42578125" style="435" customWidth="1"/>
    <col min="11015" max="11015" width="6.5703125" style="435" customWidth="1"/>
    <col min="11016" max="11264" width="9.140625" style="435"/>
    <col min="11265" max="11265" width="3.140625" style="435" customWidth="1"/>
    <col min="11266" max="11266" width="31.140625" style="435" bestFit="1" customWidth="1"/>
    <col min="11267" max="11267" width="11.7109375" style="435" customWidth="1"/>
    <col min="11268" max="11268" width="9.140625" style="435"/>
    <col min="11269" max="11269" width="10.5703125" style="435" bestFit="1" customWidth="1"/>
    <col min="11270" max="11270" width="10.42578125" style="435" customWidth="1"/>
    <col min="11271" max="11271" width="6.5703125" style="435" customWidth="1"/>
    <col min="11272" max="11520" width="9.140625" style="435"/>
    <col min="11521" max="11521" width="3.140625" style="435" customWidth="1"/>
    <col min="11522" max="11522" width="31.140625" style="435" bestFit="1" customWidth="1"/>
    <col min="11523" max="11523" width="11.7109375" style="435" customWidth="1"/>
    <col min="11524" max="11524" width="9.140625" style="435"/>
    <col min="11525" max="11525" width="10.5703125" style="435" bestFit="1" customWidth="1"/>
    <col min="11526" max="11526" width="10.42578125" style="435" customWidth="1"/>
    <col min="11527" max="11527" width="6.5703125" style="435" customWidth="1"/>
    <col min="11528" max="11776" width="9.140625" style="435"/>
    <col min="11777" max="11777" width="3.140625" style="435" customWidth="1"/>
    <col min="11778" max="11778" width="31.140625" style="435" bestFit="1" customWidth="1"/>
    <col min="11779" max="11779" width="11.7109375" style="435" customWidth="1"/>
    <col min="11780" max="11780" width="9.140625" style="435"/>
    <col min="11781" max="11781" width="10.5703125" style="435" bestFit="1" customWidth="1"/>
    <col min="11782" max="11782" width="10.42578125" style="435" customWidth="1"/>
    <col min="11783" max="11783" width="6.5703125" style="435" customWidth="1"/>
    <col min="11784" max="12032" width="9.140625" style="435"/>
    <col min="12033" max="12033" width="3.140625" style="435" customWidth="1"/>
    <col min="12034" max="12034" width="31.140625" style="435" bestFit="1" customWidth="1"/>
    <col min="12035" max="12035" width="11.7109375" style="435" customWidth="1"/>
    <col min="12036" max="12036" width="9.140625" style="435"/>
    <col min="12037" max="12037" width="10.5703125" style="435" bestFit="1" customWidth="1"/>
    <col min="12038" max="12038" width="10.42578125" style="435" customWidth="1"/>
    <col min="12039" max="12039" width="6.5703125" style="435" customWidth="1"/>
    <col min="12040" max="12288" width="9.140625" style="435"/>
    <col min="12289" max="12289" width="3.140625" style="435" customWidth="1"/>
    <col min="12290" max="12290" width="31.140625" style="435" bestFit="1" customWidth="1"/>
    <col min="12291" max="12291" width="11.7109375" style="435" customWidth="1"/>
    <col min="12292" max="12292" width="9.140625" style="435"/>
    <col min="12293" max="12293" width="10.5703125" style="435" bestFit="1" customWidth="1"/>
    <col min="12294" max="12294" width="10.42578125" style="435" customWidth="1"/>
    <col min="12295" max="12295" width="6.5703125" style="435" customWidth="1"/>
    <col min="12296" max="12544" width="9.140625" style="435"/>
    <col min="12545" max="12545" width="3.140625" style="435" customWidth="1"/>
    <col min="12546" max="12546" width="31.140625" style="435" bestFit="1" customWidth="1"/>
    <col min="12547" max="12547" width="11.7109375" style="435" customWidth="1"/>
    <col min="12548" max="12548" width="9.140625" style="435"/>
    <col min="12549" max="12549" width="10.5703125" style="435" bestFit="1" customWidth="1"/>
    <col min="12550" max="12550" width="10.42578125" style="435" customWidth="1"/>
    <col min="12551" max="12551" width="6.5703125" style="435" customWidth="1"/>
    <col min="12552" max="12800" width="9.140625" style="435"/>
    <col min="12801" max="12801" width="3.140625" style="435" customWidth="1"/>
    <col min="12802" max="12802" width="31.140625" style="435" bestFit="1" customWidth="1"/>
    <col min="12803" max="12803" width="11.7109375" style="435" customWidth="1"/>
    <col min="12804" max="12804" width="9.140625" style="435"/>
    <col min="12805" max="12805" width="10.5703125" style="435" bestFit="1" customWidth="1"/>
    <col min="12806" max="12806" width="10.42578125" style="435" customWidth="1"/>
    <col min="12807" max="12807" width="6.5703125" style="435" customWidth="1"/>
    <col min="12808" max="13056" width="9.140625" style="435"/>
    <col min="13057" max="13057" width="3.140625" style="435" customWidth="1"/>
    <col min="13058" max="13058" width="31.140625" style="435" bestFit="1" customWidth="1"/>
    <col min="13059" max="13059" width="11.7109375" style="435" customWidth="1"/>
    <col min="13060" max="13060" width="9.140625" style="435"/>
    <col min="13061" max="13061" width="10.5703125" style="435" bestFit="1" customWidth="1"/>
    <col min="13062" max="13062" width="10.42578125" style="435" customWidth="1"/>
    <col min="13063" max="13063" width="6.5703125" style="435" customWidth="1"/>
    <col min="13064" max="13312" width="9.140625" style="435"/>
    <col min="13313" max="13313" width="3.140625" style="435" customWidth="1"/>
    <col min="13314" max="13314" width="31.140625" style="435" bestFit="1" customWidth="1"/>
    <col min="13315" max="13315" width="11.7109375" style="435" customWidth="1"/>
    <col min="13316" max="13316" width="9.140625" style="435"/>
    <col min="13317" max="13317" width="10.5703125" style="435" bestFit="1" customWidth="1"/>
    <col min="13318" max="13318" width="10.42578125" style="435" customWidth="1"/>
    <col min="13319" max="13319" width="6.5703125" style="435" customWidth="1"/>
    <col min="13320" max="13568" width="9.140625" style="435"/>
    <col min="13569" max="13569" width="3.140625" style="435" customWidth="1"/>
    <col min="13570" max="13570" width="31.140625" style="435" bestFit="1" customWidth="1"/>
    <col min="13571" max="13571" width="11.7109375" style="435" customWidth="1"/>
    <col min="13572" max="13572" width="9.140625" style="435"/>
    <col min="13573" max="13573" width="10.5703125" style="435" bestFit="1" customWidth="1"/>
    <col min="13574" max="13574" width="10.42578125" style="435" customWidth="1"/>
    <col min="13575" max="13575" width="6.5703125" style="435" customWidth="1"/>
    <col min="13576" max="13824" width="9.140625" style="435"/>
    <col min="13825" max="13825" width="3.140625" style="435" customWidth="1"/>
    <col min="13826" max="13826" width="31.140625" style="435" bestFit="1" customWidth="1"/>
    <col min="13827" max="13827" width="11.7109375" style="435" customWidth="1"/>
    <col min="13828" max="13828" width="9.140625" style="435"/>
    <col min="13829" max="13829" width="10.5703125" style="435" bestFit="1" customWidth="1"/>
    <col min="13830" max="13830" width="10.42578125" style="435" customWidth="1"/>
    <col min="13831" max="13831" width="6.5703125" style="435" customWidth="1"/>
    <col min="13832" max="14080" width="9.140625" style="435"/>
    <col min="14081" max="14081" width="3.140625" style="435" customWidth="1"/>
    <col min="14082" max="14082" width="31.140625" style="435" bestFit="1" customWidth="1"/>
    <col min="14083" max="14083" width="11.7109375" style="435" customWidth="1"/>
    <col min="14084" max="14084" width="9.140625" style="435"/>
    <col min="14085" max="14085" width="10.5703125" style="435" bestFit="1" customWidth="1"/>
    <col min="14086" max="14086" width="10.42578125" style="435" customWidth="1"/>
    <col min="14087" max="14087" width="6.5703125" style="435" customWidth="1"/>
    <col min="14088" max="14336" width="9.140625" style="435"/>
    <col min="14337" max="14337" width="3.140625" style="435" customWidth="1"/>
    <col min="14338" max="14338" width="31.140625" style="435" bestFit="1" customWidth="1"/>
    <col min="14339" max="14339" width="11.7109375" style="435" customWidth="1"/>
    <col min="14340" max="14340" width="9.140625" style="435"/>
    <col min="14341" max="14341" width="10.5703125" style="435" bestFit="1" customWidth="1"/>
    <col min="14342" max="14342" width="10.42578125" style="435" customWidth="1"/>
    <col min="14343" max="14343" width="6.5703125" style="435" customWidth="1"/>
    <col min="14344" max="14592" width="9.140625" style="435"/>
    <col min="14593" max="14593" width="3.140625" style="435" customWidth="1"/>
    <col min="14594" max="14594" width="31.140625" style="435" bestFit="1" customWidth="1"/>
    <col min="14595" max="14595" width="11.7109375" style="435" customWidth="1"/>
    <col min="14596" max="14596" width="9.140625" style="435"/>
    <col min="14597" max="14597" width="10.5703125" style="435" bestFit="1" customWidth="1"/>
    <col min="14598" max="14598" width="10.42578125" style="435" customWidth="1"/>
    <col min="14599" max="14599" width="6.5703125" style="435" customWidth="1"/>
    <col min="14600" max="14848" width="9.140625" style="435"/>
    <col min="14849" max="14849" width="3.140625" style="435" customWidth="1"/>
    <col min="14850" max="14850" width="31.140625" style="435" bestFit="1" customWidth="1"/>
    <col min="14851" max="14851" width="11.7109375" style="435" customWidth="1"/>
    <col min="14852" max="14852" width="9.140625" style="435"/>
    <col min="14853" max="14853" width="10.5703125" style="435" bestFit="1" customWidth="1"/>
    <col min="14854" max="14854" width="10.42578125" style="435" customWidth="1"/>
    <col min="14855" max="14855" width="6.5703125" style="435" customWidth="1"/>
    <col min="14856" max="15104" width="9.140625" style="435"/>
    <col min="15105" max="15105" width="3.140625" style="435" customWidth="1"/>
    <col min="15106" max="15106" width="31.140625" style="435" bestFit="1" customWidth="1"/>
    <col min="15107" max="15107" width="11.7109375" style="435" customWidth="1"/>
    <col min="15108" max="15108" width="9.140625" style="435"/>
    <col min="15109" max="15109" width="10.5703125" style="435" bestFit="1" customWidth="1"/>
    <col min="15110" max="15110" width="10.42578125" style="435" customWidth="1"/>
    <col min="15111" max="15111" width="6.5703125" style="435" customWidth="1"/>
    <col min="15112" max="15360" width="9.140625" style="435"/>
    <col min="15361" max="15361" width="3.140625" style="435" customWidth="1"/>
    <col min="15362" max="15362" width="31.140625" style="435" bestFit="1" customWidth="1"/>
    <col min="15363" max="15363" width="11.7109375" style="435" customWidth="1"/>
    <col min="15364" max="15364" width="9.140625" style="435"/>
    <col min="15365" max="15365" width="10.5703125" style="435" bestFit="1" customWidth="1"/>
    <col min="15366" max="15366" width="10.42578125" style="435" customWidth="1"/>
    <col min="15367" max="15367" width="6.5703125" style="435" customWidth="1"/>
    <col min="15368" max="15616" width="9.140625" style="435"/>
    <col min="15617" max="15617" width="3.140625" style="435" customWidth="1"/>
    <col min="15618" max="15618" width="31.140625" style="435" bestFit="1" customWidth="1"/>
    <col min="15619" max="15619" width="11.7109375" style="435" customWidth="1"/>
    <col min="15620" max="15620" width="9.140625" style="435"/>
    <col min="15621" max="15621" width="10.5703125" style="435" bestFit="1" customWidth="1"/>
    <col min="15622" max="15622" width="10.42578125" style="435" customWidth="1"/>
    <col min="15623" max="15623" width="6.5703125" style="435" customWidth="1"/>
    <col min="15624" max="15872" width="9.140625" style="435"/>
    <col min="15873" max="15873" width="3.140625" style="435" customWidth="1"/>
    <col min="15874" max="15874" width="31.140625" style="435" bestFit="1" customWidth="1"/>
    <col min="15875" max="15875" width="11.7109375" style="435" customWidth="1"/>
    <col min="15876" max="15876" width="9.140625" style="435"/>
    <col min="15877" max="15877" width="10.5703125" style="435" bestFit="1" customWidth="1"/>
    <col min="15878" max="15878" width="10.42578125" style="435" customWidth="1"/>
    <col min="15879" max="15879" width="6.5703125" style="435" customWidth="1"/>
    <col min="15880" max="16128" width="9.140625" style="435"/>
    <col min="16129" max="16129" width="3.140625" style="435" customWidth="1"/>
    <col min="16130" max="16130" width="31.140625" style="435" bestFit="1" customWidth="1"/>
    <col min="16131" max="16131" width="11.7109375" style="435" customWidth="1"/>
    <col min="16132" max="16132" width="9.140625" style="435"/>
    <col min="16133" max="16133" width="10.5703125" style="435" bestFit="1" customWidth="1"/>
    <col min="16134" max="16134" width="10.42578125" style="435" customWidth="1"/>
    <col min="16135" max="16135" width="6.5703125" style="435" customWidth="1"/>
    <col min="16136" max="16384" width="9.140625" style="435"/>
  </cols>
  <sheetData>
    <row r="1" spans="1:10" ht="24" thickBot="1">
      <c r="A1" s="461"/>
      <c r="B1" s="461"/>
      <c r="C1" s="461"/>
      <c r="D1" s="461"/>
      <c r="E1" s="461"/>
      <c r="F1" s="461"/>
      <c r="G1" s="461"/>
      <c r="H1" s="2777" t="s">
        <v>1749</v>
      </c>
      <c r="I1" s="2778"/>
      <c r="J1" s="2779"/>
    </row>
    <row r="2" spans="1:10" ht="13.5" thickBot="1">
      <c r="A2" s="461"/>
      <c r="B2" s="461"/>
      <c r="C2" s="461"/>
      <c r="D2" s="461"/>
      <c r="E2" s="461"/>
      <c r="F2" s="461"/>
      <c r="G2" s="461"/>
      <c r="H2" s="461"/>
    </row>
    <row r="3" spans="1:10" ht="15">
      <c r="A3" s="461"/>
      <c r="B3" s="2782" t="s">
        <v>585</v>
      </c>
      <c r="C3" s="2783"/>
      <c r="D3" s="2783"/>
      <c r="E3" s="2783"/>
      <c r="F3" s="2783"/>
      <c r="G3" s="2784"/>
      <c r="H3" s="461"/>
    </row>
    <row r="4" spans="1:10" ht="14.25">
      <c r="A4" s="461"/>
      <c r="B4" s="462"/>
      <c r="C4" s="463"/>
      <c r="D4" s="464"/>
      <c r="E4" s="464"/>
      <c r="F4" s="464"/>
      <c r="G4" s="465"/>
      <c r="H4" s="461"/>
    </row>
    <row r="5" spans="1:10">
      <c r="A5" s="461"/>
      <c r="B5" s="2780" t="s">
        <v>586</v>
      </c>
      <c r="C5" s="2781"/>
      <c r="D5" s="2781"/>
      <c r="E5" s="440">
        <v>2500</v>
      </c>
      <c r="F5" s="466" t="s">
        <v>357</v>
      </c>
      <c r="G5" s="467" t="s">
        <v>573</v>
      </c>
      <c r="H5" s="461"/>
    </row>
    <row r="6" spans="1:10" ht="13.5" thickBot="1">
      <c r="A6" s="461"/>
      <c r="B6" s="2780" t="s">
        <v>587</v>
      </c>
      <c r="C6" s="2781"/>
      <c r="D6" s="2781"/>
      <c r="E6" s="443">
        <v>27.5</v>
      </c>
      <c r="F6" s="466" t="s">
        <v>575</v>
      </c>
      <c r="G6" s="467" t="s">
        <v>573</v>
      </c>
      <c r="H6" s="461"/>
    </row>
    <row r="7" spans="1:10" ht="16.5" thickBot="1">
      <c r="A7" s="461"/>
      <c r="B7" s="2785" t="s">
        <v>588</v>
      </c>
      <c r="C7" s="2786"/>
      <c r="D7" s="2786"/>
      <c r="E7" s="468">
        <f>(E6-26)*(-0.00125*E5+15.25)/3-0.01775*E5+58.25</f>
        <v>19.937500000000007</v>
      </c>
      <c r="F7" s="469" t="s">
        <v>589</v>
      </c>
      <c r="G7" s="465"/>
      <c r="H7" s="461"/>
    </row>
    <row r="8" spans="1:10" ht="13.5" thickBot="1">
      <c r="A8" s="461"/>
      <c r="B8" s="470"/>
      <c r="C8" s="471"/>
      <c r="D8" s="472"/>
      <c r="E8" s="473"/>
      <c r="F8" s="472"/>
      <c r="G8" s="474"/>
      <c r="H8" s="461"/>
    </row>
    <row r="9" spans="1:10">
      <c r="A9" s="461"/>
      <c r="B9" s="461"/>
      <c r="C9" s="461"/>
      <c r="D9" s="461"/>
      <c r="E9" s="461"/>
      <c r="F9" s="461"/>
      <c r="G9" s="461"/>
      <c r="H9" s="461"/>
    </row>
    <row r="10" spans="1:10">
      <c r="A10" s="461"/>
      <c r="B10" s="475"/>
      <c r="C10" s="461"/>
      <c r="D10" s="461"/>
      <c r="E10" s="461"/>
      <c r="F10" s="461"/>
      <c r="G10" s="461"/>
      <c r="H10" s="461"/>
    </row>
    <row r="11" spans="1:10">
      <c r="A11" s="461"/>
      <c r="B11" s="461"/>
      <c r="C11" s="461"/>
      <c r="D11" s="461"/>
      <c r="E11" s="461"/>
      <c r="F11" s="461"/>
      <c r="G11" s="461"/>
      <c r="H11" s="461"/>
    </row>
    <row r="12" spans="1:10" ht="13.5" thickBot="1">
      <c r="A12" s="461"/>
      <c r="B12" s="461"/>
      <c r="C12" s="461"/>
      <c r="D12" s="461"/>
      <c r="E12" s="461"/>
      <c r="F12" s="461"/>
      <c r="G12" s="461"/>
      <c r="H12" s="461"/>
    </row>
    <row r="13" spans="1:10" ht="15">
      <c r="A13" s="461"/>
      <c r="B13" s="2782" t="s">
        <v>590</v>
      </c>
      <c r="C13" s="2783"/>
      <c r="D13" s="2783"/>
      <c r="E13" s="2783"/>
      <c r="F13" s="2783"/>
      <c r="G13" s="2784"/>
      <c r="H13" s="461"/>
    </row>
    <row r="14" spans="1:10" ht="14.25">
      <c r="A14" s="461"/>
      <c r="B14" s="462"/>
      <c r="C14" s="463"/>
      <c r="D14" s="464"/>
      <c r="E14" s="464"/>
      <c r="F14" s="464"/>
      <c r="G14" s="465"/>
      <c r="H14" s="461"/>
    </row>
    <row r="15" spans="1:10">
      <c r="A15" s="461"/>
      <c r="B15" s="2780" t="s">
        <v>586</v>
      </c>
      <c r="C15" s="2781"/>
      <c r="D15" s="2781"/>
      <c r="E15" s="440">
        <v>2270</v>
      </c>
      <c r="F15" s="466" t="s">
        <v>357</v>
      </c>
      <c r="G15" s="467" t="s">
        <v>573</v>
      </c>
      <c r="H15" s="461"/>
    </row>
    <row r="16" spans="1:10" ht="13.5" thickBot="1">
      <c r="A16" s="461"/>
      <c r="B16" s="2780" t="s">
        <v>587</v>
      </c>
      <c r="C16" s="2781"/>
      <c r="D16" s="2781"/>
      <c r="E16" s="443">
        <v>27.5</v>
      </c>
      <c r="F16" s="466" t="s">
        <v>575</v>
      </c>
      <c r="G16" s="467" t="s">
        <v>573</v>
      </c>
      <c r="H16" s="461"/>
    </row>
    <row r="17" spans="1:19" ht="16.5" thickBot="1">
      <c r="A17" s="461"/>
      <c r="B17" s="2785" t="s">
        <v>588</v>
      </c>
      <c r="C17" s="2786"/>
      <c r="D17" s="2786"/>
      <c r="E17" s="468">
        <f>(E16-26)*(-0.0026*E15+20.1)/3-0.015*E15+28.3</f>
        <v>1.3490000000000038</v>
      </c>
      <c r="F17" s="469" t="s">
        <v>589</v>
      </c>
      <c r="G17" s="465"/>
      <c r="H17" s="461"/>
    </row>
    <row r="18" spans="1:19" ht="13.5" thickBot="1">
      <c r="A18" s="461"/>
      <c r="B18" s="470"/>
      <c r="C18" s="471"/>
      <c r="D18" s="472"/>
      <c r="E18" s="473"/>
      <c r="F18" s="472"/>
      <c r="G18" s="474"/>
      <c r="H18" s="461"/>
    </row>
    <row r="19" spans="1:19">
      <c r="A19" s="461"/>
      <c r="B19" s="461"/>
      <c r="C19" s="461"/>
      <c r="D19" s="461"/>
      <c r="E19" s="461"/>
      <c r="F19" s="461"/>
      <c r="G19" s="461"/>
      <c r="H19" s="461"/>
    </row>
    <row r="20" spans="1:19" ht="13.5" thickBot="1">
      <c r="A20" s="461"/>
      <c r="B20" s="461"/>
      <c r="C20" s="461"/>
      <c r="D20" s="461"/>
      <c r="E20" s="461"/>
      <c r="F20" s="461"/>
      <c r="G20" s="461"/>
      <c r="H20" s="461"/>
    </row>
    <row r="21" spans="1:19" ht="15">
      <c r="A21" s="461"/>
      <c r="B21" s="2782" t="s">
        <v>591</v>
      </c>
      <c r="C21" s="2783"/>
      <c r="D21" s="2783"/>
      <c r="E21" s="2783"/>
      <c r="F21" s="2783"/>
      <c r="G21" s="2784"/>
      <c r="H21" s="461"/>
    </row>
    <row r="22" spans="1:19" ht="14.25">
      <c r="A22" s="461"/>
      <c r="B22" s="462"/>
      <c r="C22" s="463"/>
      <c r="D22" s="464"/>
      <c r="E22" s="464"/>
      <c r="F22" s="464"/>
      <c r="G22" s="465"/>
      <c r="H22" s="461"/>
    </row>
    <row r="23" spans="1:19">
      <c r="A23" s="461"/>
      <c r="B23" s="2780" t="s">
        <v>592</v>
      </c>
      <c r="C23" s="2781"/>
      <c r="D23" s="2781"/>
      <c r="E23" s="443">
        <v>5975</v>
      </c>
      <c r="F23" s="466" t="s">
        <v>218</v>
      </c>
      <c r="G23" s="467" t="s">
        <v>573</v>
      </c>
      <c r="H23" s="461"/>
    </row>
    <row r="24" spans="1:19">
      <c r="A24" s="461"/>
      <c r="B24" s="2780" t="s">
        <v>593</v>
      </c>
      <c r="C24" s="2781"/>
      <c r="D24" s="2781"/>
      <c r="E24" s="1494">
        <v>637</v>
      </c>
      <c r="F24" s="466" t="s">
        <v>218</v>
      </c>
      <c r="G24" s="467" t="s">
        <v>573</v>
      </c>
      <c r="H24" s="461"/>
    </row>
    <row r="25" spans="1:19">
      <c r="A25" s="461"/>
      <c r="B25" s="2780" t="s">
        <v>594</v>
      </c>
      <c r="C25" s="2781"/>
      <c r="D25" s="2781"/>
      <c r="E25" s="443">
        <v>221.6</v>
      </c>
      <c r="F25" s="466" t="s">
        <v>595</v>
      </c>
      <c r="G25" s="467" t="s">
        <v>573</v>
      </c>
      <c r="H25" s="461"/>
    </row>
    <row r="26" spans="1:19" ht="13.5" thickBot="1">
      <c r="A26" s="461"/>
      <c r="B26" s="2780" t="s">
        <v>586</v>
      </c>
      <c r="C26" s="2781"/>
      <c r="D26" s="2781"/>
      <c r="E26" s="443">
        <v>2270</v>
      </c>
      <c r="F26" s="466" t="s">
        <v>357</v>
      </c>
      <c r="G26" s="467" t="s">
        <v>573</v>
      </c>
      <c r="H26" s="461"/>
    </row>
    <row r="27" spans="1:19" ht="16.5" thickBot="1">
      <c r="A27" s="461"/>
      <c r="B27" s="2785" t="s">
        <v>596</v>
      </c>
      <c r="C27" s="2786"/>
      <c r="D27" s="2786"/>
      <c r="E27" s="468">
        <f>(((3*E23-3*E24)/E25)+((0.0533*E26)-174.5))/((-0.00125*E26)+15.25)+26</f>
        <v>27.511085032047436</v>
      </c>
      <c r="F27" s="469" t="s">
        <v>575</v>
      </c>
      <c r="G27" s="465"/>
      <c r="H27" s="461"/>
    </row>
    <row r="28" spans="1:19" ht="13.5" thickBot="1">
      <c r="A28" s="461"/>
      <c r="B28" s="470"/>
      <c r="C28" s="471"/>
      <c r="D28" s="472"/>
      <c r="E28" s="473"/>
      <c r="F28" s="472"/>
      <c r="G28" s="474"/>
      <c r="H28" s="461"/>
    </row>
    <row r="29" spans="1:19">
      <c r="A29" s="461"/>
      <c r="B29" s="461"/>
      <c r="C29" s="461"/>
      <c r="D29" s="461"/>
      <c r="E29" s="461"/>
      <c r="F29" s="461"/>
      <c r="G29" s="461"/>
      <c r="H29" s="461"/>
    </row>
    <row r="30" spans="1:19" ht="13.5" thickBot="1">
      <c r="A30" s="461"/>
      <c r="B30" s="461"/>
      <c r="C30" s="461"/>
      <c r="D30" s="461"/>
      <c r="E30" s="461"/>
      <c r="F30" s="461"/>
      <c r="G30" s="461"/>
      <c r="H30" s="461"/>
    </row>
    <row r="31" spans="1:19" ht="27" thickBot="1">
      <c r="A31" s="461"/>
      <c r="B31" s="1124"/>
      <c r="C31" s="1125"/>
      <c r="D31" s="1125"/>
      <c r="E31" s="1220" t="s">
        <v>199</v>
      </c>
      <c r="F31" s="1220" t="s">
        <v>433</v>
      </c>
      <c r="G31" s="1220" t="s">
        <v>346</v>
      </c>
      <c r="H31" s="1125"/>
      <c r="I31" s="1125"/>
      <c r="J31" s="1125"/>
      <c r="K31" s="1125"/>
      <c r="L31" s="1125"/>
      <c r="M31" s="1125"/>
      <c r="N31" s="1125"/>
      <c r="O31" s="1125"/>
      <c r="P31" s="1125"/>
      <c r="Q31" s="1125"/>
      <c r="R31" s="1125"/>
      <c r="S31" s="1126"/>
    </row>
    <row r="32" spans="1:19" ht="29.25" thickBot="1">
      <c r="A32" s="461"/>
      <c r="B32" s="1127"/>
      <c r="C32" s="1133"/>
      <c r="D32" s="1133"/>
      <c r="E32" s="1143" t="s">
        <v>1247</v>
      </c>
      <c r="F32" s="1194" t="s">
        <v>1248</v>
      </c>
      <c r="G32" s="1195" t="s">
        <v>1249</v>
      </c>
      <c r="H32" s="1130"/>
      <c r="I32" s="1130"/>
      <c r="J32" s="1221" t="s">
        <v>1250</v>
      </c>
      <c r="K32" s="1231" t="s">
        <v>1251</v>
      </c>
      <c r="L32" s="2787" t="s">
        <v>1252</v>
      </c>
      <c r="M32" s="2787"/>
      <c r="N32" s="2787"/>
      <c r="O32" s="2787"/>
      <c r="P32" s="2787"/>
      <c r="Q32" s="2787"/>
      <c r="R32" s="2787"/>
      <c r="S32" s="2788"/>
    </row>
    <row r="33" spans="2:19" ht="15.75" thickBot="1">
      <c r="B33" s="2791" t="s">
        <v>1253</v>
      </c>
      <c r="C33" s="2792"/>
      <c r="D33" s="2793"/>
      <c r="E33" s="1196">
        <f>(F38-26)*(-0.0026*F41+20.1)/3-0.015*F41+30</f>
        <v>6.1000000000000014</v>
      </c>
      <c r="F33" s="1197">
        <f>(E38-26)*(-0.00125*E41+15.25)/3-0.01775*E41+58.25</f>
        <v>26.000000000000007</v>
      </c>
      <c r="G33" s="1198">
        <f>(C38-26)*(-0.0004*C41+11.8)/3-0.0193*C41+75.7</f>
        <v>38.250000000000007</v>
      </c>
      <c r="H33" s="1128"/>
      <c r="I33" s="1128"/>
      <c r="J33" s="1222">
        <v>5</v>
      </c>
      <c r="K33" s="1232">
        <v>29</v>
      </c>
      <c r="L33" s="1144">
        <v>78.1875</v>
      </c>
      <c r="M33" s="1145">
        <v>68.25</v>
      </c>
      <c r="N33" s="1145">
        <v>58.3125</v>
      </c>
      <c r="O33" s="1145">
        <v>48.375</v>
      </c>
      <c r="P33" s="1145">
        <v>38.437500000000007</v>
      </c>
      <c r="Q33" s="1145">
        <v>28.500000000000007</v>
      </c>
      <c r="R33" s="1145">
        <v>18.562500000000011</v>
      </c>
      <c r="S33" s="1146">
        <v>8.625</v>
      </c>
    </row>
    <row r="34" spans="2:19" ht="15">
      <c r="B34" s="1131"/>
      <c r="C34" s="1133"/>
      <c r="D34" s="1128"/>
      <c r="E34" s="1132"/>
      <c r="F34" s="1132"/>
      <c r="G34" s="1132"/>
      <c r="H34" s="1128"/>
      <c r="I34" s="1128"/>
      <c r="J34" s="1223">
        <v>5</v>
      </c>
      <c r="K34" s="1233">
        <v>28</v>
      </c>
      <c r="L34" s="1147">
        <v>74.182291666666671</v>
      </c>
      <c r="M34" s="1148">
        <v>64.3125</v>
      </c>
      <c r="N34" s="1148">
        <v>54.442708333333336</v>
      </c>
      <c r="O34" s="1148">
        <v>44.572916666666664</v>
      </c>
      <c r="P34" s="1148">
        <v>34.703125000000014</v>
      </c>
      <c r="Q34" s="1148">
        <v>24.833333333333339</v>
      </c>
      <c r="R34" s="1148">
        <v>14.963541666666679</v>
      </c>
      <c r="S34" s="1149">
        <v>5.0937499999999929</v>
      </c>
    </row>
    <row r="35" spans="2:19" ht="15.75" thickBot="1">
      <c r="B35" s="1131"/>
      <c r="C35" s="1133"/>
      <c r="D35" s="1128"/>
      <c r="E35" s="1128"/>
      <c r="F35" s="1128"/>
      <c r="G35" s="1128"/>
      <c r="H35" s="1128"/>
      <c r="I35" s="1129"/>
      <c r="J35" s="1223">
        <v>5</v>
      </c>
      <c r="K35" s="1233">
        <v>27</v>
      </c>
      <c r="L35" s="1147">
        <v>70.177083333333343</v>
      </c>
      <c r="M35" s="1148">
        <v>60.375000000000014</v>
      </c>
      <c r="N35" s="1148">
        <v>50.572916666666671</v>
      </c>
      <c r="O35" s="1148">
        <v>40.770833333333329</v>
      </c>
      <c r="P35" s="1148">
        <v>30.968750000000007</v>
      </c>
      <c r="Q35" s="1148">
        <v>21.166666666666679</v>
      </c>
      <c r="R35" s="1148">
        <v>11.364583333333346</v>
      </c>
      <c r="S35" s="1149">
        <v>1.5625000000000071</v>
      </c>
    </row>
    <row r="36" spans="2:19" ht="27" thickBot="1">
      <c r="B36" s="1199" t="s">
        <v>1254</v>
      </c>
      <c r="C36" s="1207" t="s">
        <v>1255</v>
      </c>
      <c r="D36" s="1185" t="s">
        <v>1255</v>
      </c>
      <c r="E36" s="1186" t="s">
        <v>1255</v>
      </c>
      <c r="F36" s="1187" t="s">
        <v>1255</v>
      </c>
      <c r="G36" s="1128"/>
      <c r="H36" s="1128"/>
      <c r="I36" s="1128"/>
      <c r="J36" s="1224">
        <v>5</v>
      </c>
      <c r="K36" s="1234">
        <v>26</v>
      </c>
      <c r="L36" s="1150">
        <v>66.171875</v>
      </c>
      <c r="M36" s="1151">
        <v>56.4375</v>
      </c>
      <c r="N36" s="1151">
        <v>46.703125000000007</v>
      </c>
      <c r="O36" s="1151">
        <v>36.96875</v>
      </c>
      <c r="P36" s="1151">
        <v>27.234375000000014</v>
      </c>
      <c r="Q36" s="1151">
        <v>17.500000000000014</v>
      </c>
      <c r="R36" s="1151">
        <v>7.7656250000000107</v>
      </c>
      <c r="S36" s="1152">
        <v>-1.96875</v>
      </c>
    </row>
    <row r="37" spans="2:19" ht="15">
      <c r="B37" s="1200" t="s">
        <v>1257</v>
      </c>
      <c r="C37" s="1208">
        <v>7116</v>
      </c>
      <c r="D37" s="1188">
        <v>7116</v>
      </c>
      <c r="E37" s="1189">
        <v>7116</v>
      </c>
      <c r="F37" s="1190">
        <v>7116</v>
      </c>
      <c r="G37" s="1128"/>
      <c r="H37" s="1128"/>
      <c r="I37" s="1128"/>
      <c r="J37" s="1225">
        <v>10</v>
      </c>
      <c r="K37" s="1235">
        <v>29</v>
      </c>
      <c r="L37" s="1153">
        <v>64</v>
      </c>
      <c r="M37" s="1154">
        <v>54.5</v>
      </c>
      <c r="N37" s="1154">
        <v>45</v>
      </c>
      <c r="O37" s="1154">
        <v>35.5</v>
      </c>
      <c r="P37" s="1154">
        <v>26.000000000000007</v>
      </c>
      <c r="Q37" s="1154">
        <v>16.500000000000007</v>
      </c>
      <c r="R37" s="1154">
        <v>7.0000000000000071</v>
      </c>
      <c r="S37" s="1155">
        <v>-2.5</v>
      </c>
    </row>
    <row r="38" spans="2:19" ht="15">
      <c r="B38" s="1201" t="s">
        <v>1258</v>
      </c>
      <c r="C38" s="1209">
        <v>29</v>
      </c>
      <c r="D38" s="1140">
        <v>29</v>
      </c>
      <c r="E38" s="1141">
        <v>29</v>
      </c>
      <c r="F38" s="1142">
        <v>29</v>
      </c>
      <c r="G38" s="1128"/>
      <c r="H38" s="1128"/>
      <c r="I38" s="1128"/>
      <c r="J38" s="1226">
        <v>10</v>
      </c>
      <c r="K38" s="1236">
        <v>28</v>
      </c>
      <c r="L38" s="1156">
        <v>59.125</v>
      </c>
      <c r="M38" s="1157">
        <v>49.833333333333336</v>
      </c>
      <c r="N38" s="1157">
        <v>40.541666666666671</v>
      </c>
      <c r="O38" s="1157">
        <v>31.25</v>
      </c>
      <c r="P38" s="1157">
        <v>21.958333333333343</v>
      </c>
      <c r="Q38" s="1157">
        <v>12.666666666666671</v>
      </c>
      <c r="R38" s="1157">
        <v>3.3750000000000071</v>
      </c>
      <c r="S38" s="1158">
        <v>-5.9166666666666714</v>
      </c>
    </row>
    <row r="39" spans="2:19" ht="15">
      <c r="B39" s="1201" t="s">
        <v>1259</v>
      </c>
      <c r="C39" s="1209">
        <v>198</v>
      </c>
      <c r="D39" s="1140">
        <v>198</v>
      </c>
      <c r="E39" s="1141">
        <v>198</v>
      </c>
      <c r="F39" s="1142">
        <v>198</v>
      </c>
      <c r="G39" s="1128"/>
      <c r="H39" s="1128"/>
      <c r="I39" s="1128"/>
      <c r="J39" s="1226">
        <v>10</v>
      </c>
      <c r="K39" s="1236">
        <v>27</v>
      </c>
      <c r="L39" s="1156">
        <v>54.25</v>
      </c>
      <c r="M39" s="1157">
        <v>45.166666666666671</v>
      </c>
      <c r="N39" s="1157">
        <v>36.083333333333336</v>
      </c>
      <c r="O39" s="1157">
        <v>27</v>
      </c>
      <c r="P39" s="1157">
        <v>17.916666666666671</v>
      </c>
      <c r="Q39" s="1157">
        <v>8.8333333333333428</v>
      </c>
      <c r="R39" s="1157">
        <v>-0.24999999999999289</v>
      </c>
      <c r="S39" s="1158">
        <v>-9.3333333333333286</v>
      </c>
    </row>
    <row r="40" spans="2:19" ht="18" thickBot="1">
      <c r="B40" s="1201" t="s">
        <v>1260</v>
      </c>
      <c r="C40" s="1241">
        <v>5</v>
      </c>
      <c r="D40" s="1140">
        <v>7</v>
      </c>
      <c r="E40" s="1242">
        <v>10</v>
      </c>
      <c r="F40" s="1243">
        <v>18</v>
      </c>
      <c r="G40" s="1128"/>
      <c r="H40" s="1128"/>
      <c r="I40" s="1128"/>
      <c r="J40" s="1227">
        <v>10</v>
      </c>
      <c r="K40" s="1237">
        <v>26</v>
      </c>
      <c r="L40" s="1159">
        <v>49.375</v>
      </c>
      <c r="M40" s="1160">
        <v>40.5</v>
      </c>
      <c r="N40" s="1160">
        <v>31.625000000000004</v>
      </c>
      <c r="O40" s="1160">
        <v>22.75</v>
      </c>
      <c r="P40" s="1160">
        <v>13.875000000000007</v>
      </c>
      <c r="Q40" s="1160">
        <v>5.0000000000000071</v>
      </c>
      <c r="R40" s="1160">
        <v>-3.8749999999999929</v>
      </c>
      <c r="S40" s="1161">
        <v>-12.75</v>
      </c>
    </row>
    <row r="41" spans="2:19" ht="15.75" thickBot="1">
      <c r="B41" s="1202" t="s">
        <v>717</v>
      </c>
      <c r="C41" s="1210">
        <v>2500</v>
      </c>
      <c r="D41" s="1191">
        <v>2500</v>
      </c>
      <c r="E41" s="1192">
        <v>2500</v>
      </c>
      <c r="F41" s="1193">
        <v>2500</v>
      </c>
      <c r="G41" s="1128"/>
      <c r="H41" s="1128"/>
      <c r="I41" s="1128"/>
      <c r="J41" s="1228">
        <v>18</v>
      </c>
      <c r="K41" s="1238">
        <v>29</v>
      </c>
      <c r="L41" s="1162">
        <v>41.3</v>
      </c>
      <c r="M41" s="1163">
        <v>32.5</v>
      </c>
      <c r="N41" s="1163">
        <v>23.700000000000003</v>
      </c>
      <c r="O41" s="1163">
        <v>14.9</v>
      </c>
      <c r="P41" s="1163">
        <v>6.1000000000000014</v>
      </c>
      <c r="Q41" s="1163">
        <v>-2.6999999999999957</v>
      </c>
      <c r="R41" s="1163">
        <v>-11.5</v>
      </c>
      <c r="S41" s="1164">
        <v>-20.299999999999997</v>
      </c>
    </row>
    <row r="42" spans="2:19" ht="26.25">
      <c r="B42" s="1203" t="s">
        <v>1261</v>
      </c>
      <c r="C42" s="1211" t="s">
        <v>1255</v>
      </c>
      <c r="D42" s="1139" t="s">
        <v>1255</v>
      </c>
      <c r="E42" s="1138" t="s">
        <v>1255</v>
      </c>
      <c r="F42" s="1137" t="s">
        <v>1255</v>
      </c>
      <c r="G42" s="1128"/>
      <c r="H42" s="1128"/>
      <c r="I42" s="1128"/>
      <c r="J42" s="1229">
        <v>18</v>
      </c>
      <c r="K42" s="1239">
        <v>28</v>
      </c>
      <c r="L42" s="1165">
        <v>35.033333333333331</v>
      </c>
      <c r="M42" s="1166">
        <v>26.666666666666664</v>
      </c>
      <c r="N42" s="1166">
        <v>18.300000000000004</v>
      </c>
      <c r="O42" s="1166">
        <v>9.9333333333333371</v>
      </c>
      <c r="P42" s="1166">
        <v>1.56666666666667</v>
      </c>
      <c r="Q42" s="1166">
        <v>-6.7999999999999972</v>
      </c>
      <c r="R42" s="1166">
        <v>-15.166666666666664</v>
      </c>
      <c r="S42" s="1167">
        <v>-23.533333333333331</v>
      </c>
    </row>
    <row r="43" spans="2:19" ht="15">
      <c r="B43" s="1204" t="s">
        <v>1262</v>
      </c>
      <c r="C43" s="1212">
        <f>C37-C39*(C38*(6.7-0.00087*C41-(C40-18)/8*(0.00045*C41-1.62))-0.00695*C41-73.95)</f>
        <v>3834.5212499999989</v>
      </c>
      <c r="D43" s="1176">
        <f>D37-D39*(D38*(6.7-0.00087*D41-(D40-18)/8*(0.00045*D41-1.62))-0.00695*D41-73.95)</f>
        <v>3123.9487499999982</v>
      </c>
      <c r="E43" s="1177">
        <f>E37-E39*(E38*(6.7-0.00087*E41-(E40-18)/8*(0.00045*E41-1.62))-0.00695*E41-73.95)</f>
        <v>2058.0899999999992</v>
      </c>
      <c r="F43" s="1178">
        <f>F37-F39*(F38*(6.7-0.00087*F41-(F40-18)/8*(0.00045*F41-1.62))-0.00695*F41-73.95)</f>
        <v>-784.20000000000437</v>
      </c>
      <c r="G43" s="1128"/>
      <c r="H43" s="1128"/>
      <c r="I43" s="1128"/>
      <c r="J43" s="1229">
        <v>18</v>
      </c>
      <c r="K43" s="1239">
        <v>27</v>
      </c>
      <c r="L43" s="1165">
        <v>28.766666666666666</v>
      </c>
      <c r="M43" s="1166">
        <v>20.833333333333332</v>
      </c>
      <c r="N43" s="1166">
        <v>12.900000000000002</v>
      </c>
      <c r="O43" s="1166">
        <v>4.9666666666666686</v>
      </c>
      <c r="P43" s="1166">
        <v>-2.9666666666666686</v>
      </c>
      <c r="Q43" s="1166">
        <v>-10.899999999999999</v>
      </c>
      <c r="R43" s="1166">
        <v>-18.833333333333336</v>
      </c>
      <c r="S43" s="1167">
        <v>-26.766666666666666</v>
      </c>
    </row>
    <row r="44" spans="2:19" ht="15.75" thickBot="1">
      <c r="B44" s="1205" t="s">
        <v>1263</v>
      </c>
      <c r="C44" s="1213">
        <f>G33</f>
        <v>38.250000000000007</v>
      </c>
      <c r="D44" s="1179">
        <f>E33-(D40-18)*(G33-E33)/13</f>
        <v>33.303846153846166</v>
      </c>
      <c r="E44" s="1180">
        <f>F33</f>
        <v>26.000000000000007</v>
      </c>
      <c r="F44" s="1181">
        <f>E33</f>
        <v>6.1000000000000014</v>
      </c>
      <c r="G44" s="1128"/>
      <c r="H44" s="1128"/>
      <c r="I44" s="1128"/>
      <c r="J44" s="1230">
        <v>18</v>
      </c>
      <c r="K44" s="1240">
        <v>26</v>
      </c>
      <c r="L44" s="1168">
        <v>22.5</v>
      </c>
      <c r="M44" s="1169">
        <v>15</v>
      </c>
      <c r="N44" s="1169">
        <v>7.5</v>
      </c>
      <c r="O44" s="1169">
        <v>0</v>
      </c>
      <c r="P44" s="1169">
        <v>-7.5</v>
      </c>
      <c r="Q44" s="1169">
        <v>-15</v>
      </c>
      <c r="R44" s="1169">
        <v>-22.5</v>
      </c>
      <c r="S44" s="1170">
        <v>-30</v>
      </c>
    </row>
    <row r="45" spans="2:19" ht="45.75" thickBot="1">
      <c r="B45" s="1206" t="s">
        <v>1264</v>
      </c>
      <c r="C45" s="1214">
        <f>C37-C39*C44</f>
        <v>-457.50000000000182</v>
      </c>
      <c r="D45" s="1182">
        <f>D37-D39*D44</f>
        <v>521.83846153845934</v>
      </c>
      <c r="E45" s="1183">
        <f>E37-E39*E44</f>
        <v>1967.9999999999982</v>
      </c>
      <c r="F45" s="1184">
        <f>F37-F39*F44</f>
        <v>5908.2</v>
      </c>
      <c r="G45" s="1128"/>
      <c r="H45" s="1128"/>
      <c r="I45" s="1128"/>
      <c r="J45" s="2789" t="s">
        <v>1256</v>
      </c>
      <c r="K45" s="2790"/>
      <c r="L45" s="1171">
        <v>500</v>
      </c>
      <c r="M45" s="1172">
        <v>1000</v>
      </c>
      <c r="N45" s="1172">
        <v>1500</v>
      </c>
      <c r="O45" s="1172">
        <v>2000</v>
      </c>
      <c r="P45" s="1172">
        <v>2500</v>
      </c>
      <c r="Q45" s="1172">
        <v>3000</v>
      </c>
      <c r="R45" s="1172">
        <v>3500</v>
      </c>
      <c r="S45" s="1173">
        <v>4000</v>
      </c>
    </row>
    <row r="46" spans="2:19" ht="15">
      <c r="B46" s="489"/>
      <c r="C46" s="438"/>
      <c r="D46" s="438"/>
      <c r="E46" s="438"/>
      <c r="F46" s="438"/>
      <c r="G46" s="1128"/>
      <c r="H46" s="1128"/>
      <c r="I46" s="1128"/>
      <c r="J46" s="1128"/>
      <c r="K46" s="1128"/>
      <c r="L46" s="1128"/>
      <c r="M46" s="1128"/>
      <c r="N46" s="1128"/>
      <c r="O46" s="1128"/>
      <c r="P46" s="1128"/>
      <c r="Q46" s="1128"/>
      <c r="R46" s="1128"/>
      <c r="S46" s="1136"/>
    </row>
    <row r="47" spans="2:19" ht="15">
      <c r="B47" s="489"/>
      <c r="C47" s="438"/>
      <c r="D47" s="438"/>
      <c r="E47" s="438"/>
      <c r="F47" s="438"/>
      <c r="G47" s="1128"/>
      <c r="H47" s="1128"/>
      <c r="I47" s="1128"/>
      <c r="J47" s="1128"/>
      <c r="K47" s="1128"/>
      <c r="L47" s="1128"/>
      <c r="M47" s="1128"/>
      <c r="N47" s="1128"/>
      <c r="O47" s="1128"/>
      <c r="P47" s="1128"/>
      <c r="Q47" s="1128"/>
      <c r="R47" s="1128"/>
      <c r="S47" s="1136"/>
    </row>
    <row r="48" spans="2:19" ht="15">
      <c r="B48" s="489"/>
      <c r="C48" s="438"/>
      <c r="D48" s="438"/>
      <c r="E48" s="438"/>
      <c r="F48" s="438"/>
      <c r="G48" s="1128"/>
      <c r="H48" s="1128"/>
      <c r="I48" s="1128"/>
      <c r="J48" s="1128"/>
      <c r="K48" s="1128"/>
      <c r="L48" s="1128"/>
      <c r="M48" s="1128"/>
      <c r="N48" s="1128"/>
      <c r="O48" s="1128"/>
      <c r="P48" s="1128"/>
      <c r="Q48" s="1128"/>
      <c r="R48" s="1128"/>
      <c r="S48" s="1136"/>
    </row>
    <row r="49" spans="2:19" ht="15">
      <c r="B49" s="489"/>
      <c r="C49" s="438"/>
      <c r="D49" s="438"/>
      <c r="E49" s="438"/>
      <c r="F49" s="438"/>
      <c r="G49" s="1128"/>
      <c r="H49" s="1128"/>
      <c r="I49" s="1128"/>
      <c r="J49" s="1128"/>
      <c r="K49" s="1128"/>
      <c r="L49" s="1128"/>
      <c r="M49" s="1128"/>
      <c r="N49" s="1128"/>
      <c r="O49" s="1128"/>
      <c r="P49" s="1128"/>
      <c r="Q49" s="1128"/>
      <c r="R49" s="1128"/>
      <c r="S49" s="1136"/>
    </row>
    <row r="50" spans="2:19" ht="15">
      <c r="B50" s="489"/>
      <c r="C50" s="438"/>
      <c r="D50" s="438"/>
      <c r="E50" s="438"/>
      <c r="F50" s="438"/>
      <c r="G50" s="1128"/>
      <c r="H50" s="1128"/>
      <c r="I50" s="1128"/>
      <c r="J50" s="1128"/>
      <c r="K50" s="1128"/>
      <c r="L50" s="1128"/>
      <c r="M50" s="1128"/>
      <c r="N50" s="1128"/>
      <c r="O50" s="1128"/>
      <c r="P50" s="1128"/>
      <c r="Q50" s="1128"/>
      <c r="R50" s="1128"/>
      <c r="S50" s="1136"/>
    </row>
    <row r="51" spans="2:19" ht="15">
      <c r="B51" s="489"/>
      <c r="C51" s="438"/>
      <c r="D51" s="438"/>
      <c r="E51" s="438"/>
      <c r="F51" s="438"/>
      <c r="G51" s="1128"/>
      <c r="H51" s="1128"/>
      <c r="I51" s="1128"/>
      <c r="J51" s="1128"/>
      <c r="K51" s="1128"/>
      <c r="L51" s="1128"/>
      <c r="M51" s="1128"/>
      <c r="N51" s="1128"/>
      <c r="O51" s="1128"/>
      <c r="P51" s="1128"/>
      <c r="Q51" s="1128"/>
      <c r="R51" s="1128"/>
      <c r="S51" s="1136"/>
    </row>
    <row r="52" spans="2:19" ht="15">
      <c r="B52" s="489"/>
      <c r="C52" s="438"/>
      <c r="D52" s="438"/>
      <c r="E52" s="438"/>
      <c r="F52" s="438"/>
      <c r="G52" s="1128"/>
      <c r="H52" s="1128"/>
      <c r="I52" s="1128"/>
      <c r="J52" s="1128"/>
      <c r="K52" s="1128"/>
      <c r="L52" s="1128"/>
      <c r="M52" s="1128"/>
      <c r="N52" s="1128"/>
      <c r="O52" s="1128"/>
      <c r="P52" s="1128"/>
      <c r="Q52" s="1128"/>
      <c r="R52" s="1128"/>
      <c r="S52" s="1136"/>
    </row>
    <row r="53" spans="2:19" ht="15">
      <c r="B53" s="489"/>
      <c r="C53" s="438"/>
      <c r="D53" s="438"/>
      <c r="E53" s="438"/>
      <c r="F53" s="438"/>
      <c r="G53" s="1128"/>
      <c r="H53" s="1128"/>
      <c r="I53" s="1128"/>
      <c r="J53" s="1128"/>
      <c r="K53" s="1128"/>
      <c r="L53" s="1128"/>
      <c r="M53" s="1128"/>
      <c r="N53" s="1128"/>
      <c r="O53" s="1128"/>
      <c r="P53" s="1128"/>
      <c r="Q53" s="1128"/>
      <c r="R53" s="1128"/>
      <c r="S53" s="1136"/>
    </row>
    <row r="54" spans="2:19" ht="15.75" thickBot="1">
      <c r="B54" s="488"/>
      <c r="C54" s="448"/>
      <c r="D54" s="448"/>
      <c r="E54" s="448"/>
      <c r="F54" s="448"/>
      <c r="G54" s="1174"/>
      <c r="H54" s="1174"/>
      <c r="I54" s="1174"/>
      <c r="J54" s="1174"/>
      <c r="K54" s="1174"/>
      <c r="L54" s="1174"/>
      <c r="M54" s="1174"/>
      <c r="N54" s="1174"/>
      <c r="O54" s="1174"/>
      <c r="P54" s="1174"/>
      <c r="Q54" s="1174"/>
      <c r="R54" s="1174"/>
      <c r="S54" s="1175"/>
    </row>
  </sheetData>
  <mergeCells count="18">
    <mergeCell ref="L32:S32"/>
    <mergeCell ref="J45:K45"/>
    <mergeCell ref="B26:D26"/>
    <mergeCell ref="B27:D27"/>
    <mergeCell ref="B33:D33"/>
    <mergeCell ref="H1:J1"/>
    <mergeCell ref="B25:D25"/>
    <mergeCell ref="B15:D15"/>
    <mergeCell ref="B3:G3"/>
    <mergeCell ref="B5:D5"/>
    <mergeCell ref="B6:D6"/>
    <mergeCell ref="B7:D7"/>
    <mergeCell ref="B13:G13"/>
    <mergeCell ref="B16:D16"/>
    <mergeCell ref="B17:D17"/>
    <mergeCell ref="B21:G21"/>
    <mergeCell ref="B23:D23"/>
    <mergeCell ref="B24:D24"/>
  </mergeCells>
  <hyperlinks>
    <hyperlink ref="H1" location="INDEX!A1" display="INDEX!A1"/>
  </hyperlinks>
  <pageMargins left="0.75" right="0.75" top="1" bottom="1" header="0.5" footer="0.5"/>
  <headerFooter alignWithMargins="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B1:H37"/>
  <sheetViews>
    <sheetView zoomScaleNormal="100" workbookViewId="0">
      <selection activeCell="C1" sqref="C1:E1"/>
    </sheetView>
  </sheetViews>
  <sheetFormatPr defaultRowHeight="12.75"/>
  <cols>
    <col min="1" max="1" width="9.140625" style="435"/>
    <col min="2" max="2" width="26.7109375" style="435" customWidth="1"/>
    <col min="3" max="5" width="9.140625" style="435"/>
    <col min="6" max="6" width="57.42578125" style="435" bestFit="1" customWidth="1"/>
    <col min="7" max="257" width="9.140625" style="435"/>
    <col min="258" max="258" width="26.7109375" style="435" customWidth="1"/>
    <col min="259" max="261" width="9.140625" style="435"/>
    <col min="262" max="262" width="57.42578125" style="435" bestFit="1" customWidth="1"/>
    <col min="263" max="513" width="9.140625" style="435"/>
    <col min="514" max="514" width="26.7109375" style="435" customWidth="1"/>
    <col min="515" max="517" width="9.140625" style="435"/>
    <col min="518" max="518" width="57.42578125" style="435" bestFit="1" customWidth="1"/>
    <col min="519" max="769" width="9.140625" style="435"/>
    <col min="770" max="770" width="26.7109375" style="435" customWidth="1"/>
    <col min="771" max="773" width="9.140625" style="435"/>
    <col min="774" max="774" width="57.42578125" style="435" bestFit="1" customWidth="1"/>
    <col min="775" max="1025" width="9.140625" style="435"/>
    <col min="1026" max="1026" width="26.7109375" style="435" customWidth="1"/>
    <col min="1027" max="1029" width="9.140625" style="435"/>
    <col min="1030" max="1030" width="57.42578125" style="435" bestFit="1" customWidth="1"/>
    <col min="1031" max="1281" width="9.140625" style="435"/>
    <col min="1282" max="1282" width="26.7109375" style="435" customWidth="1"/>
    <col min="1283" max="1285" width="9.140625" style="435"/>
    <col min="1286" max="1286" width="57.42578125" style="435" bestFit="1" customWidth="1"/>
    <col min="1287" max="1537" width="9.140625" style="435"/>
    <col min="1538" max="1538" width="26.7109375" style="435" customWidth="1"/>
    <col min="1539" max="1541" width="9.140625" style="435"/>
    <col min="1542" max="1542" width="57.42578125" style="435" bestFit="1" customWidth="1"/>
    <col min="1543" max="1793" width="9.140625" style="435"/>
    <col min="1794" max="1794" width="26.7109375" style="435" customWidth="1"/>
    <col min="1795" max="1797" width="9.140625" style="435"/>
    <col min="1798" max="1798" width="57.42578125" style="435" bestFit="1" customWidth="1"/>
    <col min="1799" max="2049" width="9.140625" style="435"/>
    <col min="2050" max="2050" width="26.7109375" style="435" customWidth="1"/>
    <col min="2051" max="2053" width="9.140625" style="435"/>
    <col min="2054" max="2054" width="57.42578125" style="435" bestFit="1" customWidth="1"/>
    <col min="2055" max="2305" width="9.140625" style="435"/>
    <col min="2306" max="2306" width="26.7109375" style="435" customWidth="1"/>
    <col min="2307" max="2309" width="9.140625" style="435"/>
    <col min="2310" max="2310" width="57.42578125" style="435" bestFit="1" customWidth="1"/>
    <col min="2311" max="2561" width="9.140625" style="435"/>
    <col min="2562" max="2562" width="26.7109375" style="435" customWidth="1"/>
    <col min="2563" max="2565" width="9.140625" style="435"/>
    <col min="2566" max="2566" width="57.42578125" style="435" bestFit="1" customWidth="1"/>
    <col min="2567" max="2817" width="9.140625" style="435"/>
    <col min="2818" max="2818" width="26.7109375" style="435" customWidth="1"/>
    <col min="2819" max="2821" width="9.140625" style="435"/>
    <col min="2822" max="2822" width="57.42578125" style="435" bestFit="1" customWidth="1"/>
    <col min="2823" max="3073" width="9.140625" style="435"/>
    <col min="3074" max="3074" width="26.7109375" style="435" customWidth="1"/>
    <col min="3075" max="3077" width="9.140625" style="435"/>
    <col min="3078" max="3078" width="57.42578125" style="435" bestFit="1" customWidth="1"/>
    <col min="3079" max="3329" width="9.140625" style="435"/>
    <col min="3330" max="3330" width="26.7109375" style="435" customWidth="1"/>
    <col min="3331" max="3333" width="9.140625" style="435"/>
    <col min="3334" max="3334" width="57.42578125" style="435" bestFit="1" customWidth="1"/>
    <col min="3335" max="3585" width="9.140625" style="435"/>
    <col min="3586" max="3586" width="26.7109375" style="435" customWidth="1"/>
    <col min="3587" max="3589" width="9.140625" style="435"/>
    <col min="3590" max="3590" width="57.42578125" style="435" bestFit="1" customWidth="1"/>
    <col min="3591" max="3841" width="9.140625" style="435"/>
    <col min="3842" max="3842" width="26.7109375" style="435" customWidth="1"/>
    <col min="3843" max="3845" width="9.140625" style="435"/>
    <col min="3846" max="3846" width="57.42578125" style="435" bestFit="1" customWidth="1"/>
    <col min="3847" max="4097" width="9.140625" style="435"/>
    <col min="4098" max="4098" width="26.7109375" style="435" customWidth="1"/>
    <col min="4099" max="4101" width="9.140625" style="435"/>
    <col min="4102" max="4102" width="57.42578125" style="435" bestFit="1" customWidth="1"/>
    <col min="4103" max="4353" width="9.140625" style="435"/>
    <col min="4354" max="4354" width="26.7109375" style="435" customWidth="1"/>
    <col min="4355" max="4357" width="9.140625" style="435"/>
    <col min="4358" max="4358" width="57.42578125" style="435" bestFit="1" customWidth="1"/>
    <col min="4359" max="4609" width="9.140625" style="435"/>
    <col min="4610" max="4610" width="26.7109375" style="435" customWidth="1"/>
    <col min="4611" max="4613" width="9.140625" style="435"/>
    <col min="4614" max="4614" width="57.42578125" style="435" bestFit="1" customWidth="1"/>
    <col min="4615" max="4865" width="9.140625" style="435"/>
    <col min="4866" max="4866" width="26.7109375" style="435" customWidth="1"/>
    <col min="4867" max="4869" width="9.140625" style="435"/>
    <col min="4870" max="4870" width="57.42578125" style="435" bestFit="1" customWidth="1"/>
    <col min="4871" max="5121" width="9.140625" style="435"/>
    <col min="5122" max="5122" width="26.7109375" style="435" customWidth="1"/>
    <col min="5123" max="5125" width="9.140625" style="435"/>
    <col min="5126" max="5126" width="57.42578125" style="435" bestFit="1" customWidth="1"/>
    <col min="5127" max="5377" width="9.140625" style="435"/>
    <col min="5378" max="5378" width="26.7109375" style="435" customWidth="1"/>
    <col min="5379" max="5381" width="9.140625" style="435"/>
    <col min="5382" max="5382" width="57.42578125" style="435" bestFit="1" customWidth="1"/>
    <col min="5383" max="5633" width="9.140625" style="435"/>
    <col min="5634" max="5634" width="26.7109375" style="435" customWidth="1"/>
    <col min="5635" max="5637" width="9.140625" style="435"/>
    <col min="5638" max="5638" width="57.42578125" style="435" bestFit="1" customWidth="1"/>
    <col min="5639" max="5889" width="9.140625" style="435"/>
    <col min="5890" max="5890" width="26.7109375" style="435" customWidth="1"/>
    <col min="5891" max="5893" width="9.140625" style="435"/>
    <col min="5894" max="5894" width="57.42578125" style="435" bestFit="1" customWidth="1"/>
    <col min="5895" max="6145" width="9.140625" style="435"/>
    <col min="6146" max="6146" width="26.7109375" style="435" customWidth="1"/>
    <col min="6147" max="6149" width="9.140625" style="435"/>
    <col min="6150" max="6150" width="57.42578125" style="435" bestFit="1" customWidth="1"/>
    <col min="6151" max="6401" width="9.140625" style="435"/>
    <col min="6402" max="6402" width="26.7109375" style="435" customWidth="1"/>
    <col min="6403" max="6405" width="9.140625" style="435"/>
    <col min="6406" max="6406" width="57.42578125" style="435" bestFit="1" customWidth="1"/>
    <col min="6407" max="6657" width="9.140625" style="435"/>
    <col min="6658" max="6658" width="26.7109375" style="435" customWidth="1"/>
    <col min="6659" max="6661" width="9.140625" style="435"/>
    <col min="6662" max="6662" width="57.42578125" style="435" bestFit="1" customWidth="1"/>
    <col min="6663" max="6913" width="9.140625" style="435"/>
    <col min="6914" max="6914" width="26.7109375" style="435" customWidth="1"/>
    <col min="6915" max="6917" width="9.140625" style="435"/>
    <col min="6918" max="6918" width="57.42578125" style="435" bestFit="1" customWidth="1"/>
    <col min="6919" max="7169" width="9.140625" style="435"/>
    <col min="7170" max="7170" width="26.7109375" style="435" customWidth="1"/>
    <col min="7171" max="7173" width="9.140625" style="435"/>
    <col min="7174" max="7174" width="57.42578125" style="435" bestFit="1" customWidth="1"/>
    <col min="7175" max="7425" width="9.140625" style="435"/>
    <col min="7426" max="7426" width="26.7109375" style="435" customWidth="1"/>
    <col min="7427" max="7429" width="9.140625" style="435"/>
    <col min="7430" max="7430" width="57.42578125" style="435" bestFit="1" customWidth="1"/>
    <col min="7431" max="7681" width="9.140625" style="435"/>
    <col min="7682" max="7682" width="26.7109375" style="435" customWidth="1"/>
    <col min="7683" max="7685" width="9.140625" style="435"/>
    <col min="7686" max="7686" width="57.42578125" style="435" bestFit="1" customWidth="1"/>
    <col min="7687" max="7937" width="9.140625" style="435"/>
    <col min="7938" max="7938" width="26.7109375" style="435" customWidth="1"/>
    <col min="7939" max="7941" width="9.140625" style="435"/>
    <col min="7942" max="7942" width="57.42578125" style="435" bestFit="1" customWidth="1"/>
    <col min="7943" max="8193" width="9.140625" style="435"/>
    <col min="8194" max="8194" width="26.7109375" style="435" customWidth="1"/>
    <col min="8195" max="8197" width="9.140625" style="435"/>
    <col min="8198" max="8198" width="57.42578125" style="435" bestFit="1" customWidth="1"/>
    <col min="8199" max="8449" width="9.140625" style="435"/>
    <col min="8450" max="8450" width="26.7109375" style="435" customWidth="1"/>
    <col min="8451" max="8453" width="9.140625" style="435"/>
    <col min="8454" max="8454" width="57.42578125" style="435" bestFit="1" customWidth="1"/>
    <col min="8455" max="8705" width="9.140625" style="435"/>
    <col min="8706" max="8706" width="26.7109375" style="435" customWidth="1"/>
    <col min="8707" max="8709" width="9.140625" style="435"/>
    <col min="8710" max="8710" width="57.42578125" style="435" bestFit="1" customWidth="1"/>
    <col min="8711" max="8961" width="9.140625" style="435"/>
    <col min="8962" max="8962" width="26.7109375" style="435" customWidth="1"/>
    <col min="8963" max="8965" width="9.140625" style="435"/>
    <col min="8966" max="8966" width="57.42578125" style="435" bestFit="1" customWidth="1"/>
    <col min="8967" max="9217" width="9.140625" style="435"/>
    <col min="9218" max="9218" width="26.7109375" style="435" customWidth="1"/>
    <col min="9219" max="9221" width="9.140625" style="435"/>
    <col min="9222" max="9222" width="57.42578125" style="435" bestFit="1" customWidth="1"/>
    <col min="9223" max="9473" width="9.140625" style="435"/>
    <col min="9474" max="9474" width="26.7109375" style="435" customWidth="1"/>
    <col min="9475" max="9477" width="9.140625" style="435"/>
    <col min="9478" max="9478" width="57.42578125" style="435" bestFit="1" customWidth="1"/>
    <col min="9479" max="9729" width="9.140625" style="435"/>
    <col min="9730" max="9730" width="26.7109375" style="435" customWidth="1"/>
    <col min="9731" max="9733" width="9.140625" style="435"/>
    <col min="9734" max="9734" width="57.42578125" style="435" bestFit="1" customWidth="1"/>
    <col min="9735" max="9985" width="9.140625" style="435"/>
    <col min="9986" max="9986" width="26.7109375" style="435" customWidth="1"/>
    <col min="9987" max="9989" width="9.140625" style="435"/>
    <col min="9990" max="9990" width="57.42578125" style="435" bestFit="1" customWidth="1"/>
    <col min="9991" max="10241" width="9.140625" style="435"/>
    <col min="10242" max="10242" width="26.7109375" style="435" customWidth="1"/>
    <col min="10243" max="10245" width="9.140625" style="435"/>
    <col min="10246" max="10246" width="57.42578125" style="435" bestFit="1" customWidth="1"/>
    <col min="10247" max="10497" width="9.140625" style="435"/>
    <col min="10498" max="10498" width="26.7109375" style="435" customWidth="1"/>
    <col min="10499" max="10501" width="9.140625" style="435"/>
    <col min="10502" max="10502" width="57.42578125" style="435" bestFit="1" customWidth="1"/>
    <col min="10503" max="10753" width="9.140625" style="435"/>
    <col min="10754" max="10754" width="26.7109375" style="435" customWidth="1"/>
    <col min="10755" max="10757" width="9.140625" style="435"/>
    <col min="10758" max="10758" width="57.42578125" style="435" bestFit="1" customWidth="1"/>
    <col min="10759" max="11009" width="9.140625" style="435"/>
    <col min="11010" max="11010" width="26.7109375" style="435" customWidth="1"/>
    <col min="11011" max="11013" width="9.140625" style="435"/>
    <col min="11014" max="11014" width="57.42578125" style="435" bestFit="1" customWidth="1"/>
    <col min="11015" max="11265" width="9.140625" style="435"/>
    <col min="11266" max="11266" width="26.7109375" style="435" customWidth="1"/>
    <col min="11267" max="11269" width="9.140625" style="435"/>
    <col min="11270" max="11270" width="57.42578125" style="435" bestFit="1" customWidth="1"/>
    <col min="11271" max="11521" width="9.140625" style="435"/>
    <col min="11522" max="11522" width="26.7109375" style="435" customWidth="1"/>
    <col min="11523" max="11525" width="9.140625" style="435"/>
    <col min="11526" max="11526" width="57.42578125" style="435" bestFit="1" customWidth="1"/>
    <col min="11527" max="11777" width="9.140625" style="435"/>
    <col min="11778" max="11778" width="26.7109375" style="435" customWidth="1"/>
    <col min="11779" max="11781" width="9.140625" style="435"/>
    <col min="11782" max="11782" width="57.42578125" style="435" bestFit="1" customWidth="1"/>
    <col min="11783" max="12033" width="9.140625" style="435"/>
    <col min="12034" max="12034" width="26.7109375" style="435" customWidth="1"/>
    <col min="12035" max="12037" width="9.140625" style="435"/>
    <col min="12038" max="12038" width="57.42578125" style="435" bestFit="1" customWidth="1"/>
    <col min="12039" max="12289" width="9.140625" style="435"/>
    <col min="12290" max="12290" width="26.7109375" style="435" customWidth="1"/>
    <col min="12291" max="12293" width="9.140625" style="435"/>
    <col min="12294" max="12294" width="57.42578125" style="435" bestFit="1" customWidth="1"/>
    <col min="12295" max="12545" width="9.140625" style="435"/>
    <col min="12546" max="12546" width="26.7109375" style="435" customWidth="1"/>
    <col min="12547" max="12549" width="9.140625" style="435"/>
    <col min="12550" max="12550" width="57.42578125" style="435" bestFit="1" customWidth="1"/>
    <col min="12551" max="12801" width="9.140625" style="435"/>
    <col min="12802" max="12802" width="26.7109375" style="435" customWidth="1"/>
    <col min="12803" max="12805" width="9.140625" style="435"/>
    <col min="12806" max="12806" width="57.42578125" style="435" bestFit="1" customWidth="1"/>
    <col min="12807" max="13057" width="9.140625" style="435"/>
    <col min="13058" max="13058" width="26.7109375" style="435" customWidth="1"/>
    <col min="13059" max="13061" width="9.140625" style="435"/>
    <col min="13062" max="13062" width="57.42578125" style="435" bestFit="1" customWidth="1"/>
    <col min="13063" max="13313" width="9.140625" style="435"/>
    <col min="13314" max="13314" width="26.7109375" style="435" customWidth="1"/>
    <col min="13315" max="13317" width="9.140625" style="435"/>
    <col min="13318" max="13318" width="57.42578125" style="435" bestFit="1" customWidth="1"/>
    <col min="13319" max="13569" width="9.140625" style="435"/>
    <col min="13570" max="13570" width="26.7109375" style="435" customWidth="1"/>
    <col min="13571" max="13573" width="9.140625" style="435"/>
    <col min="13574" max="13574" width="57.42578125" style="435" bestFit="1" customWidth="1"/>
    <col min="13575" max="13825" width="9.140625" style="435"/>
    <col min="13826" max="13826" width="26.7109375" style="435" customWidth="1"/>
    <col min="13827" max="13829" width="9.140625" style="435"/>
    <col min="13830" max="13830" width="57.42578125" style="435" bestFit="1" customWidth="1"/>
    <col min="13831" max="14081" width="9.140625" style="435"/>
    <col min="14082" max="14082" width="26.7109375" style="435" customWidth="1"/>
    <col min="14083" max="14085" width="9.140625" style="435"/>
    <col min="14086" max="14086" width="57.42578125" style="435" bestFit="1" customWidth="1"/>
    <col min="14087" max="14337" width="9.140625" style="435"/>
    <col min="14338" max="14338" width="26.7109375" style="435" customWidth="1"/>
    <col min="14339" max="14341" width="9.140625" style="435"/>
    <col min="14342" max="14342" width="57.42578125" style="435" bestFit="1" customWidth="1"/>
    <col min="14343" max="14593" width="9.140625" style="435"/>
    <col min="14594" max="14594" width="26.7109375" style="435" customWidth="1"/>
    <col min="14595" max="14597" width="9.140625" style="435"/>
    <col min="14598" max="14598" width="57.42578125" style="435" bestFit="1" customWidth="1"/>
    <col min="14599" max="14849" width="9.140625" style="435"/>
    <col min="14850" max="14850" width="26.7109375" style="435" customWidth="1"/>
    <col min="14851" max="14853" width="9.140625" style="435"/>
    <col min="14854" max="14854" width="57.42578125" style="435" bestFit="1" customWidth="1"/>
    <col min="14855" max="15105" width="9.140625" style="435"/>
    <col min="15106" max="15106" width="26.7109375" style="435" customWidth="1"/>
    <col min="15107" max="15109" width="9.140625" style="435"/>
    <col min="15110" max="15110" width="57.42578125" style="435" bestFit="1" customWidth="1"/>
    <col min="15111" max="15361" width="9.140625" style="435"/>
    <col min="15362" max="15362" width="26.7109375" style="435" customWidth="1"/>
    <col min="15363" max="15365" width="9.140625" style="435"/>
    <col min="15366" max="15366" width="57.42578125" style="435" bestFit="1" customWidth="1"/>
    <col min="15367" max="15617" width="9.140625" style="435"/>
    <col min="15618" max="15618" width="26.7109375" style="435" customWidth="1"/>
    <col min="15619" max="15621" width="9.140625" style="435"/>
    <col min="15622" max="15622" width="57.42578125" style="435" bestFit="1" customWidth="1"/>
    <col min="15623" max="15873" width="9.140625" style="435"/>
    <col min="15874" max="15874" width="26.7109375" style="435" customWidth="1"/>
    <col min="15875" max="15877" width="9.140625" style="435"/>
    <col min="15878" max="15878" width="57.42578125" style="435" bestFit="1" customWidth="1"/>
    <col min="15879" max="16129" width="9.140625" style="435"/>
    <col min="16130" max="16130" width="26.7109375" style="435" customWidth="1"/>
    <col min="16131" max="16133" width="9.140625" style="435"/>
    <col min="16134" max="16134" width="57.42578125" style="435" bestFit="1" customWidth="1"/>
    <col min="16135" max="16384" width="9.140625" style="435"/>
  </cols>
  <sheetData>
    <row r="1" spans="2:8" ht="24" thickBot="1">
      <c r="C1" s="2777" t="s">
        <v>1749</v>
      </c>
      <c r="D1" s="2778"/>
      <c r="E1" s="2779"/>
    </row>
    <row r="2" spans="2:8" ht="13.5" thickBot="1"/>
    <row r="3" spans="2:8" ht="21.75" customHeight="1">
      <c r="B3" s="2796" t="s">
        <v>597</v>
      </c>
      <c r="C3" s="2797"/>
      <c r="D3" s="2797"/>
      <c r="E3" s="2797"/>
      <c r="F3" s="2798"/>
    </row>
    <row r="4" spans="2:8" ht="18.75">
      <c r="B4" s="476" t="s">
        <v>598</v>
      </c>
      <c r="C4" s="1821">
        <v>2.78</v>
      </c>
      <c r="D4" s="478" t="s">
        <v>599</v>
      </c>
      <c r="E4" s="479" t="s">
        <v>600</v>
      </c>
      <c r="F4" s="480" t="s">
        <v>601</v>
      </c>
      <c r="G4" s="438"/>
      <c r="H4" s="438"/>
    </row>
    <row r="5" spans="2:8" ht="14.25">
      <c r="B5" s="476" t="s">
        <v>602</v>
      </c>
      <c r="C5" s="477">
        <v>5.5</v>
      </c>
      <c r="D5" s="478" t="s">
        <v>357</v>
      </c>
      <c r="E5" s="479"/>
      <c r="F5" s="480"/>
      <c r="G5" s="438"/>
      <c r="H5" s="438"/>
    </row>
    <row r="6" spans="2:8" ht="14.25">
      <c r="B6" s="476" t="s">
        <v>603</v>
      </c>
      <c r="C6" s="477">
        <v>5.5</v>
      </c>
      <c r="D6" s="478" t="s">
        <v>357</v>
      </c>
      <c r="E6" s="479"/>
      <c r="F6" s="480"/>
      <c r="G6" s="438"/>
      <c r="H6" s="438"/>
    </row>
    <row r="7" spans="2:8" ht="14.25">
      <c r="B7" s="481"/>
      <c r="C7" s="477">
        <v>2.6</v>
      </c>
      <c r="D7" s="478" t="s">
        <v>357</v>
      </c>
      <c r="E7" s="479" t="s">
        <v>600</v>
      </c>
      <c r="F7" s="480" t="s">
        <v>604</v>
      </c>
      <c r="G7" s="438"/>
      <c r="H7" s="438"/>
    </row>
    <row r="8" spans="2:8" ht="14.25">
      <c r="B8" s="481"/>
      <c r="C8" s="477">
        <v>23</v>
      </c>
      <c r="D8" s="478" t="s">
        <v>605</v>
      </c>
      <c r="E8" s="479" t="s">
        <v>600</v>
      </c>
      <c r="F8" s="480" t="s">
        <v>606</v>
      </c>
      <c r="G8" s="438"/>
      <c r="H8" s="438"/>
    </row>
    <row r="9" spans="2:8" ht="14.25">
      <c r="B9" s="482" t="s">
        <v>362</v>
      </c>
      <c r="C9" s="483">
        <f>C5*C6</f>
        <v>30.25</v>
      </c>
      <c r="D9" s="484"/>
      <c r="E9" s="479"/>
      <c r="F9" s="480"/>
      <c r="G9" s="438"/>
      <c r="H9" s="438"/>
    </row>
    <row r="10" spans="2:8" ht="15" thickBot="1">
      <c r="B10" s="482" t="s">
        <v>607</v>
      </c>
      <c r="C10" s="485">
        <f>(C7*C8*C9)*C4</f>
        <v>5028.8809999999994</v>
      </c>
      <c r="D10" s="484"/>
      <c r="E10" s="479"/>
      <c r="F10" s="480"/>
      <c r="G10" s="438"/>
      <c r="H10" s="438"/>
    </row>
    <row r="11" spans="2:8" ht="16.5" thickBot="1">
      <c r="B11" s="486" t="s">
        <v>608</v>
      </c>
      <c r="C11" s="487">
        <f>((C7*C8*C9)*C4)/1000</f>
        <v>5.0288809999999993</v>
      </c>
      <c r="D11" s="2794" t="s">
        <v>609</v>
      </c>
      <c r="E11" s="2795"/>
      <c r="F11" s="439"/>
      <c r="G11" s="438"/>
      <c r="H11" s="438"/>
    </row>
    <row r="12" spans="2:8" ht="13.5" thickBot="1">
      <c r="B12" s="488"/>
      <c r="C12" s="448"/>
      <c r="D12" s="448"/>
      <c r="E12" s="448"/>
      <c r="F12" s="450"/>
    </row>
    <row r="14" spans="2:8" ht="13.5" thickBot="1"/>
    <row r="15" spans="2:8" ht="18" customHeight="1">
      <c r="B15" s="2796" t="s">
        <v>610</v>
      </c>
      <c r="C15" s="2797"/>
      <c r="D15" s="2797"/>
      <c r="E15" s="2797"/>
      <c r="F15" s="2798"/>
    </row>
    <row r="16" spans="2:8" ht="18.75">
      <c r="B16" s="476" t="s">
        <v>598</v>
      </c>
      <c r="C16" s="477">
        <v>2.78</v>
      </c>
      <c r="D16" s="478" t="s">
        <v>599</v>
      </c>
      <c r="E16" s="479" t="s">
        <v>600</v>
      </c>
      <c r="F16" s="480" t="s">
        <v>601</v>
      </c>
    </row>
    <row r="17" spans="2:8" ht="14.25">
      <c r="B17" s="476" t="s">
        <v>285</v>
      </c>
      <c r="C17" s="477">
        <v>5</v>
      </c>
      <c r="D17" s="478" t="s">
        <v>357</v>
      </c>
      <c r="E17" s="479"/>
      <c r="F17" s="480"/>
    </row>
    <row r="18" spans="2:8" ht="14.25">
      <c r="B18" s="481"/>
      <c r="C18" s="477">
        <v>10</v>
      </c>
      <c r="D18" s="478" t="s">
        <v>357</v>
      </c>
      <c r="E18" s="479" t="s">
        <v>600</v>
      </c>
      <c r="F18" s="480" t="s">
        <v>604</v>
      </c>
    </row>
    <row r="19" spans="2:8" ht="14.25">
      <c r="B19" s="481"/>
      <c r="C19" s="477">
        <v>30</v>
      </c>
      <c r="D19" s="478" t="s">
        <v>605</v>
      </c>
      <c r="E19" s="479" t="s">
        <v>600</v>
      </c>
      <c r="F19" s="480" t="s">
        <v>606</v>
      </c>
    </row>
    <row r="20" spans="2:8" ht="14.25">
      <c r="B20" s="482" t="s">
        <v>361</v>
      </c>
      <c r="C20" s="483">
        <f>C17*3.14</f>
        <v>15.700000000000001</v>
      </c>
      <c r="D20" s="484"/>
      <c r="E20" s="479"/>
      <c r="F20" s="480"/>
    </row>
    <row r="21" spans="2:8" ht="14.25">
      <c r="B21" s="482" t="s">
        <v>362</v>
      </c>
      <c r="C21" s="483">
        <f>(C17*C17)*(3.14)/4</f>
        <v>19.625</v>
      </c>
      <c r="D21" s="484"/>
      <c r="E21" s="479"/>
      <c r="F21" s="480"/>
    </row>
    <row r="22" spans="2:8" ht="15" thickBot="1">
      <c r="B22" s="482" t="s">
        <v>607</v>
      </c>
      <c r="C22" s="485">
        <f>(C18*C19*C21)*C16</f>
        <v>16367.249999999998</v>
      </c>
      <c r="D22" s="484"/>
      <c r="E22" s="479"/>
      <c r="F22" s="480"/>
    </row>
    <row r="23" spans="2:8" ht="16.5" thickBot="1">
      <c r="B23" s="486" t="s">
        <v>608</v>
      </c>
      <c r="C23" s="487">
        <f>((C18*C19*C21)*C16)/1000</f>
        <v>16.367249999999999</v>
      </c>
      <c r="D23" s="2794" t="s">
        <v>609</v>
      </c>
      <c r="E23" s="2795"/>
      <c r="F23" s="439"/>
    </row>
    <row r="24" spans="2:8" ht="13.5" thickBot="1">
      <c r="B24" s="488"/>
      <c r="C24" s="448"/>
      <c r="D24" s="448"/>
      <c r="E24" s="448"/>
      <c r="F24" s="450"/>
    </row>
    <row r="26" spans="2:8" ht="13.5" thickBot="1"/>
    <row r="27" spans="2:8" ht="15.75">
      <c r="B27" s="2796" t="s">
        <v>611</v>
      </c>
      <c r="C27" s="2797"/>
      <c r="D27" s="2797"/>
      <c r="E27" s="2797"/>
      <c r="F27" s="2797"/>
      <c r="G27" s="507"/>
      <c r="H27" s="509"/>
    </row>
    <row r="28" spans="2:8" ht="18.75">
      <c r="B28" s="476" t="s">
        <v>598</v>
      </c>
      <c r="C28" s="477">
        <v>2.78</v>
      </c>
      <c r="D28" s="478" t="s">
        <v>599</v>
      </c>
      <c r="E28" s="479" t="s">
        <v>600</v>
      </c>
      <c r="F28" s="437" t="s">
        <v>601</v>
      </c>
      <c r="G28" s="438"/>
      <c r="H28" s="439"/>
    </row>
    <row r="29" spans="2:8" ht="14.25">
      <c r="B29" s="476" t="s">
        <v>612</v>
      </c>
      <c r="C29" s="477">
        <v>1043.5</v>
      </c>
      <c r="D29" s="478" t="s">
        <v>357</v>
      </c>
      <c r="E29" s="479"/>
      <c r="F29" s="437"/>
      <c r="G29" s="438"/>
      <c r="H29" s="439"/>
    </row>
    <row r="30" spans="2:8" ht="14.25">
      <c r="B30" s="476" t="s">
        <v>613</v>
      </c>
      <c r="C30" s="477">
        <v>1.27</v>
      </c>
      <c r="D30" s="478" t="s">
        <v>357</v>
      </c>
      <c r="E30" s="479"/>
      <c r="F30" s="437"/>
      <c r="G30" s="438"/>
      <c r="H30" s="439"/>
    </row>
    <row r="31" spans="2:8" ht="14.25">
      <c r="B31" s="481"/>
      <c r="C31" s="477">
        <v>1</v>
      </c>
      <c r="D31" s="478" t="s">
        <v>357</v>
      </c>
      <c r="E31" s="479" t="s">
        <v>600</v>
      </c>
      <c r="F31" s="437" t="s">
        <v>604</v>
      </c>
      <c r="G31" s="438"/>
      <c r="H31" s="439"/>
    </row>
    <row r="32" spans="2:8" ht="14.25">
      <c r="B32" s="481"/>
      <c r="C32" s="477">
        <v>23</v>
      </c>
      <c r="D32" s="478" t="s">
        <v>605</v>
      </c>
      <c r="E32" s="479" t="s">
        <v>600</v>
      </c>
      <c r="F32" s="437" t="s">
        <v>606</v>
      </c>
      <c r="G32" s="438"/>
      <c r="H32" s="439"/>
    </row>
    <row r="33" spans="2:8" ht="15">
      <c r="B33" s="482" t="s">
        <v>362</v>
      </c>
      <c r="C33" s="483">
        <f>C29*C31</f>
        <v>1043.5</v>
      </c>
      <c r="D33" s="484" t="s">
        <v>1269</v>
      </c>
      <c r="E33" s="483">
        <f>C33*C32</f>
        <v>24000.5</v>
      </c>
      <c r="F33" s="484" t="s">
        <v>1268</v>
      </c>
      <c r="G33" s="438"/>
      <c r="H33" s="439"/>
    </row>
    <row r="34" spans="2:8" ht="15" thickBot="1">
      <c r="B34" s="482" t="s">
        <v>607</v>
      </c>
      <c r="C34" s="485">
        <f>(C30*C32*C33)*C28</f>
        <v>84736.165299999993</v>
      </c>
      <c r="D34" s="484"/>
      <c r="E34" s="479"/>
      <c r="F34" s="437"/>
      <c r="G34" s="438"/>
      <c r="H34" s="439"/>
    </row>
    <row r="35" spans="2:8" ht="16.5" thickBot="1">
      <c r="B35" s="486" t="s">
        <v>608</v>
      </c>
      <c r="C35" s="487">
        <f>((C30*C32*C33)*C28)/1000</f>
        <v>84.736165299999996</v>
      </c>
      <c r="D35" s="2794" t="s">
        <v>609</v>
      </c>
      <c r="E35" s="2795"/>
      <c r="F35" s="438"/>
      <c r="G35" s="438"/>
      <c r="H35" s="439"/>
    </row>
    <row r="36" spans="2:8">
      <c r="B36" s="489"/>
      <c r="C36" s="438"/>
      <c r="D36" s="438"/>
      <c r="E36" s="438"/>
      <c r="F36" s="438"/>
      <c r="G36" s="438"/>
      <c r="H36" s="439"/>
    </row>
    <row r="37" spans="2:8" ht="13.5" thickBot="1">
      <c r="B37" s="488"/>
      <c r="C37" s="448"/>
      <c r="D37" s="448"/>
      <c r="E37" s="448"/>
      <c r="F37" s="448"/>
      <c r="G37" s="448"/>
      <c r="H37" s="450"/>
    </row>
  </sheetData>
  <mergeCells count="7">
    <mergeCell ref="C1:E1"/>
    <mergeCell ref="D35:E35"/>
    <mergeCell ref="B3:F3"/>
    <mergeCell ref="D11:E11"/>
    <mergeCell ref="B15:F15"/>
    <mergeCell ref="D23:E23"/>
    <mergeCell ref="B27:F27"/>
  </mergeCells>
  <hyperlinks>
    <hyperlink ref="C1" location="INDEX!A1" display="INDEX!A1"/>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333399"/>
  </sheetPr>
  <dimension ref="B1:N93"/>
  <sheetViews>
    <sheetView zoomScale="67" zoomScaleNormal="67" workbookViewId="0">
      <selection activeCell="G1" sqref="G1:I1"/>
    </sheetView>
  </sheetViews>
  <sheetFormatPr defaultRowHeight="12.75"/>
  <cols>
    <col min="1" max="1" width="2.28515625" style="491" customWidth="1"/>
    <col min="2" max="2" width="64.5703125" style="1974" bestFit="1" customWidth="1"/>
    <col min="3" max="3" width="14" style="491" customWidth="1"/>
    <col min="4" max="4" width="7.7109375" style="491" bestFit="1" customWidth="1"/>
    <col min="5" max="5" width="4.7109375" style="491" bestFit="1" customWidth="1"/>
    <col min="6" max="6" width="14" style="491" customWidth="1"/>
    <col min="7" max="7" width="12.42578125" style="491" bestFit="1" customWidth="1"/>
    <col min="8" max="8" width="9.140625" style="491"/>
    <col min="9" max="9" width="7.5703125" style="491" customWidth="1"/>
    <col min="10" max="10" width="6.85546875" style="491" customWidth="1"/>
    <col min="11" max="11" width="25.85546875" style="491" bestFit="1" customWidth="1"/>
    <col min="12" max="12" width="3" style="491" customWidth="1"/>
    <col min="13" max="257" width="9.140625" style="491"/>
    <col min="258" max="258" width="25" style="491" bestFit="1" customWidth="1"/>
    <col min="259" max="259" width="9.140625" style="491"/>
    <col min="260" max="260" width="4.7109375" style="491" customWidth="1"/>
    <col min="261" max="261" width="2.7109375" style="491" customWidth="1"/>
    <col min="262" max="262" width="11.28515625" style="491" customWidth="1"/>
    <col min="263" max="263" width="10.7109375" style="491" customWidth="1"/>
    <col min="264" max="265" width="9.140625" style="491"/>
    <col min="266" max="266" width="14" style="491" customWidth="1"/>
    <col min="267" max="267" width="4.85546875" style="491" customWidth="1"/>
    <col min="268" max="268" width="3" style="491" customWidth="1"/>
    <col min="269" max="513" width="9.140625" style="491"/>
    <col min="514" max="514" width="25" style="491" bestFit="1" customWidth="1"/>
    <col min="515" max="515" width="9.140625" style="491"/>
    <col min="516" max="516" width="4.7109375" style="491" customWidth="1"/>
    <col min="517" max="517" width="2.7109375" style="491" customWidth="1"/>
    <col min="518" max="518" width="11.28515625" style="491" customWidth="1"/>
    <col min="519" max="519" width="10.7109375" style="491" customWidth="1"/>
    <col min="520" max="521" width="9.140625" style="491"/>
    <col min="522" max="522" width="14" style="491" customWidth="1"/>
    <col min="523" max="523" width="4.85546875" style="491" customWidth="1"/>
    <col min="524" max="524" width="3" style="491" customWidth="1"/>
    <col min="525" max="769" width="9.140625" style="491"/>
    <col min="770" max="770" width="25" style="491" bestFit="1" customWidth="1"/>
    <col min="771" max="771" width="9.140625" style="491"/>
    <col min="772" max="772" width="4.7109375" style="491" customWidth="1"/>
    <col min="773" max="773" width="2.7109375" style="491" customWidth="1"/>
    <col min="774" max="774" width="11.28515625" style="491" customWidth="1"/>
    <col min="775" max="775" width="10.7109375" style="491" customWidth="1"/>
    <col min="776" max="777" width="9.140625" style="491"/>
    <col min="778" max="778" width="14" style="491" customWidth="1"/>
    <col min="779" max="779" width="4.85546875" style="491" customWidth="1"/>
    <col min="780" max="780" width="3" style="491" customWidth="1"/>
    <col min="781" max="1025" width="9.140625" style="491"/>
    <col min="1026" max="1026" width="25" style="491" bestFit="1" customWidth="1"/>
    <col min="1027" max="1027" width="9.140625" style="491"/>
    <col min="1028" max="1028" width="4.7109375" style="491" customWidth="1"/>
    <col min="1029" max="1029" width="2.7109375" style="491" customWidth="1"/>
    <col min="1030" max="1030" width="11.28515625" style="491" customWidth="1"/>
    <col min="1031" max="1031" width="10.7109375" style="491" customWidth="1"/>
    <col min="1032" max="1033" width="9.140625" style="491"/>
    <col min="1034" max="1034" width="14" style="491" customWidth="1"/>
    <col min="1035" max="1035" width="4.85546875" style="491" customWidth="1"/>
    <col min="1036" max="1036" width="3" style="491" customWidth="1"/>
    <col min="1037" max="1281" width="9.140625" style="491"/>
    <col min="1282" max="1282" width="25" style="491" bestFit="1" customWidth="1"/>
    <col min="1283" max="1283" width="9.140625" style="491"/>
    <col min="1284" max="1284" width="4.7109375" style="491" customWidth="1"/>
    <col min="1285" max="1285" width="2.7109375" style="491" customWidth="1"/>
    <col min="1286" max="1286" width="11.28515625" style="491" customWidth="1"/>
    <col min="1287" max="1287" width="10.7109375" style="491" customWidth="1"/>
    <col min="1288" max="1289" width="9.140625" style="491"/>
    <col min="1290" max="1290" width="14" style="491" customWidth="1"/>
    <col min="1291" max="1291" width="4.85546875" style="491" customWidth="1"/>
    <col min="1292" max="1292" width="3" style="491" customWidth="1"/>
    <col min="1293" max="1537" width="9.140625" style="491"/>
    <col min="1538" max="1538" width="25" style="491" bestFit="1" customWidth="1"/>
    <col min="1539" max="1539" width="9.140625" style="491"/>
    <col min="1540" max="1540" width="4.7109375" style="491" customWidth="1"/>
    <col min="1541" max="1541" width="2.7109375" style="491" customWidth="1"/>
    <col min="1542" max="1542" width="11.28515625" style="491" customWidth="1"/>
    <col min="1543" max="1543" width="10.7109375" style="491" customWidth="1"/>
    <col min="1544" max="1545" width="9.140625" style="491"/>
    <col min="1546" max="1546" width="14" style="491" customWidth="1"/>
    <col min="1547" max="1547" width="4.85546875" style="491" customWidth="1"/>
    <col min="1548" max="1548" width="3" style="491" customWidth="1"/>
    <col min="1549" max="1793" width="9.140625" style="491"/>
    <col min="1794" max="1794" width="25" style="491" bestFit="1" customWidth="1"/>
    <col min="1795" max="1795" width="9.140625" style="491"/>
    <col min="1796" max="1796" width="4.7109375" style="491" customWidth="1"/>
    <col min="1797" max="1797" width="2.7109375" style="491" customWidth="1"/>
    <col min="1798" max="1798" width="11.28515625" style="491" customWidth="1"/>
    <col min="1799" max="1799" width="10.7109375" style="491" customWidth="1"/>
    <col min="1800" max="1801" width="9.140625" style="491"/>
    <col min="1802" max="1802" width="14" style="491" customWidth="1"/>
    <col min="1803" max="1803" width="4.85546875" style="491" customWidth="1"/>
    <col min="1804" max="1804" width="3" style="491" customWidth="1"/>
    <col min="1805" max="2049" width="9.140625" style="491"/>
    <col min="2050" max="2050" width="25" style="491" bestFit="1" customWidth="1"/>
    <col min="2051" max="2051" width="9.140625" style="491"/>
    <col min="2052" max="2052" width="4.7109375" style="491" customWidth="1"/>
    <col min="2053" max="2053" width="2.7109375" style="491" customWidth="1"/>
    <col min="2054" max="2054" width="11.28515625" style="491" customWidth="1"/>
    <col min="2055" max="2055" width="10.7109375" style="491" customWidth="1"/>
    <col min="2056" max="2057" width="9.140625" style="491"/>
    <col min="2058" max="2058" width="14" style="491" customWidth="1"/>
    <col min="2059" max="2059" width="4.85546875" style="491" customWidth="1"/>
    <col min="2060" max="2060" width="3" style="491" customWidth="1"/>
    <col min="2061" max="2305" width="9.140625" style="491"/>
    <col min="2306" max="2306" width="25" style="491" bestFit="1" customWidth="1"/>
    <col min="2307" max="2307" width="9.140625" style="491"/>
    <col min="2308" max="2308" width="4.7109375" style="491" customWidth="1"/>
    <col min="2309" max="2309" width="2.7109375" style="491" customWidth="1"/>
    <col min="2310" max="2310" width="11.28515625" style="491" customWidth="1"/>
    <col min="2311" max="2311" width="10.7109375" style="491" customWidth="1"/>
    <col min="2312" max="2313" width="9.140625" style="491"/>
    <col min="2314" max="2314" width="14" style="491" customWidth="1"/>
    <col min="2315" max="2315" width="4.85546875" style="491" customWidth="1"/>
    <col min="2316" max="2316" width="3" style="491" customWidth="1"/>
    <col min="2317" max="2561" width="9.140625" style="491"/>
    <col min="2562" max="2562" width="25" style="491" bestFit="1" customWidth="1"/>
    <col min="2563" max="2563" width="9.140625" style="491"/>
    <col min="2564" max="2564" width="4.7109375" style="491" customWidth="1"/>
    <col min="2565" max="2565" width="2.7109375" style="491" customWidth="1"/>
    <col min="2566" max="2566" width="11.28515625" style="491" customWidth="1"/>
    <col min="2567" max="2567" width="10.7109375" style="491" customWidth="1"/>
    <col min="2568" max="2569" width="9.140625" style="491"/>
    <col min="2570" max="2570" width="14" style="491" customWidth="1"/>
    <col min="2571" max="2571" width="4.85546875" style="491" customWidth="1"/>
    <col min="2572" max="2572" width="3" style="491" customWidth="1"/>
    <col min="2573" max="2817" width="9.140625" style="491"/>
    <col min="2818" max="2818" width="25" style="491" bestFit="1" customWidth="1"/>
    <col min="2819" max="2819" width="9.140625" style="491"/>
    <col min="2820" max="2820" width="4.7109375" style="491" customWidth="1"/>
    <col min="2821" max="2821" width="2.7109375" style="491" customWidth="1"/>
    <col min="2822" max="2822" width="11.28515625" style="491" customWidth="1"/>
    <col min="2823" max="2823" width="10.7109375" style="491" customWidth="1"/>
    <col min="2824" max="2825" width="9.140625" style="491"/>
    <col min="2826" max="2826" width="14" style="491" customWidth="1"/>
    <col min="2827" max="2827" width="4.85546875" style="491" customWidth="1"/>
    <col min="2828" max="2828" width="3" style="491" customWidth="1"/>
    <col min="2829" max="3073" width="9.140625" style="491"/>
    <col min="3074" max="3074" width="25" style="491" bestFit="1" customWidth="1"/>
    <col min="3075" max="3075" width="9.140625" style="491"/>
    <col min="3076" max="3076" width="4.7109375" style="491" customWidth="1"/>
    <col min="3077" max="3077" width="2.7109375" style="491" customWidth="1"/>
    <col min="3078" max="3078" width="11.28515625" style="491" customWidth="1"/>
    <col min="3079" max="3079" width="10.7109375" style="491" customWidth="1"/>
    <col min="3080" max="3081" width="9.140625" style="491"/>
    <col min="3082" max="3082" width="14" style="491" customWidth="1"/>
    <col min="3083" max="3083" width="4.85546875" style="491" customWidth="1"/>
    <col min="3084" max="3084" width="3" style="491" customWidth="1"/>
    <col min="3085" max="3329" width="9.140625" style="491"/>
    <col min="3330" max="3330" width="25" style="491" bestFit="1" customWidth="1"/>
    <col min="3331" max="3331" width="9.140625" style="491"/>
    <col min="3332" max="3332" width="4.7109375" style="491" customWidth="1"/>
    <col min="3333" max="3333" width="2.7109375" style="491" customWidth="1"/>
    <col min="3334" max="3334" width="11.28515625" style="491" customWidth="1"/>
    <col min="3335" max="3335" width="10.7109375" style="491" customWidth="1"/>
    <col min="3336" max="3337" width="9.140625" style="491"/>
    <col min="3338" max="3338" width="14" style="491" customWidth="1"/>
    <col min="3339" max="3339" width="4.85546875" style="491" customWidth="1"/>
    <col min="3340" max="3340" width="3" style="491" customWidth="1"/>
    <col min="3341" max="3585" width="9.140625" style="491"/>
    <col min="3586" max="3586" width="25" style="491" bestFit="1" customWidth="1"/>
    <col min="3587" max="3587" width="9.140625" style="491"/>
    <col min="3588" max="3588" width="4.7109375" style="491" customWidth="1"/>
    <col min="3589" max="3589" width="2.7109375" style="491" customWidth="1"/>
    <col min="3590" max="3590" width="11.28515625" style="491" customWidth="1"/>
    <col min="3591" max="3591" width="10.7109375" style="491" customWidth="1"/>
    <col min="3592" max="3593" width="9.140625" style="491"/>
    <col min="3594" max="3594" width="14" style="491" customWidth="1"/>
    <col min="3595" max="3595" width="4.85546875" style="491" customWidth="1"/>
    <col min="3596" max="3596" width="3" style="491" customWidth="1"/>
    <col min="3597" max="3841" width="9.140625" style="491"/>
    <col min="3842" max="3842" width="25" style="491" bestFit="1" customWidth="1"/>
    <col min="3843" max="3843" width="9.140625" style="491"/>
    <col min="3844" max="3844" width="4.7109375" style="491" customWidth="1"/>
    <col min="3845" max="3845" width="2.7109375" style="491" customWidth="1"/>
    <col min="3846" max="3846" width="11.28515625" style="491" customWidth="1"/>
    <col min="3847" max="3847" width="10.7109375" style="491" customWidth="1"/>
    <col min="3848" max="3849" width="9.140625" style="491"/>
    <col min="3850" max="3850" width="14" style="491" customWidth="1"/>
    <col min="3851" max="3851" width="4.85546875" style="491" customWidth="1"/>
    <col min="3852" max="3852" width="3" style="491" customWidth="1"/>
    <col min="3853" max="4097" width="9.140625" style="491"/>
    <col min="4098" max="4098" width="25" style="491" bestFit="1" customWidth="1"/>
    <col min="4099" max="4099" width="9.140625" style="491"/>
    <col min="4100" max="4100" width="4.7109375" style="491" customWidth="1"/>
    <col min="4101" max="4101" width="2.7109375" style="491" customWidth="1"/>
    <col min="4102" max="4102" width="11.28515625" style="491" customWidth="1"/>
    <col min="4103" max="4103" width="10.7109375" style="491" customWidth="1"/>
    <col min="4104" max="4105" width="9.140625" style="491"/>
    <col min="4106" max="4106" width="14" style="491" customWidth="1"/>
    <col min="4107" max="4107" width="4.85546875" style="491" customWidth="1"/>
    <col min="4108" max="4108" width="3" style="491" customWidth="1"/>
    <col min="4109" max="4353" width="9.140625" style="491"/>
    <col min="4354" max="4354" width="25" style="491" bestFit="1" customWidth="1"/>
    <col min="4355" max="4355" width="9.140625" style="491"/>
    <col min="4356" max="4356" width="4.7109375" style="491" customWidth="1"/>
    <col min="4357" max="4357" width="2.7109375" style="491" customWidth="1"/>
    <col min="4358" max="4358" width="11.28515625" style="491" customWidth="1"/>
    <col min="4359" max="4359" width="10.7109375" style="491" customWidth="1"/>
    <col min="4360" max="4361" width="9.140625" style="491"/>
    <col min="4362" max="4362" width="14" style="491" customWidth="1"/>
    <col min="4363" max="4363" width="4.85546875" style="491" customWidth="1"/>
    <col min="4364" max="4364" width="3" style="491" customWidth="1"/>
    <col min="4365" max="4609" width="9.140625" style="491"/>
    <col min="4610" max="4610" width="25" style="491" bestFit="1" customWidth="1"/>
    <col min="4611" max="4611" width="9.140625" style="491"/>
    <col min="4612" max="4612" width="4.7109375" style="491" customWidth="1"/>
    <col min="4613" max="4613" width="2.7109375" style="491" customWidth="1"/>
    <col min="4614" max="4614" width="11.28515625" style="491" customWidth="1"/>
    <col min="4615" max="4615" width="10.7109375" style="491" customWidth="1"/>
    <col min="4616" max="4617" width="9.140625" style="491"/>
    <col min="4618" max="4618" width="14" style="491" customWidth="1"/>
    <col min="4619" max="4619" width="4.85546875" style="491" customWidth="1"/>
    <col min="4620" max="4620" width="3" style="491" customWidth="1"/>
    <col min="4621" max="4865" width="9.140625" style="491"/>
    <col min="4866" max="4866" width="25" style="491" bestFit="1" customWidth="1"/>
    <col min="4867" max="4867" width="9.140625" style="491"/>
    <col min="4868" max="4868" width="4.7109375" style="491" customWidth="1"/>
    <col min="4869" max="4869" width="2.7109375" style="491" customWidth="1"/>
    <col min="4870" max="4870" width="11.28515625" style="491" customWidth="1"/>
    <col min="4871" max="4871" width="10.7109375" style="491" customWidth="1"/>
    <col min="4872" max="4873" width="9.140625" style="491"/>
    <col min="4874" max="4874" width="14" style="491" customWidth="1"/>
    <col min="4875" max="4875" width="4.85546875" style="491" customWidth="1"/>
    <col min="4876" max="4876" width="3" style="491" customWidth="1"/>
    <col min="4877" max="5121" width="9.140625" style="491"/>
    <col min="5122" max="5122" width="25" style="491" bestFit="1" customWidth="1"/>
    <col min="5123" max="5123" width="9.140625" style="491"/>
    <col min="5124" max="5124" width="4.7109375" style="491" customWidth="1"/>
    <col min="5125" max="5125" width="2.7109375" style="491" customWidth="1"/>
    <col min="5126" max="5126" width="11.28515625" style="491" customWidth="1"/>
    <col min="5127" max="5127" width="10.7109375" style="491" customWidth="1"/>
    <col min="5128" max="5129" width="9.140625" style="491"/>
    <col min="5130" max="5130" width="14" style="491" customWidth="1"/>
    <col min="5131" max="5131" width="4.85546875" style="491" customWidth="1"/>
    <col min="5132" max="5132" width="3" style="491" customWidth="1"/>
    <col min="5133" max="5377" width="9.140625" style="491"/>
    <col min="5378" max="5378" width="25" style="491" bestFit="1" customWidth="1"/>
    <col min="5379" max="5379" width="9.140625" style="491"/>
    <col min="5380" max="5380" width="4.7109375" style="491" customWidth="1"/>
    <col min="5381" max="5381" width="2.7109375" style="491" customWidth="1"/>
    <col min="5382" max="5382" width="11.28515625" style="491" customWidth="1"/>
    <col min="5383" max="5383" width="10.7109375" style="491" customWidth="1"/>
    <col min="5384" max="5385" width="9.140625" style="491"/>
    <col min="5386" max="5386" width="14" style="491" customWidth="1"/>
    <col min="5387" max="5387" width="4.85546875" style="491" customWidth="1"/>
    <col min="5388" max="5388" width="3" style="491" customWidth="1"/>
    <col min="5389" max="5633" width="9.140625" style="491"/>
    <col min="5634" max="5634" width="25" style="491" bestFit="1" customWidth="1"/>
    <col min="5635" max="5635" width="9.140625" style="491"/>
    <col min="5636" max="5636" width="4.7109375" style="491" customWidth="1"/>
    <col min="5637" max="5637" width="2.7109375" style="491" customWidth="1"/>
    <col min="5638" max="5638" width="11.28515625" style="491" customWidth="1"/>
    <col min="5639" max="5639" width="10.7109375" style="491" customWidth="1"/>
    <col min="5640" max="5641" width="9.140625" style="491"/>
    <col min="5642" max="5642" width="14" style="491" customWidth="1"/>
    <col min="5643" max="5643" width="4.85546875" style="491" customWidth="1"/>
    <col min="5644" max="5644" width="3" style="491" customWidth="1"/>
    <col min="5645" max="5889" width="9.140625" style="491"/>
    <col min="5890" max="5890" width="25" style="491" bestFit="1" customWidth="1"/>
    <col min="5891" max="5891" width="9.140625" style="491"/>
    <col min="5892" max="5892" width="4.7109375" style="491" customWidth="1"/>
    <col min="5893" max="5893" width="2.7109375" style="491" customWidth="1"/>
    <col min="5894" max="5894" width="11.28515625" style="491" customWidth="1"/>
    <col min="5895" max="5895" width="10.7109375" style="491" customWidth="1"/>
    <col min="5896" max="5897" width="9.140625" style="491"/>
    <col min="5898" max="5898" width="14" style="491" customWidth="1"/>
    <col min="5899" max="5899" width="4.85546875" style="491" customWidth="1"/>
    <col min="5900" max="5900" width="3" style="491" customWidth="1"/>
    <col min="5901" max="6145" width="9.140625" style="491"/>
    <col min="6146" max="6146" width="25" style="491" bestFit="1" customWidth="1"/>
    <col min="6147" max="6147" width="9.140625" style="491"/>
    <col min="6148" max="6148" width="4.7109375" style="491" customWidth="1"/>
    <col min="6149" max="6149" width="2.7109375" style="491" customWidth="1"/>
    <col min="6150" max="6150" width="11.28515625" style="491" customWidth="1"/>
    <col min="6151" max="6151" width="10.7109375" style="491" customWidth="1"/>
    <col min="6152" max="6153" width="9.140625" style="491"/>
    <col min="6154" max="6154" width="14" style="491" customWidth="1"/>
    <col min="6155" max="6155" width="4.85546875" style="491" customWidth="1"/>
    <col min="6156" max="6156" width="3" style="491" customWidth="1"/>
    <col min="6157" max="6401" width="9.140625" style="491"/>
    <col min="6402" max="6402" width="25" style="491" bestFit="1" customWidth="1"/>
    <col min="6403" max="6403" width="9.140625" style="491"/>
    <col min="6404" max="6404" width="4.7109375" style="491" customWidth="1"/>
    <col min="6405" max="6405" width="2.7109375" style="491" customWidth="1"/>
    <col min="6406" max="6406" width="11.28515625" style="491" customWidth="1"/>
    <col min="6407" max="6407" width="10.7109375" style="491" customWidth="1"/>
    <col min="6408" max="6409" width="9.140625" style="491"/>
    <col min="6410" max="6410" width="14" style="491" customWidth="1"/>
    <col min="6411" max="6411" width="4.85546875" style="491" customWidth="1"/>
    <col min="6412" max="6412" width="3" style="491" customWidth="1"/>
    <col min="6413" max="6657" width="9.140625" style="491"/>
    <col min="6658" max="6658" width="25" style="491" bestFit="1" customWidth="1"/>
    <col min="6659" max="6659" width="9.140625" style="491"/>
    <col min="6660" max="6660" width="4.7109375" style="491" customWidth="1"/>
    <col min="6661" max="6661" width="2.7109375" style="491" customWidth="1"/>
    <col min="6662" max="6662" width="11.28515625" style="491" customWidth="1"/>
    <col min="6663" max="6663" width="10.7109375" style="491" customWidth="1"/>
    <col min="6664" max="6665" width="9.140625" style="491"/>
    <col min="6666" max="6666" width="14" style="491" customWidth="1"/>
    <col min="6667" max="6667" width="4.85546875" style="491" customWidth="1"/>
    <col min="6668" max="6668" width="3" style="491" customWidth="1"/>
    <col min="6669" max="6913" width="9.140625" style="491"/>
    <col min="6914" max="6914" width="25" style="491" bestFit="1" customWidth="1"/>
    <col min="6915" max="6915" width="9.140625" style="491"/>
    <col min="6916" max="6916" width="4.7109375" style="491" customWidth="1"/>
    <col min="6917" max="6917" width="2.7109375" style="491" customWidth="1"/>
    <col min="6918" max="6918" width="11.28515625" style="491" customWidth="1"/>
    <col min="6919" max="6919" width="10.7109375" style="491" customWidth="1"/>
    <col min="6920" max="6921" width="9.140625" style="491"/>
    <col min="6922" max="6922" width="14" style="491" customWidth="1"/>
    <col min="6923" max="6923" width="4.85546875" style="491" customWidth="1"/>
    <col min="6924" max="6924" width="3" style="491" customWidth="1"/>
    <col min="6925" max="7169" width="9.140625" style="491"/>
    <col min="7170" max="7170" width="25" style="491" bestFit="1" customWidth="1"/>
    <col min="7171" max="7171" width="9.140625" style="491"/>
    <col min="7172" max="7172" width="4.7109375" style="491" customWidth="1"/>
    <col min="7173" max="7173" width="2.7109375" style="491" customWidth="1"/>
    <col min="7174" max="7174" width="11.28515625" style="491" customWidth="1"/>
    <col min="7175" max="7175" width="10.7109375" style="491" customWidth="1"/>
    <col min="7176" max="7177" width="9.140625" style="491"/>
    <col min="7178" max="7178" width="14" style="491" customWidth="1"/>
    <col min="7179" max="7179" width="4.85546875" style="491" customWidth="1"/>
    <col min="7180" max="7180" width="3" style="491" customWidth="1"/>
    <col min="7181" max="7425" width="9.140625" style="491"/>
    <col min="7426" max="7426" width="25" style="491" bestFit="1" customWidth="1"/>
    <col min="7427" max="7427" width="9.140625" style="491"/>
    <col min="7428" max="7428" width="4.7109375" style="491" customWidth="1"/>
    <col min="7429" max="7429" width="2.7109375" style="491" customWidth="1"/>
    <col min="7430" max="7430" width="11.28515625" style="491" customWidth="1"/>
    <col min="7431" max="7431" width="10.7109375" style="491" customWidth="1"/>
    <col min="7432" max="7433" width="9.140625" style="491"/>
    <col min="7434" max="7434" width="14" style="491" customWidth="1"/>
    <col min="7435" max="7435" width="4.85546875" style="491" customWidth="1"/>
    <col min="7436" max="7436" width="3" style="491" customWidth="1"/>
    <col min="7437" max="7681" width="9.140625" style="491"/>
    <col min="7682" max="7682" width="25" style="491" bestFit="1" customWidth="1"/>
    <col min="7683" max="7683" width="9.140625" style="491"/>
    <col min="7684" max="7684" width="4.7109375" style="491" customWidth="1"/>
    <col min="7685" max="7685" width="2.7109375" style="491" customWidth="1"/>
    <col min="7686" max="7686" width="11.28515625" style="491" customWidth="1"/>
    <col min="7687" max="7687" width="10.7109375" style="491" customWidth="1"/>
    <col min="7688" max="7689" width="9.140625" style="491"/>
    <col min="7690" max="7690" width="14" style="491" customWidth="1"/>
    <col min="7691" max="7691" width="4.85546875" style="491" customWidth="1"/>
    <col min="7692" max="7692" width="3" style="491" customWidth="1"/>
    <col min="7693" max="7937" width="9.140625" style="491"/>
    <col min="7938" max="7938" width="25" style="491" bestFit="1" customWidth="1"/>
    <col min="7939" max="7939" width="9.140625" style="491"/>
    <col min="7940" max="7940" width="4.7109375" style="491" customWidth="1"/>
    <col min="7941" max="7941" width="2.7109375" style="491" customWidth="1"/>
    <col min="7942" max="7942" width="11.28515625" style="491" customWidth="1"/>
    <col min="7943" max="7943" width="10.7109375" style="491" customWidth="1"/>
    <col min="7944" max="7945" width="9.140625" style="491"/>
    <col min="7946" max="7946" width="14" style="491" customWidth="1"/>
    <col min="7947" max="7947" width="4.85546875" style="491" customWidth="1"/>
    <col min="7948" max="7948" width="3" style="491" customWidth="1"/>
    <col min="7949" max="8193" width="9.140625" style="491"/>
    <col min="8194" max="8194" width="25" style="491" bestFit="1" customWidth="1"/>
    <col min="8195" max="8195" width="9.140625" style="491"/>
    <col min="8196" max="8196" width="4.7109375" style="491" customWidth="1"/>
    <col min="8197" max="8197" width="2.7109375" style="491" customWidth="1"/>
    <col min="8198" max="8198" width="11.28515625" style="491" customWidth="1"/>
    <col min="8199" max="8199" width="10.7109375" style="491" customWidth="1"/>
    <col min="8200" max="8201" width="9.140625" style="491"/>
    <col min="8202" max="8202" width="14" style="491" customWidth="1"/>
    <col min="8203" max="8203" width="4.85546875" style="491" customWidth="1"/>
    <col min="8204" max="8204" width="3" style="491" customWidth="1"/>
    <col min="8205" max="8449" width="9.140625" style="491"/>
    <col min="8450" max="8450" width="25" style="491" bestFit="1" customWidth="1"/>
    <col min="8451" max="8451" width="9.140625" style="491"/>
    <col min="8452" max="8452" width="4.7109375" style="491" customWidth="1"/>
    <col min="8453" max="8453" width="2.7109375" style="491" customWidth="1"/>
    <col min="8454" max="8454" width="11.28515625" style="491" customWidth="1"/>
    <col min="8455" max="8455" width="10.7109375" style="491" customWidth="1"/>
    <col min="8456" max="8457" width="9.140625" style="491"/>
    <col min="8458" max="8458" width="14" style="491" customWidth="1"/>
    <col min="8459" max="8459" width="4.85546875" style="491" customWidth="1"/>
    <col min="8460" max="8460" width="3" style="491" customWidth="1"/>
    <col min="8461" max="8705" width="9.140625" style="491"/>
    <col min="8706" max="8706" width="25" style="491" bestFit="1" customWidth="1"/>
    <col min="8707" max="8707" width="9.140625" style="491"/>
    <col min="8708" max="8708" width="4.7109375" style="491" customWidth="1"/>
    <col min="8709" max="8709" width="2.7109375" style="491" customWidth="1"/>
    <col min="8710" max="8710" width="11.28515625" style="491" customWidth="1"/>
    <col min="8711" max="8711" width="10.7109375" style="491" customWidth="1"/>
    <col min="8712" max="8713" width="9.140625" style="491"/>
    <col min="8714" max="8714" width="14" style="491" customWidth="1"/>
    <col min="8715" max="8715" width="4.85546875" style="491" customWidth="1"/>
    <col min="8716" max="8716" width="3" style="491" customWidth="1"/>
    <col min="8717" max="8961" width="9.140625" style="491"/>
    <col min="8962" max="8962" width="25" style="491" bestFit="1" customWidth="1"/>
    <col min="8963" max="8963" width="9.140625" style="491"/>
    <col min="8964" max="8964" width="4.7109375" style="491" customWidth="1"/>
    <col min="8965" max="8965" width="2.7109375" style="491" customWidth="1"/>
    <col min="8966" max="8966" width="11.28515625" style="491" customWidth="1"/>
    <col min="8967" max="8967" width="10.7109375" style="491" customWidth="1"/>
    <col min="8968" max="8969" width="9.140625" style="491"/>
    <col min="8970" max="8970" width="14" style="491" customWidth="1"/>
    <col min="8971" max="8971" width="4.85546875" style="491" customWidth="1"/>
    <col min="8972" max="8972" width="3" style="491" customWidth="1"/>
    <col min="8973" max="9217" width="9.140625" style="491"/>
    <col min="9218" max="9218" width="25" style="491" bestFit="1" customWidth="1"/>
    <col min="9219" max="9219" width="9.140625" style="491"/>
    <col min="9220" max="9220" width="4.7109375" style="491" customWidth="1"/>
    <col min="9221" max="9221" width="2.7109375" style="491" customWidth="1"/>
    <col min="9222" max="9222" width="11.28515625" style="491" customWidth="1"/>
    <col min="9223" max="9223" width="10.7109375" style="491" customWidth="1"/>
    <col min="9224" max="9225" width="9.140625" style="491"/>
    <col min="9226" max="9226" width="14" style="491" customWidth="1"/>
    <col min="9227" max="9227" width="4.85546875" style="491" customWidth="1"/>
    <col min="9228" max="9228" width="3" style="491" customWidth="1"/>
    <col min="9229" max="9473" width="9.140625" style="491"/>
    <col min="9474" max="9474" width="25" style="491" bestFit="1" customWidth="1"/>
    <col min="9475" max="9475" width="9.140625" style="491"/>
    <col min="9476" max="9476" width="4.7109375" style="491" customWidth="1"/>
    <col min="9477" max="9477" width="2.7109375" style="491" customWidth="1"/>
    <col min="9478" max="9478" width="11.28515625" style="491" customWidth="1"/>
    <col min="9479" max="9479" width="10.7109375" style="491" customWidth="1"/>
    <col min="9480" max="9481" width="9.140625" style="491"/>
    <col min="9482" max="9482" width="14" style="491" customWidth="1"/>
    <col min="9483" max="9483" width="4.85546875" style="491" customWidth="1"/>
    <col min="9484" max="9484" width="3" style="491" customWidth="1"/>
    <col min="9485" max="9729" width="9.140625" style="491"/>
    <col min="9730" max="9730" width="25" style="491" bestFit="1" customWidth="1"/>
    <col min="9731" max="9731" width="9.140625" style="491"/>
    <col min="9732" max="9732" width="4.7109375" style="491" customWidth="1"/>
    <col min="9733" max="9733" width="2.7109375" style="491" customWidth="1"/>
    <col min="9734" max="9734" width="11.28515625" style="491" customWidth="1"/>
    <col min="9735" max="9735" width="10.7109375" style="491" customWidth="1"/>
    <col min="9736" max="9737" width="9.140625" style="491"/>
    <col min="9738" max="9738" width="14" style="491" customWidth="1"/>
    <col min="9739" max="9739" width="4.85546875" style="491" customWidth="1"/>
    <col min="9740" max="9740" width="3" style="491" customWidth="1"/>
    <col min="9741" max="9985" width="9.140625" style="491"/>
    <col min="9986" max="9986" width="25" style="491" bestFit="1" customWidth="1"/>
    <col min="9987" max="9987" width="9.140625" style="491"/>
    <col min="9988" max="9988" width="4.7109375" style="491" customWidth="1"/>
    <col min="9989" max="9989" width="2.7109375" style="491" customWidth="1"/>
    <col min="9990" max="9990" width="11.28515625" style="491" customWidth="1"/>
    <col min="9991" max="9991" width="10.7109375" style="491" customWidth="1"/>
    <col min="9992" max="9993" width="9.140625" style="491"/>
    <col min="9994" max="9994" width="14" style="491" customWidth="1"/>
    <col min="9995" max="9995" width="4.85546875" style="491" customWidth="1"/>
    <col min="9996" max="9996" width="3" style="491" customWidth="1"/>
    <col min="9997" max="10241" width="9.140625" style="491"/>
    <col min="10242" max="10242" width="25" style="491" bestFit="1" customWidth="1"/>
    <col min="10243" max="10243" width="9.140625" style="491"/>
    <col min="10244" max="10244" width="4.7109375" style="491" customWidth="1"/>
    <col min="10245" max="10245" width="2.7109375" style="491" customWidth="1"/>
    <col min="10246" max="10246" width="11.28515625" style="491" customWidth="1"/>
    <col min="10247" max="10247" width="10.7109375" style="491" customWidth="1"/>
    <col min="10248" max="10249" width="9.140625" style="491"/>
    <col min="10250" max="10250" width="14" style="491" customWidth="1"/>
    <col min="10251" max="10251" width="4.85546875" style="491" customWidth="1"/>
    <col min="10252" max="10252" width="3" style="491" customWidth="1"/>
    <col min="10253" max="10497" width="9.140625" style="491"/>
    <col min="10498" max="10498" width="25" style="491" bestFit="1" customWidth="1"/>
    <col min="10499" max="10499" width="9.140625" style="491"/>
    <col min="10500" max="10500" width="4.7109375" style="491" customWidth="1"/>
    <col min="10501" max="10501" width="2.7109375" style="491" customWidth="1"/>
    <col min="10502" max="10502" width="11.28515625" style="491" customWidth="1"/>
    <col min="10503" max="10503" width="10.7109375" style="491" customWidth="1"/>
    <col min="10504" max="10505" width="9.140625" style="491"/>
    <col min="10506" max="10506" width="14" style="491" customWidth="1"/>
    <col min="10507" max="10507" width="4.85546875" style="491" customWidth="1"/>
    <col min="10508" max="10508" width="3" style="491" customWidth="1"/>
    <col min="10509" max="10753" width="9.140625" style="491"/>
    <col min="10754" max="10754" width="25" style="491" bestFit="1" customWidth="1"/>
    <col min="10755" max="10755" width="9.140625" style="491"/>
    <col min="10756" max="10756" width="4.7109375" style="491" customWidth="1"/>
    <col min="10757" max="10757" width="2.7109375" style="491" customWidth="1"/>
    <col min="10758" max="10758" width="11.28515625" style="491" customWidth="1"/>
    <col min="10759" max="10759" width="10.7109375" style="491" customWidth="1"/>
    <col min="10760" max="10761" width="9.140625" style="491"/>
    <col min="10762" max="10762" width="14" style="491" customWidth="1"/>
    <col min="10763" max="10763" width="4.85546875" style="491" customWidth="1"/>
    <col min="10764" max="10764" width="3" style="491" customWidth="1"/>
    <col min="10765" max="11009" width="9.140625" style="491"/>
    <col min="11010" max="11010" width="25" style="491" bestFit="1" customWidth="1"/>
    <col min="11011" max="11011" width="9.140625" style="491"/>
    <col min="11012" max="11012" width="4.7109375" style="491" customWidth="1"/>
    <col min="11013" max="11013" width="2.7109375" style="491" customWidth="1"/>
    <col min="11014" max="11014" width="11.28515625" style="491" customWidth="1"/>
    <col min="11015" max="11015" width="10.7109375" style="491" customWidth="1"/>
    <col min="11016" max="11017" width="9.140625" style="491"/>
    <col min="11018" max="11018" width="14" style="491" customWidth="1"/>
    <col min="11019" max="11019" width="4.85546875" style="491" customWidth="1"/>
    <col min="11020" max="11020" width="3" style="491" customWidth="1"/>
    <col min="11021" max="11265" width="9.140625" style="491"/>
    <col min="11266" max="11266" width="25" style="491" bestFit="1" customWidth="1"/>
    <col min="11267" max="11267" width="9.140625" style="491"/>
    <col min="11268" max="11268" width="4.7109375" style="491" customWidth="1"/>
    <col min="11269" max="11269" width="2.7109375" style="491" customWidth="1"/>
    <col min="11270" max="11270" width="11.28515625" style="491" customWidth="1"/>
    <col min="11271" max="11271" width="10.7109375" style="491" customWidth="1"/>
    <col min="11272" max="11273" width="9.140625" style="491"/>
    <col min="11274" max="11274" width="14" style="491" customWidth="1"/>
    <col min="11275" max="11275" width="4.85546875" style="491" customWidth="1"/>
    <col min="11276" max="11276" width="3" style="491" customWidth="1"/>
    <col min="11277" max="11521" width="9.140625" style="491"/>
    <col min="11522" max="11522" width="25" style="491" bestFit="1" customWidth="1"/>
    <col min="11523" max="11523" width="9.140625" style="491"/>
    <col min="11524" max="11524" width="4.7109375" style="491" customWidth="1"/>
    <col min="11525" max="11525" width="2.7109375" style="491" customWidth="1"/>
    <col min="11526" max="11526" width="11.28515625" style="491" customWidth="1"/>
    <col min="11527" max="11527" width="10.7109375" style="491" customWidth="1"/>
    <col min="11528" max="11529" width="9.140625" style="491"/>
    <col min="11530" max="11530" width="14" style="491" customWidth="1"/>
    <col min="11531" max="11531" width="4.85546875" style="491" customWidth="1"/>
    <col min="11532" max="11532" width="3" style="491" customWidth="1"/>
    <col min="11533" max="11777" width="9.140625" style="491"/>
    <col min="11778" max="11778" width="25" style="491" bestFit="1" customWidth="1"/>
    <col min="11779" max="11779" width="9.140625" style="491"/>
    <col min="11780" max="11780" width="4.7109375" style="491" customWidth="1"/>
    <col min="11781" max="11781" width="2.7109375" style="491" customWidth="1"/>
    <col min="11782" max="11782" width="11.28515625" style="491" customWidth="1"/>
    <col min="11783" max="11783" width="10.7109375" style="491" customWidth="1"/>
    <col min="11784" max="11785" width="9.140625" style="491"/>
    <col min="11786" max="11786" width="14" style="491" customWidth="1"/>
    <col min="11787" max="11787" width="4.85546875" style="491" customWidth="1"/>
    <col min="11788" max="11788" width="3" style="491" customWidth="1"/>
    <col min="11789" max="12033" width="9.140625" style="491"/>
    <col min="12034" max="12034" width="25" style="491" bestFit="1" customWidth="1"/>
    <col min="12035" max="12035" width="9.140625" style="491"/>
    <col min="12036" max="12036" width="4.7109375" style="491" customWidth="1"/>
    <col min="12037" max="12037" width="2.7109375" style="491" customWidth="1"/>
    <col min="12038" max="12038" width="11.28515625" style="491" customWidth="1"/>
    <col min="12039" max="12039" width="10.7109375" style="491" customWidth="1"/>
    <col min="12040" max="12041" width="9.140625" style="491"/>
    <col min="12042" max="12042" width="14" style="491" customWidth="1"/>
    <col min="12043" max="12043" width="4.85546875" style="491" customWidth="1"/>
    <col min="12044" max="12044" width="3" style="491" customWidth="1"/>
    <col min="12045" max="12289" width="9.140625" style="491"/>
    <col min="12290" max="12290" width="25" style="491" bestFit="1" customWidth="1"/>
    <col min="12291" max="12291" width="9.140625" style="491"/>
    <col min="12292" max="12292" width="4.7109375" style="491" customWidth="1"/>
    <col min="12293" max="12293" width="2.7109375" style="491" customWidth="1"/>
    <col min="12294" max="12294" width="11.28515625" style="491" customWidth="1"/>
    <col min="12295" max="12295" width="10.7109375" style="491" customWidth="1"/>
    <col min="12296" max="12297" width="9.140625" style="491"/>
    <col min="12298" max="12298" width="14" style="491" customWidth="1"/>
    <col min="12299" max="12299" width="4.85546875" style="491" customWidth="1"/>
    <col min="12300" max="12300" width="3" style="491" customWidth="1"/>
    <col min="12301" max="12545" width="9.140625" style="491"/>
    <col min="12546" max="12546" width="25" style="491" bestFit="1" customWidth="1"/>
    <col min="12547" max="12547" width="9.140625" style="491"/>
    <col min="12548" max="12548" width="4.7109375" style="491" customWidth="1"/>
    <col min="12549" max="12549" width="2.7109375" style="491" customWidth="1"/>
    <col min="12550" max="12550" width="11.28515625" style="491" customWidth="1"/>
    <col min="12551" max="12551" width="10.7109375" style="491" customWidth="1"/>
    <col min="12552" max="12553" width="9.140625" style="491"/>
    <col min="12554" max="12554" width="14" style="491" customWidth="1"/>
    <col min="12555" max="12555" width="4.85546875" style="491" customWidth="1"/>
    <col min="12556" max="12556" width="3" style="491" customWidth="1"/>
    <col min="12557" max="12801" width="9.140625" style="491"/>
    <col min="12802" max="12802" width="25" style="491" bestFit="1" customWidth="1"/>
    <col min="12803" max="12803" width="9.140625" style="491"/>
    <col min="12804" max="12804" width="4.7109375" style="491" customWidth="1"/>
    <col min="12805" max="12805" width="2.7109375" style="491" customWidth="1"/>
    <col min="12806" max="12806" width="11.28515625" style="491" customWidth="1"/>
    <col min="12807" max="12807" width="10.7109375" style="491" customWidth="1"/>
    <col min="12808" max="12809" width="9.140625" style="491"/>
    <col min="12810" max="12810" width="14" style="491" customWidth="1"/>
    <col min="12811" max="12811" width="4.85546875" style="491" customWidth="1"/>
    <col min="12812" max="12812" width="3" style="491" customWidth="1"/>
    <col min="12813" max="13057" width="9.140625" style="491"/>
    <col min="13058" max="13058" width="25" style="491" bestFit="1" customWidth="1"/>
    <col min="13059" max="13059" width="9.140625" style="491"/>
    <col min="13060" max="13060" width="4.7109375" style="491" customWidth="1"/>
    <col min="13061" max="13061" width="2.7109375" style="491" customWidth="1"/>
    <col min="13062" max="13062" width="11.28515625" style="491" customWidth="1"/>
    <col min="13063" max="13063" width="10.7109375" style="491" customWidth="1"/>
    <col min="13064" max="13065" width="9.140625" style="491"/>
    <col min="13066" max="13066" width="14" style="491" customWidth="1"/>
    <col min="13067" max="13067" width="4.85546875" style="491" customWidth="1"/>
    <col min="13068" max="13068" width="3" style="491" customWidth="1"/>
    <col min="13069" max="13313" width="9.140625" style="491"/>
    <col min="13314" max="13314" width="25" style="491" bestFit="1" customWidth="1"/>
    <col min="13315" max="13315" width="9.140625" style="491"/>
    <col min="13316" max="13316" width="4.7109375" style="491" customWidth="1"/>
    <col min="13317" max="13317" width="2.7109375" style="491" customWidth="1"/>
    <col min="13318" max="13318" width="11.28515625" style="491" customWidth="1"/>
    <col min="13319" max="13319" width="10.7109375" style="491" customWidth="1"/>
    <col min="13320" max="13321" width="9.140625" style="491"/>
    <col min="13322" max="13322" width="14" style="491" customWidth="1"/>
    <col min="13323" max="13323" width="4.85546875" style="491" customWidth="1"/>
    <col min="13324" max="13324" width="3" style="491" customWidth="1"/>
    <col min="13325" max="13569" width="9.140625" style="491"/>
    <col min="13570" max="13570" width="25" style="491" bestFit="1" customWidth="1"/>
    <col min="13571" max="13571" width="9.140625" style="491"/>
    <col min="13572" max="13572" width="4.7109375" style="491" customWidth="1"/>
    <col min="13573" max="13573" width="2.7109375" style="491" customWidth="1"/>
    <col min="13574" max="13574" width="11.28515625" style="491" customWidth="1"/>
    <col min="13575" max="13575" width="10.7109375" style="491" customWidth="1"/>
    <col min="13576" max="13577" width="9.140625" style="491"/>
    <col min="13578" max="13578" width="14" style="491" customWidth="1"/>
    <col min="13579" max="13579" width="4.85546875" style="491" customWidth="1"/>
    <col min="13580" max="13580" width="3" style="491" customWidth="1"/>
    <col min="13581" max="13825" width="9.140625" style="491"/>
    <col min="13826" max="13826" width="25" style="491" bestFit="1" customWidth="1"/>
    <col min="13827" max="13827" width="9.140625" style="491"/>
    <col min="13828" max="13828" width="4.7109375" style="491" customWidth="1"/>
    <col min="13829" max="13829" width="2.7109375" style="491" customWidth="1"/>
    <col min="13830" max="13830" width="11.28515625" style="491" customWidth="1"/>
    <col min="13831" max="13831" width="10.7109375" style="491" customWidth="1"/>
    <col min="13832" max="13833" width="9.140625" style="491"/>
    <col min="13834" max="13834" width="14" style="491" customWidth="1"/>
    <col min="13835" max="13835" width="4.85546875" style="491" customWidth="1"/>
    <col min="13836" max="13836" width="3" style="491" customWidth="1"/>
    <col min="13837" max="14081" width="9.140625" style="491"/>
    <col min="14082" max="14082" width="25" style="491" bestFit="1" customWidth="1"/>
    <col min="14083" max="14083" width="9.140625" style="491"/>
    <col min="14084" max="14084" width="4.7109375" style="491" customWidth="1"/>
    <col min="14085" max="14085" width="2.7109375" style="491" customWidth="1"/>
    <col min="14086" max="14086" width="11.28515625" style="491" customWidth="1"/>
    <col min="14087" max="14087" width="10.7109375" style="491" customWidth="1"/>
    <col min="14088" max="14089" width="9.140625" style="491"/>
    <col min="14090" max="14090" width="14" style="491" customWidth="1"/>
    <col min="14091" max="14091" width="4.85546875" style="491" customWidth="1"/>
    <col min="14092" max="14092" width="3" style="491" customWidth="1"/>
    <col min="14093" max="14337" width="9.140625" style="491"/>
    <col min="14338" max="14338" width="25" style="491" bestFit="1" customWidth="1"/>
    <col min="14339" max="14339" width="9.140625" style="491"/>
    <col min="14340" max="14340" width="4.7109375" style="491" customWidth="1"/>
    <col min="14341" max="14341" width="2.7109375" style="491" customWidth="1"/>
    <col min="14342" max="14342" width="11.28515625" style="491" customWidth="1"/>
    <col min="14343" max="14343" width="10.7109375" style="491" customWidth="1"/>
    <col min="14344" max="14345" width="9.140625" style="491"/>
    <col min="14346" max="14346" width="14" style="491" customWidth="1"/>
    <col min="14347" max="14347" width="4.85546875" style="491" customWidth="1"/>
    <col min="14348" max="14348" width="3" style="491" customWidth="1"/>
    <col min="14349" max="14593" width="9.140625" style="491"/>
    <col min="14594" max="14594" width="25" style="491" bestFit="1" customWidth="1"/>
    <col min="14595" max="14595" width="9.140625" style="491"/>
    <col min="14596" max="14596" width="4.7109375" style="491" customWidth="1"/>
    <col min="14597" max="14597" width="2.7109375" style="491" customWidth="1"/>
    <col min="14598" max="14598" width="11.28515625" style="491" customWidth="1"/>
    <col min="14599" max="14599" width="10.7109375" style="491" customWidth="1"/>
    <col min="14600" max="14601" width="9.140625" style="491"/>
    <col min="14602" max="14602" width="14" style="491" customWidth="1"/>
    <col min="14603" max="14603" width="4.85546875" style="491" customWidth="1"/>
    <col min="14604" max="14604" width="3" style="491" customWidth="1"/>
    <col min="14605" max="14849" width="9.140625" style="491"/>
    <col min="14850" max="14850" width="25" style="491" bestFit="1" customWidth="1"/>
    <col min="14851" max="14851" width="9.140625" style="491"/>
    <col min="14852" max="14852" width="4.7109375" style="491" customWidth="1"/>
    <col min="14853" max="14853" width="2.7109375" style="491" customWidth="1"/>
    <col min="14854" max="14854" width="11.28515625" style="491" customWidth="1"/>
    <col min="14855" max="14855" width="10.7109375" style="491" customWidth="1"/>
    <col min="14856" max="14857" width="9.140625" style="491"/>
    <col min="14858" max="14858" width="14" style="491" customWidth="1"/>
    <col min="14859" max="14859" width="4.85546875" style="491" customWidth="1"/>
    <col min="14860" max="14860" width="3" style="491" customWidth="1"/>
    <col min="14861" max="15105" width="9.140625" style="491"/>
    <col min="15106" max="15106" width="25" style="491" bestFit="1" customWidth="1"/>
    <col min="15107" max="15107" width="9.140625" style="491"/>
    <col min="15108" max="15108" width="4.7109375" style="491" customWidth="1"/>
    <col min="15109" max="15109" width="2.7109375" style="491" customWidth="1"/>
    <col min="15110" max="15110" width="11.28515625" style="491" customWidth="1"/>
    <col min="15111" max="15111" width="10.7109375" style="491" customWidth="1"/>
    <col min="15112" max="15113" width="9.140625" style="491"/>
    <col min="15114" max="15114" width="14" style="491" customWidth="1"/>
    <col min="15115" max="15115" width="4.85546875" style="491" customWidth="1"/>
    <col min="15116" max="15116" width="3" style="491" customWidth="1"/>
    <col min="15117" max="15361" width="9.140625" style="491"/>
    <col min="15362" max="15362" width="25" style="491" bestFit="1" customWidth="1"/>
    <col min="15363" max="15363" width="9.140625" style="491"/>
    <col min="15364" max="15364" width="4.7109375" style="491" customWidth="1"/>
    <col min="15365" max="15365" width="2.7109375" style="491" customWidth="1"/>
    <col min="15366" max="15366" width="11.28515625" style="491" customWidth="1"/>
    <col min="15367" max="15367" width="10.7109375" style="491" customWidth="1"/>
    <col min="15368" max="15369" width="9.140625" style="491"/>
    <col min="15370" max="15370" width="14" style="491" customWidth="1"/>
    <col min="15371" max="15371" width="4.85546875" style="491" customWidth="1"/>
    <col min="15372" max="15372" width="3" style="491" customWidth="1"/>
    <col min="15373" max="15617" width="9.140625" style="491"/>
    <col min="15618" max="15618" width="25" style="491" bestFit="1" customWidth="1"/>
    <col min="15619" max="15619" width="9.140625" style="491"/>
    <col min="15620" max="15620" width="4.7109375" style="491" customWidth="1"/>
    <col min="15621" max="15621" width="2.7109375" style="491" customWidth="1"/>
    <col min="15622" max="15622" width="11.28515625" style="491" customWidth="1"/>
    <col min="15623" max="15623" width="10.7109375" style="491" customWidth="1"/>
    <col min="15624" max="15625" width="9.140625" style="491"/>
    <col min="15626" max="15626" width="14" style="491" customWidth="1"/>
    <col min="15627" max="15627" width="4.85546875" style="491" customWidth="1"/>
    <col min="15628" max="15628" width="3" style="491" customWidth="1"/>
    <col min="15629" max="15873" width="9.140625" style="491"/>
    <col min="15874" max="15874" width="25" style="491" bestFit="1" customWidth="1"/>
    <col min="15875" max="15875" width="9.140625" style="491"/>
    <col min="15876" max="15876" width="4.7109375" style="491" customWidth="1"/>
    <col min="15877" max="15877" width="2.7109375" style="491" customWidth="1"/>
    <col min="15878" max="15878" width="11.28515625" style="491" customWidth="1"/>
    <col min="15879" max="15879" width="10.7109375" style="491" customWidth="1"/>
    <col min="15880" max="15881" width="9.140625" style="491"/>
    <col min="15882" max="15882" width="14" style="491" customWidth="1"/>
    <col min="15883" max="15883" width="4.85546875" style="491" customWidth="1"/>
    <col min="15884" max="15884" width="3" style="491" customWidth="1"/>
    <col min="15885" max="16129" width="9.140625" style="491"/>
    <col min="16130" max="16130" width="25" style="491" bestFit="1" customWidth="1"/>
    <col min="16131" max="16131" width="9.140625" style="491"/>
    <col min="16132" max="16132" width="4.7109375" style="491" customWidth="1"/>
    <col min="16133" max="16133" width="2.7109375" style="491" customWidth="1"/>
    <col min="16134" max="16134" width="11.28515625" style="491" customWidth="1"/>
    <col min="16135" max="16135" width="10.7109375" style="491" customWidth="1"/>
    <col min="16136" max="16137" width="9.140625" style="491"/>
    <col min="16138" max="16138" width="14" style="491" customWidth="1"/>
    <col min="16139" max="16139" width="4.85546875" style="491" customWidth="1"/>
    <col min="16140" max="16140" width="3" style="491" customWidth="1"/>
    <col min="16141" max="16384" width="9.140625" style="491"/>
  </cols>
  <sheetData>
    <row r="1" spans="2:12" ht="24" thickBot="1">
      <c r="G1" s="2777" t="s">
        <v>1749</v>
      </c>
      <c r="H1" s="2778"/>
      <c r="I1" s="2779"/>
    </row>
    <row r="3" spans="2:12" ht="20.25" customHeight="1">
      <c r="B3" s="1975" t="s">
        <v>614</v>
      </c>
      <c r="F3" s="492" t="s">
        <v>0</v>
      </c>
      <c r="G3" s="492" t="s">
        <v>615</v>
      </c>
      <c r="H3" s="2799" t="s">
        <v>616</v>
      </c>
      <c r="I3" s="2799"/>
      <c r="J3" s="2799"/>
    </row>
    <row r="4" spans="2:12">
      <c r="B4" s="1976" t="s">
        <v>617</v>
      </c>
      <c r="C4" s="651">
        <v>15</v>
      </c>
      <c r="D4" s="491" t="s">
        <v>357</v>
      </c>
      <c r="F4" s="494" t="s">
        <v>619</v>
      </c>
      <c r="G4" s="495">
        <v>1</v>
      </c>
      <c r="H4" s="1493">
        <f>C4</f>
        <v>15</v>
      </c>
      <c r="I4" s="493">
        <v>4.5999999999999996</v>
      </c>
      <c r="J4" s="1493">
        <f>H4*I4</f>
        <v>69</v>
      </c>
    </row>
    <row r="5" spans="2:12">
      <c r="B5" s="1976" t="s">
        <v>618</v>
      </c>
      <c r="C5" s="651">
        <v>100</v>
      </c>
      <c r="D5" s="491" t="s">
        <v>357</v>
      </c>
      <c r="F5" s="494" t="s">
        <v>621</v>
      </c>
      <c r="G5" s="495">
        <v>2</v>
      </c>
      <c r="H5" s="1529">
        <f>C5</f>
        <v>100</v>
      </c>
      <c r="I5" s="493">
        <v>1.6</v>
      </c>
      <c r="J5" s="1493">
        <f>H5*I5</f>
        <v>160</v>
      </c>
    </row>
    <row r="6" spans="2:12">
      <c r="B6" s="1976" t="s">
        <v>620</v>
      </c>
      <c r="C6" s="651">
        <v>75</v>
      </c>
      <c r="D6" s="491" t="s">
        <v>357</v>
      </c>
      <c r="F6" s="494" t="s">
        <v>622</v>
      </c>
      <c r="G6" s="495">
        <v>3</v>
      </c>
      <c r="H6" s="1493">
        <f>C6</f>
        <v>75</v>
      </c>
      <c r="I6" s="493">
        <v>2.4</v>
      </c>
      <c r="J6" s="1493">
        <f>H6*I6</f>
        <v>180</v>
      </c>
    </row>
    <row r="7" spans="2:12">
      <c r="B7" s="1977" t="s">
        <v>1792</v>
      </c>
      <c r="C7" s="651">
        <v>0</v>
      </c>
      <c r="D7" s="491" t="s">
        <v>357</v>
      </c>
      <c r="F7" s="1945" t="s">
        <v>1793</v>
      </c>
      <c r="G7" s="495">
        <v>4</v>
      </c>
      <c r="H7" s="1493">
        <f>C7</f>
        <v>0</v>
      </c>
      <c r="I7" s="493">
        <v>1.2</v>
      </c>
      <c r="J7" s="1493">
        <f>H7*I7</f>
        <v>0</v>
      </c>
    </row>
    <row r="8" spans="2:12">
      <c r="B8" s="1978" t="s">
        <v>623</v>
      </c>
      <c r="C8" s="651">
        <v>0</v>
      </c>
      <c r="D8" s="491" t="s">
        <v>357</v>
      </c>
      <c r="F8" s="494" t="s">
        <v>623</v>
      </c>
      <c r="G8" s="497"/>
      <c r="H8" s="1493">
        <f>C8</f>
        <v>0</v>
      </c>
      <c r="I8" s="493">
        <v>0.6</v>
      </c>
      <c r="J8" s="1493">
        <f>H8*I8</f>
        <v>0</v>
      </c>
    </row>
    <row r="9" spans="2:12">
      <c r="D9" s="496"/>
      <c r="F9" s="499" t="s">
        <v>626</v>
      </c>
      <c r="G9" s="498"/>
      <c r="H9" s="1493">
        <f>SUM(H4:H8)</f>
        <v>190</v>
      </c>
      <c r="I9" s="498"/>
      <c r="J9" s="1493">
        <f>SUM(J4:J8)</f>
        <v>409</v>
      </c>
    </row>
    <row r="10" spans="2:12">
      <c r="B10" s="1978" t="s">
        <v>624</v>
      </c>
      <c r="C10" s="651">
        <v>750</v>
      </c>
      <c r="D10" s="496" t="s">
        <v>625</v>
      </c>
    </row>
    <row r="11" spans="2:12">
      <c r="D11" s="496"/>
      <c r="K11" s="491" t="s">
        <v>627</v>
      </c>
      <c r="L11" s="491" t="s">
        <v>627</v>
      </c>
    </row>
    <row r="12" spans="2:12">
      <c r="F12" s="490" t="s">
        <v>1856</v>
      </c>
    </row>
    <row r="14" spans="2:12">
      <c r="F14" s="2034" t="s">
        <v>628</v>
      </c>
      <c r="G14" s="2035">
        <f>C10-J9</f>
        <v>341</v>
      </c>
      <c r="H14" s="491" t="s">
        <v>629</v>
      </c>
      <c r="I14" s="491" t="s">
        <v>630</v>
      </c>
    </row>
    <row r="16" spans="2:12">
      <c r="F16" s="490" t="s">
        <v>631</v>
      </c>
    </row>
    <row r="18" spans="2:12">
      <c r="F18" s="2034" t="s">
        <v>632</v>
      </c>
      <c r="G18" s="2035">
        <f>G14/I8</f>
        <v>568.33333333333337</v>
      </c>
      <c r="H18" s="491" t="s">
        <v>357</v>
      </c>
    </row>
    <row r="20" spans="2:12">
      <c r="F20" s="490" t="s">
        <v>633</v>
      </c>
      <c r="K20" s="435"/>
      <c r="L20" s="435"/>
    </row>
    <row r="22" spans="2:12">
      <c r="F22" s="2034" t="s">
        <v>634</v>
      </c>
      <c r="G22" s="2035">
        <f>G18+H9</f>
        <v>758.33333333333337</v>
      </c>
      <c r="H22" s="491" t="s">
        <v>357</v>
      </c>
    </row>
    <row r="24" spans="2:12" ht="18">
      <c r="F24" s="1338" t="s">
        <v>635</v>
      </c>
      <c r="G24" s="500"/>
      <c r="H24" s="500"/>
      <c r="I24" s="500"/>
      <c r="J24" s="500"/>
      <c r="K24" s="2032">
        <f>G22</f>
        <v>758.33333333333337</v>
      </c>
      <c r="L24" s="1884" t="s">
        <v>357</v>
      </c>
    </row>
    <row r="25" spans="2:12">
      <c r="F25" s="1339" t="s">
        <v>636</v>
      </c>
      <c r="G25" s="501"/>
      <c r="H25" s="501"/>
      <c r="I25" s="501"/>
      <c r="J25" s="501"/>
      <c r="K25" s="501"/>
      <c r="L25" s="502"/>
    </row>
    <row r="27" spans="2:12" ht="13.5" thickBot="1"/>
    <row r="28" spans="2:12" ht="16.5" thickBot="1">
      <c r="B28" s="2800" t="s">
        <v>1808</v>
      </c>
      <c r="C28" s="2801"/>
      <c r="D28" s="2802"/>
    </row>
    <row r="29" spans="2:12">
      <c r="B29" s="1960" t="s">
        <v>1796</v>
      </c>
      <c r="C29" s="2521">
        <v>30</v>
      </c>
      <c r="D29" s="1961" t="s">
        <v>357</v>
      </c>
    </row>
    <row r="30" spans="2:12">
      <c r="B30" s="1950" t="s">
        <v>1797</v>
      </c>
      <c r="C30" s="840">
        <v>5.5</v>
      </c>
      <c r="D30" s="1962" t="s">
        <v>357</v>
      </c>
    </row>
    <row r="31" spans="2:12">
      <c r="B31" s="1950" t="s">
        <v>1798</v>
      </c>
      <c r="C31" s="840">
        <v>5.5</v>
      </c>
      <c r="D31" s="1962" t="s">
        <v>357</v>
      </c>
    </row>
    <row r="32" spans="2:12">
      <c r="B32" s="1948" t="s">
        <v>1799</v>
      </c>
      <c r="C32" s="1952">
        <f>C31*C30*C29</f>
        <v>907.5</v>
      </c>
      <c r="D32" s="1953" t="s">
        <v>1024</v>
      </c>
    </row>
    <row r="33" spans="2:14">
      <c r="B33" s="1958" t="s">
        <v>1025</v>
      </c>
      <c r="C33" s="1761">
        <v>3</v>
      </c>
      <c r="D33" s="1959" t="s">
        <v>1809</v>
      </c>
    </row>
    <row r="34" spans="2:14">
      <c r="B34" s="1949" t="s">
        <v>1810</v>
      </c>
      <c r="C34" s="2019">
        <f>(C32*C33)/3600</f>
        <v>0.75624999999999998</v>
      </c>
      <c r="D34" s="1954" t="s">
        <v>732</v>
      </c>
    </row>
    <row r="35" spans="2:14">
      <c r="B35" s="1963" t="s">
        <v>1851</v>
      </c>
      <c r="C35" s="1964">
        <f>C44/C34</f>
        <v>6.6983477768742885</v>
      </c>
      <c r="D35" s="1965" t="s">
        <v>1807</v>
      </c>
    </row>
    <row r="36" spans="2:14">
      <c r="B36" s="1950" t="s">
        <v>1800</v>
      </c>
      <c r="C36" s="2522">
        <v>3000</v>
      </c>
      <c r="D36" s="1955" t="s">
        <v>1801</v>
      </c>
    </row>
    <row r="37" spans="2:14">
      <c r="B37" s="1950" t="s">
        <v>1857</v>
      </c>
      <c r="C37" s="2523">
        <v>0.2</v>
      </c>
    </row>
    <row r="38" spans="2:14">
      <c r="B38" s="2005" t="s">
        <v>1800</v>
      </c>
      <c r="C38" s="2036">
        <f>C36-(C37*C36)</f>
        <v>2400</v>
      </c>
      <c r="D38" s="2037" t="s">
        <v>1801</v>
      </c>
    </row>
    <row r="39" spans="2:14">
      <c r="B39" s="2005" t="s">
        <v>1838</v>
      </c>
      <c r="C39" s="1990">
        <v>4.7194744299999998E-4</v>
      </c>
      <c r="D39" s="1953" t="s">
        <v>732</v>
      </c>
      <c r="E39" s="2044" t="s">
        <v>1802</v>
      </c>
      <c r="F39" s="2044"/>
    </row>
    <row r="40" spans="2:14" ht="13.5" thickBot="1">
      <c r="B40" s="1991" t="s">
        <v>1862</v>
      </c>
      <c r="C40" s="1992">
        <f>C38*C39</f>
        <v>1.1326738632</v>
      </c>
      <c r="D40" s="1993" t="s">
        <v>732</v>
      </c>
      <c r="F40" s="1947"/>
      <c r="H40" s="1947"/>
    </row>
    <row r="41" spans="2:14" ht="13.15" customHeight="1">
      <c r="B41" s="1996" t="s">
        <v>1839</v>
      </c>
      <c r="C41" s="2524">
        <v>500</v>
      </c>
      <c r="D41" s="1997" t="s">
        <v>192</v>
      </c>
      <c r="E41" s="2814" t="s">
        <v>1853</v>
      </c>
      <c r="F41" s="2815"/>
      <c r="H41" s="1947"/>
    </row>
    <row r="42" spans="2:14" ht="14.45" customHeight="1">
      <c r="B42" s="1998" t="s">
        <v>1841</v>
      </c>
      <c r="C42" s="1999">
        <f>C40</f>
        <v>1.1326738632</v>
      </c>
      <c r="D42" s="2003" t="s">
        <v>732</v>
      </c>
      <c r="E42" s="2816"/>
      <c r="F42" s="2817"/>
      <c r="H42" s="1947"/>
    </row>
    <row r="43" spans="2:14" ht="15" customHeight="1" thickBot="1">
      <c r="B43" s="1998" t="s">
        <v>1842</v>
      </c>
      <c r="C43" s="2004">
        <v>111.8</v>
      </c>
      <c r="D43" s="2003" t="s">
        <v>192</v>
      </c>
      <c r="E43" s="2816"/>
      <c r="F43" s="2817"/>
      <c r="G43" s="491">
        <v>109.8</v>
      </c>
      <c r="H43" s="1947">
        <v>113.7</v>
      </c>
      <c r="I43" s="2035">
        <f>(G43+H43)/2</f>
        <v>111.75</v>
      </c>
    </row>
    <row r="44" spans="2:14" ht="15" customHeight="1" thickBot="1">
      <c r="B44" s="2000" t="s">
        <v>1840</v>
      </c>
      <c r="C44" s="2001">
        <f>C41*(C42/C43)</f>
        <v>5.0656255062611804</v>
      </c>
      <c r="D44" s="2002" t="s">
        <v>732</v>
      </c>
      <c r="E44" s="2818"/>
      <c r="F44" s="2819"/>
      <c r="H44" s="1947"/>
    </row>
    <row r="45" spans="2:14">
      <c r="B45" s="2017" t="s">
        <v>1847</v>
      </c>
      <c r="C45" s="2525">
        <v>85</v>
      </c>
      <c r="D45" s="2018" t="s">
        <v>1816</v>
      </c>
      <c r="E45" s="2015"/>
      <c r="F45" s="1947"/>
      <c r="H45" s="1947"/>
    </row>
    <row r="46" spans="2:14">
      <c r="B46" s="1994" t="s">
        <v>1849</v>
      </c>
      <c r="C46" s="2016">
        <f>C45*K46</f>
        <v>1.4166666666666668E-3</v>
      </c>
      <c r="D46" s="1995" t="s">
        <v>732</v>
      </c>
      <c r="F46" s="1947" t="s">
        <v>1803</v>
      </c>
      <c r="K46" s="1969">
        <f>0.001/60</f>
        <v>1.6666666666666667E-5</v>
      </c>
      <c r="M46" s="1947" t="s">
        <v>732</v>
      </c>
      <c r="N46" s="1947"/>
    </row>
    <row r="47" spans="2:14">
      <c r="B47" s="1951" t="s">
        <v>1848</v>
      </c>
      <c r="C47" s="2033">
        <f>C50*C46</f>
        <v>0.38958333333333334</v>
      </c>
      <c r="D47" s="1953" t="s">
        <v>732</v>
      </c>
    </row>
    <row r="48" spans="2:14">
      <c r="B48" s="1948" t="s">
        <v>1804</v>
      </c>
      <c r="C48" s="1956">
        <f>C29*C31</f>
        <v>165</v>
      </c>
      <c r="D48" s="1953" t="s">
        <v>896</v>
      </c>
      <c r="F48" s="1878">
        <f>312+183+83</f>
        <v>578</v>
      </c>
    </row>
    <row r="49" spans="2:7">
      <c r="B49" s="1948" t="s">
        <v>1861</v>
      </c>
      <c r="C49" s="2043">
        <v>0.6</v>
      </c>
      <c r="D49" s="1953" t="s">
        <v>896</v>
      </c>
      <c r="F49" s="1878"/>
    </row>
    <row r="50" spans="2:7">
      <c r="B50" s="2005" t="s">
        <v>1805</v>
      </c>
      <c r="C50" s="1957">
        <f>C48/C49</f>
        <v>275</v>
      </c>
      <c r="D50" s="1953" t="s">
        <v>1806</v>
      </c>
      <c r="F50" s="1878"/>
    </row>
    <row r="51" spans="2:7">
      <c r="B51" s="1966" t="s">
        <v>1852</v>
      </c>
      <c r="C51" s="1967">
        <f>C44/C47</f>
        <v>13.002675096285383</v>
      </c>
      <c r="D51" s="1968" t="s">
        <v>1807</v>
      </c>
      <c r="F51" s="1878"/>
    </row>
    <row r="52" spans="2:7" ht="25.5">
      <c r="B52" s="1966" t="s">
        <v>1859</v>
      </c>
      <c r="C52" s="1967">
        <f>C44/C46</f>
        <v>3575.7356514784801</v>
      </c>
      <c r="D52" s="1968" t="s">
        <v>1860</v>
      </c>
      <c r="F52" s="1878"/>
    </row>
    <row r="53" spans="2:7">
      <c r="B53" s="1979"/>
      <c r="F53" s="1878">
        <f>(275*4)+(180*3)</f>
        <v>1640</v>
      </c>
    </row>
    <row r="55" spans="2:7">
      <c r="F55" s="1878">
        <f>165*4</f>
        <v>660</v>
      </c>
    </row>
    <row r="56" spans="2:7" ht="13.5" thickBot="1">
      <c r="F56" s="2042">
        <f>108*3</f>
        <v>324</v>
      </c>
    </row>
    <row r="57" spans="2:7" ht="16.5" thickBot="1">
      <c r="B57" s="2031" t="s">
        <v>1813</v>
      </c>
    </row>
    <row r="58" spans="2:7">
      <c r="B58" s="1989" t="s">
        <v>1814</v>
      </c>
    </row>
    <row r="60" spans="2:7">
      <c r="B60" s="1974" t="s">
        <v>1815</v>
      </c>
    </row>
    <row r="61" spans="2:7" ht="28.9" customHeight="1">
      <c r="B61" s="2809" t="s">
        <v>1844</v>
      </c>
      <c r="C61" s="2536" t="s">
        <v>600</v>
      </c>
      <c r="D61" s="2535">
        <v>85</v>
      </c>
      <c r="E61" s="2537" t="s">
        <v>1816</v>
      </c>
      <c r="F61" s="496"/>
    </row>
    <row r="62" spans="2:7">
      <c r="B62" s="2810"/>
      <c r="C62" s="2013" t="s">
        <v>600</v>
      </c>
      <c r="D62" s="2531">
        <f>SUM(D61/60)</f>
        <v>1.4166666666666667</v>
      </c>
      <c r="E62" s="2532" t="s">
        <v>753</v>
      </c>
      <c r="F62" s="496"/>
    </row>
    <row r="63" spans="2:7" ht="15">
      <c r="B63" s="2811"/>
      <c r="C63" s="2014" t="s">
        <v>600</v>
      </c>
      <c r="D63" s="2533">
        <f>SUM(D62/1000)</f>
        <v>1.4166666666666668E-3</v>
      </c>
      <c r="E63" s="2534" t="s">
        <v>1845</v>
      </c>
      <c r="F63" s="1973"/>
    </row>
    <row r="64" spans="2:7" ht="15">
      <c r="B64" s="1980"/>
      <c r="C64" s="1971" t="s">
        <v>347</v>
      </c>
      <c r="D64" s="1971" t="s">
        <v>213</v>
      </c>
      <c r="E64" s="1971" t="s">
        <v>221</v>
      </c>
      <c r="F64" s="2812" t="s">
        <v>1846</v>
      </c>
      <c r="G64" s="2813"/>
    </row>
    <row r="65" spans="2:7" ht="15">
      <c r="B65" s="1981" t="s">
        <v>1817</v>
      </c>
      <c r="C65" s="2529">
        <v>30</v>
      </c>
      <c r="D65" s="2538" t="s">
        <v>213</v>
      </c>
      <c r="E65" s="2529">
        <v>5.5</v>
      </c>
      <c r="F65" s="2006">
        <f>+C65*E65</f>
        <v>165</v>
      </c>
      <c r="G65" s="2007" t="s">
        <v>1333</v>
      </c>
    </row>
    <row r="66" spans="2:7" ht="15">
      <c r="B66" s="1982" t="s">
        <v>1818</v>
      </c>
      <c r="C66" s="1972" t="s">
        <v>600</v>
      </c>
      <c r="D66" s="2530">
        <v>0.6</v>
      </c>
      <c r="E66" s="1480" t="s">
        <v>1333</v>
      </c>
    </row>
    <row r="67" spans="2:7" ht="15">
      <c r="B67" s="2008" t="s">
        <v>1831</v>
      </c>
      <c r="C67" s="2009" t="s">
        <v>600</v>
      </c>
      <c r="D67" s="2010">
        <f>F65/D66</f>
        <v>275</v>
      </c>
      <c r="E67" s="2011" t="s">
        <v>1843</v>
      </c>
    </row>
    <row r="68" spans="2:7" ht="15">
      <c r="B68" s="2008" t="s">
        <v>1819</v>
      </c>
      <c r="C68" s="2009" t="s">
        <v>600</v>
      </c>
      <c r="D68" s="2012">
        <f>SUM(D63*D67)</f>
        <v>0.38958333333333334</v>
      </c>
      <c r="E68" s="2011" t="s">
        <v>1334</v>
      </c>
    </row>
    <row r="69" spans="2:7" ht="15">
      <c r="B69" s="1983"/>
      <c r="C69" s="1970"/>
      <c r="D69" s="1970"/>
    </row>
    <row r="70" spans="2:7" ht="15">
      <c r="B70" s="1984" t="s">
        <v>1850</v>
      </c>
      <c r="C70" s="1398" t="s">
        <v>1854</v>
      </c>
      <c r="D70" s="1398" t="s">
        <v>1855</v>
      </c>
    </row>
    <row r="71" spans="2:7" ht="15">
      <c r="B71" s="1985" t="s">
        <v>1820</v>
      </c>
      <c r="C71" s="2526">
        <v>8</v>
      </c>
      <c r="D71" s="2526">
        <v>7</v>
      </c>
    </row>
    <row r="72" spans="2:7" ht="15.75" thickBot="1">
      <c r="B72" s="1986" t="s">
        <v>1821</v>
      </c>
      <c r="C72" s="2038"/>
      <c r="D72" s="2038"/>
    </row>
    <row r="73" spans="2:7" ht="13.5" thickBot="1">
      <c r="B73" s="2022" t="s">
        <v>1822</v>
      </c>
      <c r="C73" s="2527">
        <f>SUM(C71:C72)</f>
        <v>8</v>
      </c>
      <c r="D73" s="2528">
        <f>SUM(D71:D72)</f>
        <v>7</v>
      </c>
    </row>
    <row r="74" spans="2:7" ht="15">
      <c r="B74" s="2025" t="s">
        <v>626</v>
      </c>
      <c r="C74" s="2807">
        <f>C73+D73</f>
        <v>15</v>
      </c>
      <c r="D74" s="2808"/>
    </row>
    <row r="75" spans="2:7" ht="15">
      <c r="B75" s="2026" t="s">
        <v>1823</v>
      </c>
      <c r="C75" s="2024">
        <f>C74*D68</f>
        <v>5.84375</v>
      </c>
      <c r="D75" s="2027" t="s">
        <v>1824</v>
      </c>
    </row>
    <row r="76" spans="2:7" ht="15.75" thickBot="1">
      <c r="B76" s="2028" t="s">
        <v>1825</v>
      </c>
      <c r="C76" s="2029">
        <f>C75*1.2</f>
        <v>7.0125000000000002</v>
      </c>
      <c r="D76" s="2030" t="s">
        <v>1824</v>
      </c>
    </row>
    <row r="77" spans="2:7" ht="15">
      <c r="B77" s="1987"/>
      <c r="C77" s="1129"/>
      <c r="D77" s="1970"/>
    </row>
    <row r="78" spans="2:7" ht="15">
      <c r="B78" s="1988" t="s">
        <v>1826</v>
      </c>
      <c r="C78" s="2803">
        <v>300</v>
      </c>
      <c r="D78" s="2804"/>
    </row>
    <row r="79" spans="2:7" ht="15">
      <c r="B79" s="2020" t="s">
        <v>1827</v>
      </c>
      <c r="C79" s="2021">
        <f>C78*D63</f>
        <v>0.42500000000000004</v>
      </c>
      <c r="D79" s="2011" t="s">
        <v>1334</v>
      </c>
    </row>
    <row r="80" spans="2:7" ht="15">
      <c r="B80" s="1985" t="s">
        <v>1858</v>
      </c>
      <c r="C80" s="2539">
        <v>6.1</v>
      </c>
      <c r="D80" s="2540" t="s">
        <v>1334</v>
      </c>
    </row>
    <row r="81" spans="2:4" ht="15.75" thickBot="1">
      <c r="B81" s="2039" t="s">
        <v>1828</v>
      </c>
      <c r="C81" s="2805">
        <f>C74*D67</f>
        <v>4125</v>
      </c>
      <c r="D81" s="2806"/>
    </row>
    <row r="82" spans="2:4" ht="15.75" thickBot="1">
      <c r="B82" s="2023" t="s">
        <v>1829</v>
      </c>
      <c r="C82" s="2040">
        <f>(C74*D67)/C78</f>
        <v>13.75</v>
      </c>
      <c r="D82" s="2041" t="s">
        <v>1830</v>
      </c>
    </row>
    <row r="86" spans="2:4">
      <c r="B86" s="1989" t="s">
        <v>1837</v>
      </c>
    </row>
    <row r="87" spans="2:4">
      <c r="B87" s="1974" t="s">
        <v>1833</v>
      </c>
    </row>
    <row r="88" spans="2:4">
      <c r="B88" s="1974" t="s">
        <v>1834</v>
      </c>
    </row>
    <row r="90" spans="2:4">
      <c r="B90" s="1974" t="s">
        <v>1832</v>
      </c>
    </row>
    <row r="92" spans="2:4" ht="38.25">
      <c r="B92" s="1974" t="s">
        <v>1835</v>
      </c>
    </row>
    <row r="93" spans="2:4">
      <c r="B93" s="1974" t="s">
        <v>1836</v>
      </c>
    </row>
  </sheetData>
  <mergeCells count="9">
    <mergeCell ref="H3:J3"/>
    <mergeCell ref="G1:I1"/>
    <mergeCell ref="B28:D28"/>
    <mergeCell ref="C78:D78"/>
    <mergeCell ref="C81:D81"/>
    <mergeCell ref="C74:D74"/>
    <mergeCell ref="B61:B63"/>
    <mergeCell ref="F64:G64"/>
    <mergeCell ref="E41:F44"/>
  </mergeCells>
  <hyperlinks>
    <hyperlink ref="G1" location="INDEX!A1" display="INDEX!A1"/>
  </hyperlinks>
  <pageMargins left="0.75" right="0.75" top="1" bottom="1" header="0.5" footer="0.5"/>
  <pageSetup paperSize="9" scale="99" orientation="portrait"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S27"/>
  <sheetViews>
    <sheetView zoomScaleNormal="100" workbookViewId="0">
      <selection activeCell="C9" sqref="C9"/>
    </sheetView>
  </sheetViews>
  <sheetFormatPr defaultRowHeight="15"/>
  <cols>
    <col min="3" max="3" width="13.7109375" customWidth="1"/>
    <col min="5" max="5" width="2.28515625" bestFit="1" customWidth="1"/>
    <col min="6" max="6" width="22.5703125" customWidth="1"/>
  </cols>
  <sheetData>
    <row r="1" spans="1:19" ht="24" thickBot="1">
      <c r="A1" s="435"/>
      <c r="B1" s="503"/>
      <c r="C1" s="503"/>
      <c r="D1" s="435"/>
      <c r="E1" s="504"/>
      <c r="F1" s="435"/>
      <c r="G1" s="2777" t="s">
        <v>1749</v>
      </c>
      <c r="H1" s="2778"/>
      <c r="I1" s="2779"/>
      <c r="J1" s="435"/>
      <c r="K1" s="435"/>
      <c r="L1" s="435"/>
      <c r="M1" s="435"/>
      <c r="N1" s="435"/>
      <c r="O1" s="435"/>
      <c r="P1" s="435"/>
    </row>
    <row r="2" spans="1:19">
      <c r="A2" s="435"/>
      <c r="B2" s="503"/>
      <c r="C2" s="503"/>
      <c r="D2" s="435"/>
      <c r="E2" s="504"/>
      <c r="F2" s="435"/>
      <c r="G2" s="435"/>
      <c r="H2" s="435"/>
      <c r="I2" s="435"/>
      <c r="J2" s="435"/>
      <c r="K2" s="435"/>
      <c r="L2" s="435"/>
      <c r="M2" s="435"/>
      <c r="N2" s="435"/>
      <c r="O2" s="435"/>
      <c r="P2" s="435"/>
    </row>
    <row r="3" spans="1:19" ht="15.75" thickBot="1">
      <c r="A3" s="435"/>
      <c r="B3" s="503"/>
      <c r="C3" s="503"/>
      <c r="D3" s="435"/>
      <c r="E3" s="504"/>
      <c r="F3" s="435"/>
      <c r="G3" s="435"/>
      <c r="H3" s="435"/>
      <c r="I3" s="435"/>
      <c r="J3" s="435"/>
      <c r="K3" s="435"/>
      <c r="L3" s="435"/>
      <c r="M3" s="435"/>
      <c r="N3" s="435"/>
      <c r="O3" s="435"/>
      <c r="P3" s="435"/>
    </row>
    <row r="4" spans="1:19">
      <c r="A4" s="435"/>
      <c r="B4" s="505" t="s">
        <v>1587</v>
      </c>
      <c r="C4" s="506"/>
      <c r="D4" s="507"/>
      <c r="E4" s="508"/>
      <c r="F4" s="507"/>
      <c r="G4" s="507"/>
      <c r="H4" s="507"/>
      <c r="I4" s="507"/>
      <c r="J4" s="507"/>
      <c r="K4" s="507"/>
      <c r="L4" s="507"/>
      <c r="M4" s="507"/>
      <c r="N4" s="507"/>
      <c r="O4" s="509"/>
      <c r="P4" s="435"/>
      <c r="Q4" s="435"/>
      <c r="R4" s="435"/>
      <c r="S4" s="435"/>
    </row>
    <row r="5" spans="1:19">
      <c r="A5" s="435"/>
      <c r="B5" s="476"/>
      <c r="C5" s="510"/>
      <c r="D5" s="511"/>
      <c r="E5" s="438"/>
      <c r="F5" s="438"/>
      <c r="G5" s="438"/>
      <c r="H5" s="438"/>
      <c r="I5" s="438"/>
      <c r="J5" s="438"/>
      <c r="K5" s="438"/>
      <c r="L5" s="438"/>
      <c r="M5" s="438"/>
      <c r="N5" s="438"/>
      <c r="O5" s="439"/>
      <c r="P5" s="435"/>
      <c r="Q5" s="435"/>
      <c r="R5" s="435"/>
      <c r="S5" s="435"/>
    </row>
    <row r="6" spans="1:19">
      <c r="A6" s="435"/>
      <c r="B6" s="481"/>
      <c r="C6" s="512"/>
      <c r="D6" s="2822" t="s">
        <v>194</v>
      </c>
      <c r="E6" s="2820" t="s">
        <v>600</v>
      </c>
      <c r="F6" s="1740" t="s">
        <v>1588</v>
      </c>
      <c r="G6" s="2827" t="s">
        <v>1590</v>
      </c>
      <c r="H6" s="438"/>
      <c r="I6" s="438"/>
      <c r="J6" s="438"/>
      <c r="K6" s="438"/>
      <c r="L6" s="438"/>
      <c r="M6" s="438"/>
      <c r="N6" s="438"/>
      <c r="O6" s="439"/>
      <c r="P6" s="435"/>
      <c r="Q6" s="435"/>
      <c r="R6" s="435"/>
      <c r="S6" s="435"/>
    </row>
    <row r="7" spans="1:19">
      <c r="A7" s="435"/>
      <c r="B7" s="481"/>
      <c r="C7" s="512"/>
      <c r="D7" s="2823"/>
      <c r="E7" s="2821"/>
      <c r="F7" s="1739" t="s">
        <v>1589</v>
      </c>
      <c r="G7" s="2828"/>
      <c r="H7" s="438"/>
      <c r="I7" s="438"/>
      <c r="J7" s="438"/>
      <c r="K7" s="438"/>
      <c r="L7" s="438"/>
      <c r="M7" s="438"/>
      <c r="N7" s="438"/>
      <c r="O7" s="439"/>
      <c r="P7" s="435"/>
      <c r="Q7" s="435"/>
      <c r="R7" s="435"/>
      <c r="S7" s="435"/>
    </row>
    <row r="8" spans="1:19" s="56" customFormat="1" ht="9.75" customHeight="1">
      <c r="A8" s="435"/>
      <c r="B8" s="481"/>
      <c r="C8" s="512"/>
      <c r="D8" s="513"/>
      <c r="E8" s="479"/>
      <c r="F8" s="479"/>
      <c r="G8" s="1736"/>
      <c r="H8" s="438"/>
      <c r="I8" s="438"/>
      <c r="J8" s="438"/>
      <c r="K8" s="438"/>
      <c r="L8" s="438"/>
      <c r="M8" s="438"/>
      <c r="N8" s="438"/>
      <c r="O8" s="439"/>
      <c r="P8" s="435"/>
      <c r="Q8" s="435"/>
      <c r="R8" s="435"/>
      <c r="S8" s="435"/>
    </row>
    <row r="9" spans="1:19">
      <c r="A9" s="435"/>
      <c r="B9" s="476" t="s">
        <v>598</v>
      </c>
      <c r="C9" s="516">
        <v>0.3</v>
      </c>
      <c r="D9" s="478" t="s">
        <v>1592</v>
      </c>
      <c r="E9" s="479" t="s">
        <v>600</v>
      </c>
      <c r="F9" s="437" t="s">
        <v>1593</v>
      </c>
      <c r="G9" s="438"/>
      <c r="H9" s="438"/>
      <c r="I9" s="438"/>
      <c r="J9" s="438"/>
      <c r="K9" s="438"/>
      <c r="L9" s="438"/>
      <c r="M9" s="438"/>
      <c r="N9" s="438"/>
      <c r="O9" s="439"/>
      <c r="P9" s="435"/>
      <c r="Q9" s="435"/>
      <c r="R9" s="435"/>
      <c r="S9" s="435"/>
    </row>
    <row r="10" spans="1:19">
      <c r="A10" s="435"/>
      <c r="B10" s="481"/>
      <c r="C10" s="516">
        <v>30</v>
      </c>
      <c r="D10" s="478" t="s">
        <v>1595</v>
      </c>
      <c r="E10" s="479" t="s">
        <v>600</v>
      </c>
      <c r="F10" s="437" t="s">
        <v>1594</v>
      </c>
      <c r="G10" s="438"/>
      <c r="H10" s="438"/>
      <c r="I10" s="438"/>
      <c r="J10" s="438"/>
      <c r="K10" s="438"/>
      <c r="L10" s="438"/>
      <c r="M10" s="438"/>
      <c r="N10" s="438"/>
      <c r="O10" s="439"/>
      <c r="P10" s="435"/>
      <c r="Q10" s="435"/>
      <c r="R10" s="435"/>
      <c r="S10" s="435"/>
    </row>
    <row r="11" spans="1:19">
      <c r="A11" s="435"/>
      <c r="B11" s="481"/>
      <c r="C11" s="516">
        <v>0</v>
      </c>
      <c r="D11" s="1798" t="s">
        <v>1231</v>
      </c>
      <c r="E11" s="479" t="s">
        <v>600</v>
      </c>
      <c r="F11" s="437" t="s">
        <v>1596</v>
      </c>
      <c r="G11" s="438"/>
      <c r="H11" s="438"/>
      <c r="I11" s="438"/>
      <c r="J11" s="438"/>
      <c r="K11" s="438"/>
      <c r="L11" s="438"/>
      <c r="M11" s="438"/>
      <c r="N11" s="438"/>
      <c r="O11" s="439"/>
      <c r="P11" s="435"/>
      <c r="Q11" s="435"/>
      <c r="R11" s="435"/>
      <c r="S11" s="435"/>
    </row>
    <row r="12" spans="1:19" ht="15.75">
      <c r="A12" s="435"/>
      <c r="B12" s="486" t="s">
        <v>194</v>
      </c>
      <c r="C12" s="547">
        <f>(C9*POWER(10,6))/(C10-C11)</f>
        <v>10000</v>
      </c>
      <c r="D12" s="2826" t="s">
        <v>1591</v>
      </c>
      <c r="E12" s="2826"/>
      <c r="F12" s="2826"/>
      <c r="G12" s="438"/>
      <c r="H12" s="438"/>
      <c r="I12" s="438"/>
      <c r="J12" s="438"/>
      <c r="K12" s="438"/>
      <c r="L12" s="438"/>
      <c r="M12" s="438"/>
      <c r="N12" s="438"/>
      <c r="O12" s="439"/>
      <c r="P12" s="435"/>
      <c r="Q12" s="435"/>
      <c r="R12" s="435"/>
      <c r="S12" s="435"/>
    </row>
    <row r="13" spans="1:19">
      <c r="A13" s="435"/>
      <c r="B13" s="476"/>
      <c r="C13" s="513"/>
      <c r="D13" s="438"/>
      <c r="E13" s="511"/>
      <c r="F13" s="438"/>
      <c r="G13" s="438"/>
      <c r="H13" s="438"/>
      <c r="I13" s="438"/>
      <c r="J13" s="438"/>
      <c r="K13" s="438"/>
      <c r="L13" s="438"/>
      <c r="M13" s="438"/>
      <c r="N13" s="438"/>
      <c r="O13" s="439"/>
      <c r="P13" s="435"/>
      <c r="Q13" s="435"/>
      <c r="R13" s="435"/>
      <c r="S13" s="435"/>
    </row>
    <row r="14" spans="1:19" ht="15.75" thickBot="1">
      <c r="A14" s="435"/>
      <c r="B14" s="521"/>
      <c r="C14" s="522"/>
      <c r="D14" s="448"/>
      <c r="E14" s="449"/>
      <c r="F14" s="448"/>
      <c r="G14" s="448"/>
      <c r="H14" s="448"/>
      <c r="I14" s="448"/>
      <c r="J14" s="448"/>
      <c r="K14" s="448"/>
      <c r="L14" s="448"/>
      <c r="M14" s="448"/>
      <c r="N14" s="448"/>
      <c r="O14" s="450"/>
      <c r="P14" s="435"/>
      <c r="Q14" s="435"/>
      <c r="R14" s="435"/>
      <c r="S14" s="435"/>
    </row>
    <row r="15" spans="1:19" ht="15.75" thickBot="1">
      <c r="A15" s="435"/>
      <c r="B15" s="523"/>
      <c r="C15" s="523"/>
      <c r="D15" s="435"/>
      <c r="E15" s="504"/>
      <c r="F15" s="435"/>
      <c r="G15" s="435"/>
      <c r="H15" s="435"/>
      <c r="I15" s="435"/>
      <c r="J15" s="435"/>
      <c r="K15" s="435"/>
      <c r="L15" s="435"/>
      <c r="M15" s="435"/>
      <c r="N15" s="435"/>
      <c r="O15" s="435"/>
      <c r="P15" s="435"/>
    </row>
    <row r="16" spans="1:19">
      <c r="A16" s="435"/>
      <c r="B16" s="505" t="s">
        <v>1597</v>
      </c>
      <c r="C16" s="524"/>
      <c r="D16" s="507"/>
      <c r="E16" s="508"/>
      <c r="F16" s="507"/>
      <c r="G16" s="507"/>
      <c r="H16" s="509"/>
      <c r="I16" s="435"/>
      <c r="J16" s="435"/>
      <c r="K16" s="435"/>
      <c r="L16" s="435"/>
    </row>
    <row r="17" spans="1:16">
      <c r="A17" s="435"/>
      <c r="B17" s="476"/>
      <c r="C17" s="513"/>
      <c r="D17" s="525"/>
      <c r="E17" s="511"/>
      <c r="F17" s="438"/>
      <c r="G17" s="438"/>
      <c r="H17" s="439"/>
      <c r="I17" s="435"/>
      <c r="J17" s="435"/>
      <c r="K17" s="435"/>
      <c r="L17" s="435"/>
    </row>
    <row r="18" spans="1:16">
      <c r="A18" s="435"/>
      <c r="B18" s="481"/>
      <c r="C18" s="2822" t="s">
        <v>1598</v>
      </c>
      <c r="D18" s="2820"/>
      <c r="E18" s="2820" t="s">
        <v>600</v>
      </c>
      <c r="F18" s="1737" t="s">
        <v>1599</v>
      </c>
      <c r="G18" s="2824" t="s">
        <v>1600</v>
      </c>
      <c r="H18" s="439"/>
      <c r="I18" s="435"/>
      <c r="J18" s="435"/>
      <c r="K18" s="435"/>
      <c r="L18" s="435"/>
    </row>
    <row r="19" spans="1:16">
      <c r="A19" s="435"/>
      <c r="B19" s="481"/>
      <c r="C19" s="2823"/>
      <c r="D19" s="2821"/>
      <c r="E19" s="2821"/>
      <c r="F19" s="1738" t="s">
        <v>1601</v>
      </c>
      <c r="G19" s="2825"/>
      <c r="H19" s="439"/>
      <c r="I19" s="435"/>
      <c r="J19" s="435"/>
      <c r="K19" s="435"/>
      <c r="L19" s="435"/>
    </row>
    <row r="20" spans="1:16">
      <c r="A20" s="435"/>
      <c r="B20" s="476"/>
      <c r="C20" s="513"/>
      <c r="D20" s="529"/>
      <c r="E20" s="511"/>
      <c r="F20" s="438"/>
      <c r="G20" s="438"/>
      <c r="H20" s="439"/>
      <c r="I20" s="435"/>
      <c r="J20" s="435"/>
      <c r="K20" s="435"/>
      <c r="L20" s="435"/>
    </row>
    <row r="21" spans="1:16">
      <c r="A21" s="435"/>
      <c r="B21" s="530" t="s">
        <v>598</v>
      </c>
      <c r="C21" s="516">
        <v>0.3</v>
      </c>
      <c r="D21" s="478" t="s">
        <v>732</v>
      </c>
      <c r="E21" s="528" t="s">
        <v>600</v>
      </c>
      <c r="F21" s="531" t="s">
        <v>1602</v>
      </c>
      <c r="G21" s="438"/>
      <c r="H21" s="439"/>
      <c r="I21" s="435"/>
      <c r="J21" s="435"/>
      <c r="K21" s="435"/>
      <c r="L21" s="435"/>
    </row>
    <row r="22" spans="1:16">
      <c r="A22" s="435"/>
      <c r="B22" s="481"/>
      <c r="C22" s="516">
        <v>10</v>
      </c>
      <c r="D22" s="478" t="s">
        <v>732</v>
      </c>
      <c r="E22" s="528" t="s">
        <v>600</v>
      </c>
      <c r="F22" s="531" t="s">
        <v>1603</v>
      </c>
      <c r="G22" s="438"/>
      <c r="H22" s="439"/>
      <c r="I22" s="435"/>
      <c r="J22" s="435"/>
      <c r="K22" s="435"/>
      <c r="L22" s="435"/>
    </row>
    <row r="23" spans="1:16" ht="15.75">
      <c r="A23" s="435"/>
      <c r="B23" s="486" t="s">
        <v>1604</v>
      </c>
      <c r="C23" s="547">
        <f>C21/(C22+C21)*100</f>
        <v>2.9126213592233006</v>
      </c>
      <c r="D23" s="1741" t="s">
        <v>211</v>
      </c>
      <c r="E23" s="511"/>
      <c r="F23" s="438"/>
      <c r="G23" s="438"/>
      <c r="H23" s="439"/>
      <c r="I23" s="435"/>
      <c r="J23" s="435"/>
      <c r="K23" s="435"/>
      <c r="L23" s="435"/>
    </row>
    <row r="24" spans="1:16">
      <c r="A24" s="435"/>
      <c r="B24" s="532"/>
      <c r="C24" s="438"/>
      <c r="D24" s="438"/>
      <c r="E24" s="438"/>
      <c r="F24" s="438"/>
      <c r="G24" s="438"/>
      <c r="H24" s="439"/>
      <c r="I24" s="435"/>
      <c r="J24" s="435"/>
      <c r="K24" s="435"/>
      <c r="L24" s="435"/>
    </row>
    <row r="25" spans="1:16" ht="15.75" thickBot="1">
      <c r="A25" s="435"/>
      <c r="B25" s="534"/>
      <c r="C25" s="535"/>
      <c r="D25" s="448"/>
      <c r="E25" s="449"/>
      <c r="F25" s="448"/>
      <c r="G25" s="448"/>
      <c r="H25" s="450"/>
      <c r="I25" s="435"/>
      <c r="J25" s="435"/>
      <c r="K25" s="435"/>
      <c r="L25" s="435"/>
    </row>
    <row r="26" spans="1:16">
      <c r="A26" s="435"/>
      <c r="B26" s="536"/>
      <c r="C26" s="536"/>
      <c r="D26" s="435"/>
      <c r="E26" s="504"/>
      <c r="F26" s="435"/>
      <c r="G26" s="435"/>
      <c r="H26" s="435"/>
      <c r="I26" s="435"/>
      <c r="J26" s="435"/>
      <c r="K26" s="435"/>
      <c r="L26" s="435"/>
      <c r="M26" s="435"/>
      <c r="N26" s="435"/>
      <c r="O26" s="435"/>
      <c r="P26" s="435"/>
    </row>
    <row r="27" spans="1:16">
      <c r="A27" s="435"/>
      <c r="B27" s="503"/>
      <c r="C27" s="503"/>
      <c r="D27" s="435"/>
      <c r="E27" s="504"/>
      <c r="F27" s="435"/>
      <c r="G27" s="435"/>
      <c r="H27" s="435"/>
      <c r="I27" s="435"/>
      <c r="J27" s="435"/>
      <c r="K27" s="435"/>
      <c r="L27" s="435"/>
      <c r="M27" s="435"/>
      <c r="N27" s="435"/>
      <c r="O27" s="435"/>
      <c r="P27" s="435"/>
    </row>
  </sheetData>
  <mergeCells count="8">
    <mergeCell ref="E18:E19"/>
    <mergeCell ref="C18:D19"/>
    <mergeCell ref="G18:G19"/>
    <mergeCell ref="G1:I1"/>
    <mergeCell ref="D12:F12"/>
    <mergeCell ref="G6:G7"/>
    <mergeCell ref="E6:E7"/>
    <mergeCell ref="D6:D7"/>
  </mergeCells>
  <hyperlinks>
    <hyperlink ref="G1" location="INDEX!A1" display="INDEX!A1"/>
  </hyperlink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8080"/>
  </sheetPr>
  <dimension ref="B1:T97"/>
  <sheetViews>
    <sheetView topLeftCell="A79" zoomScale="82" zoomScaleNormal="82" workbookViewId="0">
      <selection activeCell="H7" sqref="H7"/>
    </sheetView>
  </sheetViews>
  <sheetFormatPr defaultRowHeight="12.75"/>
  <cols>
    <col min="1" max="1" width="2.42578125" style="435" customWidth="1"/>
    <col min="2" max="3" width="11.7109375" style="503" customWidth="1"/>
    <col min="4" max="4" width="9.140625" style="435"/>
    <col min="5" max="5" width="3.42578125" style="504" bestFit="1" customWidth="1"/>
    <col min="6" max="13" width="9.140625" style="435"/>
    <col min="14" max="14" width="20.28515625" style="435" customWidth="1"/>
    <col min="15" max="15" width="11.5703125" style="435" customWidth="1"/>
    <col min="16" max="16" width="5.140625" style="435" bestFit="1" customWidth="1"/>
    <col min="17" max="17" width="3.85546875" style="435" customWidth="1"/>
    <col min="18" max="18" width="36.140625" style="435" bestFit="1" customWidth="1"/>
    <col min="19" max="256" width="9.140625" style="435"/>
    <col min="257" max="257" width="2.42578125" style="435" customWidth="1"/>
    <col min="258" max="259" width="11.7109375" style="435" customWidth="1"/>
    <col min="260" max="260" width="9.140625" style="435"/>
    <col min="261" max="261" width="3.42578125" style="435" bestFit="1" customWidth="1"/>
    <col min="262" max="512" width="9.140625" style="435"/>
    <col min="513" max="513" width="2.42578125" style="435" customWidth="1"/>
    <col min="514" max="515" width="11.7109375" style="435" customWidth="1"/>
    <col min="516" max="516" width="9.140625" style="435"/>
    <col min="517" max="517" width="3.42578125" style="435" bestFit="1" customWidth="1"/>
    <col min="518" max="768" width="9.140625" style="435"/>
    <col min="769" max="769" width="2.42578125" style="435" customWidth="1"/>
    <col min="770" max="771" width="11.7109375" style="435" customWidth="1"/>
    <col min="772" max="772" width="9.140625" style="435"/>
    <col min="773" max="773" width="3.42578125" style="435" bestFit="1" customWidth="1"/>
    <col min="774" max="1024" width="9.140625" style="435"/>
    <col min="1025" max="1025" width="2.42578125" style="435" customWidth="1"/>
    <col min="1026" max="1027" width="11.7109375" style="435" customWidth="1"/>
    <col min="1028" max="1028" width="9.140625" style="435"/>
    <col min="1029" max="1029" width="3.42578125" style="435" bestFit="1" customWidth="1"/>
    <col min="1030" max="1280" width="9.140625" style="435"/>
    <col min="1281" max="1281" width="2.42578125" style="435" customWidth="1"/>
    <col min="1282" max="1283" width="11.7109375" style="435" customWidth="1"/>
    <col min="1284" max="1284" width="9.140625" style="435"/>
    <col min="1285" max="1285" width="3.42578125" style="435" bestFit="1" customWidth="1"/>
    <col min="1286" max="1536" width="9.140625" style="435"/>
    <col min="1537" max="1537" width="2.42578125" style="435" customWidth="1"/>
    <col min="1538" max="1539" width="11.7109375" style="435" customWidth="1"/>
    <col min="1540" max="1540" width="9.140625" style="435"/>
    <col min="1541" max="1541" width="3.42578125" style="435" bestFit="1" customWidth="1"/>
    <col min="1542" max="1792" width="9.140625" style="435"/>
    <col min="1793" max="1793" width="2.42578125" style="435" customWidth="1"/>
    <col min="1794" max="1795" width="11.7109375" style="435" customWidth="1"/>
    <col min="1796" max="1796" width="9.140625" style="435"/>
    <col min="1797" max="1797" width="3.42578125" style="435" bestFit="1" customWidth="1"/>
    <col min="1798" max="2048" width="9.140625" style="435"/>
    <col min="2049" max="2049" width="2.42578125" style="435" customWidth="1"/>
    <col min="2050" max="2051" width="11.7109375" style="435" customWidth="1"/>
    <col min="2052" max="2052" width="9.140625" style="435"/>
    <col min="2053" max="2053" width="3.42578125" style="435" bestFit="1" customWidth="1"/>
    <col min="2054" max="2304" width="9.140625" style="435"/>
    <col min="2305" max="2305" width="2.42578125" style="435" customWidth="1"/>
    <col min="2306" max="2307" width="11.7109375" style="435" customWidth="1"/>
    <col min="2308" max="2308" width="9.140625" style="435"/>
    <col min="2309" max="2309" width="3.42578125" style="435" bestFit="1" customWidth="1"/>
    <col min="2310" max="2560" width="9.140625" style="435"/>
    <col min="2561" max="2561" width="2.42578125" style="435" customWidth="1"/>
    <col min="2562" max="2563" width="11.7109375" style="435" customWidth="1"/>
    <col min="2564" max="2564" width="9.140625" style="435"/>
    <col min="2565" max="2565" width="3.42578125" style="435" bestFit="1" customWidth="1"/>
    <col min="2566" max="2816" width="9.140625" style="435"/>
    <col min="2817" max="2817" width="2.42578125" style="435" customWidth="1"/>
    <col min="2818" max="2819" width="11.7109375" style="435" customWidth="1"/>
    <col min="2820" max="2820" width="9.140625" style="435"/>
    <col min="2821" max="2821" width="3.42578125" style="435" bestFit="1" customWidth="1"/>
    <col min="2822" max="3072" width="9.140625" style="435"/>
    <col min="3073" max="3073" width="2.42578125" style="435" customWidth="1"/>
    <col min="3074" max="3075" width="11.7109375" style="435" customWidth="1"/>
    <col min="3076" max="3076" width="9.140625" style="435"/>
    <col min="3077" max="3077" width="3.42578125" style="435" bestFit="1" customWidth="1"/>
    <col min="3078" max="3328" width="9.140625" style="435"/>
    <col min="3329" max="3329" width="2.42578125" style="435" customWidth="1"/>
    <col min="3330" max="3331" width="11.7109375" style="435" customWidth="1"/>
    <col min="3332" max="3332" width="9.140625" style="435"/>
    <col min="3333" max="3333" width="3.42578125" style="435" bestFit="1" customWidth="1"/>
    <col min="3334" max="3584" width="9.140625" style="435"/>
    <col min="3585" max="3585" width="2.42578125" style="435" customWidth="1"/>
    <col min="3586" max="3587" width="11.7109375" style="435" customWidth="1"/>
    <col min="3588" max="3588" width="9.140625" style="435"/>
    <col min="3589" max="3589" width="3.42578125" style="435" bestFit="1" customWidth="1"/>
    <col min="3590" max="3840" width="9.140625" style="435"/>
    <col min="3841" max="3841" width="2.42578125" style="435" customWidth="1"/>
    <col min="3842" max="3843" width="11.7109375" style="435" customWidth="1"/>
    <col min="3844" max="3844" width="9.140625" style="435"/>
    <col min="3845" max="3845" width="3.42578125" style="435" bestFit="1" customWidth="1"/>
    <col min="3846" max="4096" width="9.140625" style="435"/>
    <col min="4097" max="4097" width="2.42578125" style="435" customWidth="1"/>
    <col min="4098" max="4099" width="11.7109375" style="435" customWidth="1"/>
    <col min="4100" max="4100" width="9.140625" style="435"/>
    <col min="4101" max="4101" width="3.42578125" style="435" bestFit="1" customWidth="1"/>
    <col min="4102" max="4352" width="9.140625" style="435"/>
    <col min="4353" max="4353" width="2.42578125" style="435" customWidth="1"/>
    <col min="4354" max="4355" width="11.7109375" style="435" customWidth="1"/>
    <col min="4356" max="4356" width="9.140625" style="435"/>
    <col min="4357" max="4357" width="3.42578125" style="435" bestFit="1" customWidth="1"/>
    <col min="4358" max="4608" width="9.140625" style="435"/>
    <col min="4609" max="4609" width="2.42578125" style="435" customWidth="1"/>
    <col min="4610" max="4611" width="11.7109375" style="435" customWidth="1"/>
    <col min="4612" max="4612" width="9.140625" style="435"/>
    <col min="4613" max="4613" width="3.42578125" style="435" bestFit="1" customWidth="1"/>
    <col min="4614" max="4864" width="9.140625" style="435"/>
    <col min="4865" max="4865" width="2.42578125" style="435" customWidth="1"/>
    <col min="4866" max="4867" width="11.7109375" style="435" customWidth="1"/>
    <col min="4868" max="4868" width="9.140625" style="435"/>
    <col min="4869" max="4869" width="3.42578125" style="435" bestFit="1" customWidth="1"/>
    <col min="4870" max="5120" width="9.140625" style="435"/>
    <col min="5121" max="5121" width="2.42578125" style="435" customWidth="1"/>
    <col min="5122" max="5123" width="11.7109375" style="435" customWidth="1"/>
    <col min="5124" max="5124" width="9.140625" style="435"/>
    <col min="5125" max="5125" width="3.42578125" style="435" bestFit="1" customWidth="1"/>
    <col min="5126" max="5376" width="9.140625" style="435"/>
    <col min="5377" max="5377" width="2.42578125" style="435" customWidth="1"/>
    <col min="5378" max="5379" width="11.7109375" style="435" customWidth="1"/>
    <col min="5380" max="5380" width="9.140625" style="435"/>
    <col min="5381" max="5381" width="3.42578125" style="435" bestFit="1" customWidth="1"/>
    <col min="5382" max="5632" width="9.140625" style="435"/>
    <col min="5633" max="5633" width="2.42578125" style="435" customWidth="1"/>
    <col min="5634" max="5635" width="11.7109375" style="435" customWidth="1"/>
    <col min="5636" max="5636" width="9.140625" style="435"/>
    <col min="5637" max="5637" width="3.42578125" style="435" bestFit="1" customWidth="1"/>
    <col min="5638" max="5888" width="9.140625" style="435"/>
    <col min="5889" max="5889" width="2.42578125" style="435" customWidth="1"/>
    <col min="5890" max="5891" width="11.7109375" style="435" customWidth="1"/>
    <col min="5892" max="5892" width="9.140625" style="435"/>
    <col min="5893" max="5893" width="3.42578125" style="435" bestFit="1" customWidth="1"/>
    <col min="5894" max="6144" width="9.140625" style="435"/>
    <col min="6145" max="6145" width="2.42578125" style="435" customWidth="1"/>
    <col min="6146" max="6147" width="11.7109375" style="435" customWidth="1"/>
    <col min="6148" max="6148" width="9.140625" style="435"/>
    <col min="6149" max="6149" width="3.42578125" style="435" bestFit="1" customWidth="1"/>
    <col min="6150" max="6400" width="9.140625" style="435"/>
    <col min="6401" max="6401" width="2.42578125" style="435" customWidth="1"/>
    <col min="6402" max="6403" width="11.7109375" style="435" customWidth="1"/>
    <col min="6404" max="6404" width="9.140625" style="435"/>
    <col min="6405" max="6405" width="3.42578125" style="435" bestFit="1" customWidth="1"/>
    <col min="6406" max="6656" width="9.140625" style="435"/>
    <col min="6657" max="6657" width="2.42578125" style="435" customWidth="1"/>
    <col min="6658" max="6659" width="11.7109375" style="435" customWidth="1"/>
    <col min="6660" max="6660" width="9.140625" style="435"/>
    <col min="6661" max="6661" width="3.42578125" style="435" bestFit="1" customWidth="1"/>
    <col min="6662" max="6912" width="9.140625" style="435"/>
    <col min="6913" max="6913" width="2.42578125" style="435" customWidth="1"/>
    <col min="6914" max="6915" width="11.7109375" style="435" customWidth="1"/>
    <col min="6916" max="6916" width="9.140625" style="435"/>
    <col min="6917" max="6917" width="3.42578125" style="435" bestFit="1" customWidth="1"/>
    <col min="6918" max="7168" width="9.140625" style="435"/>
    <col min="7169" max="7169" width="2.42578125" style="435" customWidth="1"/>
    <col min="7170" max="7171" width="11.7109375" style="435" customWidth="1"/>
    <col min="7172" max="7172" width="9.140625" style="435"/>
    <col min="7173" max="7173" width="3.42578125" style="435" bestFit="1" customWidth="1"/>
    <col min="7174" max="7424" width="9.140625" style="435"/>
    <col min="7425" max="7425" width="2.42578125" style="435" customWidth="1"/>
    <col min="7426" max="7427" width="11.7109375" style="435" customWidth="1"/>
    <col min="7428" max="7428" width="9.140625" style="435"/>
    <col min="7429" max="7429" width="3.42578125" style="435" bestFit="1" customWidth="1"/>
    <col min="7430" max="7680" width="9.140625" style="435"/>
    <col min="7681" max="7681" width="2.42578125" style="435" customWidth="1"/>
    <col min="7682" max="7683" width="11.7109375" style="435" customWidth="1"/>
    <col min="7684" max="7684" width="9.140625" style="435"/>
    <col min="7685" max="7685" width="3.42578125" style="435" bestFit="1" customWidth="1"/>
    <col min="7686" max="7936" width="9.140625" style="435"/>
    <col min="7937" max="7937" width="2.42578125" style="435" customWidth="1"/>
    <col min="7938" max="7939" width="11.7109375" style="435" customWidth="1"/>
    <col min="7940" max="7940" width="9.140625" style="435"/>
    <col min="7941" max="7941" width="3.42578125" style="435" bestFit="1" customWidth="1"/>
    <col min="7942" max="8192" width="9.140625" style="435"/>
    <col min="8193" max="8193" width="2.42578125" style="435" customWidth="1"/>
    <col min="8194" max="8195" width="11.7109375" style="435" customWidth="1"/>
    <col min="8196" max="8196" width="9.140625" style="435"/>
    <col min="8197" max="8197" width="3.42578125" style="435" bestFit="1" customWidth="1"/>
    <col min="8198" max="8448" width="9.140625" style="435"/>
    <col min="8449" max="8449" width="2.42578125" style="435" customWidth="1"/>
    <col min="8450" max="8451" width="11.7109375" style="435" customWidth="1"/>
    <col min="8452" max="8452" width="9.140625" style="435"/>
    <col min="8453" max="8453" width="3.42578125" style="435" bestFit="1" customWidth="1"/>
    <col min="8454" max="8704" width="9.140625" style="435"/>
    <col min="8705" max="8705" width="2.42578125" style="435" customWidth="1"/>
    <col min="8706" max="8707" width="11.7109375" style="435" customWidth="1"/>
    <col min="8708" max="8708" width="9.140625" style="435"/>
    <col min="8709" max="8709" width="3.42578125" style="435" bestFit="1" customWidth="1"/>
    <col min="8710" max="8960" width="9.140625" style="435"/>
    <col min="8961" max="8961" width="2.42578125" style="435" customWidth="1"/>
    <col min="8962" max="8963" width="11.7109375" style="435" customWidth="1"/>
    <col min="8964" max="8964" width="9.140625" style="435"/>
    <col min="8965" max="8965" width="3.42578125" style="435" bestFit="1" customWidth="1"/>
    <col min="8966" max="9216" width="9.140625" style="435"/>
    <col min="9217" max="9217" width="2.42578125" style="435" customWidth="1"/>
    <col min="9218" max="9219" width="11.7109375" style="435" customWidth="1"/>
    <col min="9220" max="9220" width="9.140625" style="435"/>
    <col min="9221" max="9221" width="3.42578125" style="435" bestFit="1" customWidth="1"/>
    <col min="9222" max="9472" width="9.140625" style="435"/>
    <col min="9473" max="9473" width="2.42578125" style="435" customWidth="1"/>
    <col min="9474" max="9475" width="11.7109375" style="435" customWidth="1"/>
    <col min="9476" max="9476" width="9.140625" style="435"/>
    <col min="9477" max="9477" width="3.42578125" style="435" bestFit="1" customWidth="1"/>
    <col min="9478" max="9728" width="9.140625" style="435"/>
    <col min="9729" max="9729" width="2.42578125" style="435" customWidth="1"/>
    <col min="9730" max="9731" width="11.7109375" style="435" customWidth="1"/>
    <col min="9732" max="9732" width="9.140625" style="435"/>
    <col min="9733" max="9733" width="3.42578125" style="435" bestFit="1" customWidth="1"/>
    <col min="9734" max="9984" width="9.140625" style="435"/>
    <col min="9985" max="9985" width="2.42578125" style="435" customWidth="1"/>
    <col min="9986" max="9987" width="11.7109375" style="435" customWidth="1"/>
    <col min="9988" max="9988" width="9.140625" style="435"/>
    <col min="9989" max="9989" width="3.42578125" style="435" bestFit="1" customWidth="1"/>
    <col min="9990" max="10240" width="9.140625" style="435"/>
    <col min="10241" max="10241" width="2.42578125" style="435" customWidth="1"/>
    <col min="10242" max="10243" width="11.7109375" style="435" customWidth="1"/>
    <col min="10244" max="10244" width="9.140625" style="435"/>
    <col min="10245" max="10245" width="3.42578125" style="435" bestFit="1" customWidth="1"/>
    <col min="10246" max="10496" width="9.140625" style="435"/>
    <col min="10497" max="10497" width="2.42578125" style="435" customWidth="1"/>
    <col min="10498" max="10499" width="11.7109375" style="435" customWidth="1"/>
    <col min="10500" max="10500" width="9.140625" style="435"/>
    <col min="10501" max="10501" width="3.42578125" style="435" bestFit="1" customWidth="1"/>
    <col min="10502" max="10752" width="9.140625" style="435"/>
    <col min="10753" max="10753" width="2.42578125" style="435" customWidth="1"/>
    <col min="10754" max="10755" width="11.7109375" style="435" customWidth="1"/>
    <col min="10756" max="10756" width="9.140625" style="435"/>
    <col min="10757" max="10757" width="3.42578125" style="435" bestFit="1" customWidth="1"/>
    <col min="10758" max="11008" width="9.140625" style="435"/>
    <col min="11009" max="11009" width="2.42578125" style="435" customWidth="1"/>
    <col min="11010" max="11011" width="11.7109375" style="435" customWidth="1"/>
    <col min="11012" max="11012" width="9.140625" style="435"/>
    <col min="11013" max="11013" width="3.42578125" style="435" bestFit="1" customWidth="1"/>
    <col min="11014" max="11264" width="9.140625" style="435"/>
    <col min="11265" max="11265" width="2.42578125" style="435" customWidth="1"/>
    <col min="11266" max="11267" width="11.7109375" style="435" customWidth="1"/>
    <col min="11268" max="11268" width="9.140625" style="435"/>
    <col min="11269" max="11269" width="3.42578125" style="435" bestFit="1" customWidth="1"/>
    <col min="11270" max="11520" width="9.140625" style="435"/>
    <col min="11521" max="11521" width="2.42578125" style="435" customWidth="1"/>
    <col min="11522" max="11523" width="11.7109375" style="435" customWidth="1"/>
    <col min="11524" max="11524" width="9.140625" style="435"/>
    <col min="11525" max="11525" width="3.42578125" style="435" bestFit="1" customWidth="1"/>
    <col min="11526" max="11776" width="9.140625" style="435"/>
    <col min="11777" max="11777" width="2.42578125" style="435" customWidth="1"/>
    <col min="11778" max="11779" width="11.7109375" style="435" customWidth="1"/>
    <col min="11780" max="11780" width="9.140625" style="435"/>
    <col min="11781" max="11781" width="3.42578125" style="435" bestFit="1" customWidth="1"/>
    <col min="11782" max="12032" width="9.140625" style="435"/>
    <col min="12033" max="12033" width="2.42578125" style="435" customWidth="1"/>
    <col min="12034" max="12035" width="11.7109375" style="435" customWidth="1"/>
    <col min="12036" max="12036" width="9.140625" style="435"/>
    <col min="12037" max="12037" width="3.42578125" style="435" bestFit="1" customWidth="1"/>
    <col min="12038" max="12288" width="9.140625" style="435"/>
    <col min="12289" max="12289" width="2.42578125" style="435" customWidth="1"/>
    <col min="12290" max="12291" width="11.7109375" style="435" customWidth="1"/>
    <col min="12292" max="12292" width="9.140625" style="435"/>
    <col min="12293" max="12293" width="3.42578125" style="435" bestFit="1" customWidth="1"/>
    <col min="12294" max="12544" width="9.140625" style="435"/>
    <col min="12545" max="12545" width="2.42578125" style="435" customWidth="1"/>
    <col min="12546" max="12547" width="11.7109375" style="435" customWidth="1"/>
    <col min="12548" max="12548" width="9.140625" style="435"/>
    <col min="12549" max="12549" width="3.42578125" style="435" bestFit="1" customWidth="1"/>
    <col min="12550" max="12800" width="9.140625" style="435"/>
    <col min="12801" max="12801" width="2.42578125" style="435" customWidth="1"/>
    <col min="12802" max="12803" width="11.7109375" style="435" customWidth="1"/>
    <col min="12804" max="12804" width="9.140625" style="435"/>
    <col min="12805" max="12805" width="3.42578125" style="435" bestFit="1" customWidth="1"/>
    <col min="12806" max="13056" width="9.140625" style="435"/>
    <col min="13057" max="13057" width="2.42578125" style="435" customWidth="1"/>
    <col min="13058" max="13059" width="11.7109375" style="435" customWidth="1"/>
    <col min="13060" max="13060" width="9.140625" style="435"/>
    <col min="13061" max="13061" width="3.42578125" style="435" bestFit="1" customWidth="1"/>
    <col min="13062" max="13312" width="9.140625" style="435"/>
    <col min="13313" max="13313" width="2.42578125" style="435" customWidth="1"/>
    <col min="13314" max="13315" width="11.7109375" style="435" customWidth="1"/>
    <col min="13316" max="13316" width="9.140625" style="435"/>
    <col min="13317" max="13317" width="3.42578125" style="435" bestFit="1" customWidth="1"/>
    <col min="13318" max="13568" width="9.140625" style="435"/>
    <col min="13569" max="13569" width="2.42578125" style="435" customWidth="1"/>
    <col min="13570" max="13571" width="11.7109375" style="435" customWidth="1"/>
    <col min="13572" max="13572" width="9.140625" style="435"/>
    <col min="13573" max="13573" width="3.42578125" style="435" bestFit="1" customWidth="1"/>
    <col min="13574" max="13824" width="9.140625" style="435"/>
    <col min="13825" max="13825" width="2.42578125" style="435" customWidth="1"/>
    <col min="13826" max="13827" width="11.7109375" style="435" customWidth="1"/>
    <col min="13828" max="13828" width="9.140625" style="435"/>
    <col min="13829" max="13829" width="3.42578125" style="435" bestFit="1" customWidth="1"/>
    <col min="13830" max="14080" width="9.140625" style="435"/>
    <col min="14081" max="14081" width="2.42578125" style="435" customWidth="1"/>
    <col min="14082" max="14083" width="11.7109375" style="435" customWidth="1"/>
    <col min="14084" max="14084" width="9.140625" style="435"/>
    <col min="14085" max="14085" width="3.42578125" style="435" bestFit="1" customWidth="1"/>
    <col min="14086" max="14336" width="9.140625" style="435"/>
    <col min="14337" max="14337" width="2.42578125" style="435" customWidth="1"/>
    <col min="14338" max="14339" width="11.7109375" style="435" customWidth="1"/>
    <col min="14340" max="14340" width="9.140625" style="435"/>
    <col min="14341" max="14341" width="3.42578125" style="435" bestFit="1" customWidth="1"/>
    <col min="14342" max="14592" width="9.140625" style="435"/>
    <col min="14593" max="14593" width="2.42578125" style="435" customWidth="1"/>
    <col min="14594" max="14595" width="11.7109375" style="435" customWidth="1"/>
    <col min="14596" max="14596" width="9.140625" style="435"/>
    <col min="14597" max="14597" width="3.42578125" style="435" bestFit="1" customWidth="1"/>
    <col min="14598" max="14848" width="9.140625" style="435"/>
    <col min="14849" max="14849" width="2.42578125" style="435" customWidth="1"/>
    <col min="14850" max="14851" width="11.7109375" style="435" customWidth="1"/>
    <col min="14852" max="14852" width="9.140625" style="435"/>
    <col min="14853" max="14853" width="3.42578125" style="435" bestFit="1" customWidth="1"/>
    <col min="14854" max="15104" width="9.140625" style="435"/>
    <col min="15105" max="15105" width="2.42578125" style="435" customWidth="1"/>
    <col min="15106" max="15107" width="11.7109375" style="435" customWidth="1"/>
    <col min="15108" max="15108" width="9.140625" style="435"/>
    <col min="15109" max="15109" width="3.42578125" style="435" bestFit="1" customWidth="1"/>
    <col min="15110" max="15360" width="9.140625" style="435"/>
    <col min="15361" max="15361" width="2.42578125" style="435" customWidth="1"/>
    <col min="15362" max="15363" width="11.7109375" style="435" customWidth="1"/>
    <col min="15364" max="15364" width="9.140625" style="435"/>
    <col min="15365" max="15365" width="3.42578125" style="435" bestFit="1" customWidth="1"/>
    <col min="15366" max="15616" width="9.140625" style="435"/>
    <col min="15617" max="15617" width="2.42578125" style="435" customWidth="1"/>
    <col min="15618" max="15619" width="11.7109375" style="435" customWidth="1"/>
    <col min="15620" max="15620" width="9.140625" style="435"/>
    <col min="15621" max="15621" width="3.42578125" style="435" bestFit="1" customWidth="1"/>
    <col min="15622" max="15872" width="9.140625" style="435"/>
    <col min="15873" max="15873" width="2.42578125" style="435" customWidth="1"/>
    <col min="15874" max="15875" width="11.7109375" style="435" customWidth="1"/>
    <col min="15876" max="15876" width="9.140625" style="435"/>
    <col min="15877" max="15877" width="3.42578125" style="435" bestFit="1" customWidth="1"/>
    <col min="15878" max="16128" width="9.140625" style="435"/>
    <col min="16129" max="16129" width="2.42578125" style="435" customWidth="1"/>
    <col min="16130" max="16131" width="11.7109375" style="435" customWidth="1"/>
    <col min="16132" max="16132" width="9.140625" style="435"/>
    <col min="16133" max="16133" width="3.42578125" style="435" bestFit="1" customWidth="1"/>
    <col min="16134" max="16384" width="9.140625" style="435"/>
  </cols>
  <sheetData>
    <row r="1" spans="2:20" ht="24" thickBot="1">
      <c r="F1" s="2777" t="s">
        <v>1749</v>
      </c>
      <c r="G1" s="2778"/>
      <c r="H1" s="2779"/>
    </row>
    <row r="3" spans="2:20" ht="13.5" thickBot="1"/>
    <row r="4" spans="2:20" ht="15">
      <c r="B4" s="505" t="s">
        <v>637</v>
      </c>
      <c r="C4" s="506"/>
      <c r="D4" s="507"/>
      <c r="E4" s="508"/>
      <c r="F4" s="507"/>
      <c r="G4" s="507"/>
      <c r="H4" s="507"/>
      <c r="I4" s="507"/>
      <c r="J4" s="507"/>
      <c r="K4" s="507"/>
      <c r="L4" s="509"/>
      <c r="N4" s="505" t="s">
        <v>1899</v>
      </c>
      <c r="O4" s="506"/>
      <c r="P4" s="507"/>
      <c r="Q4" s="508"/>
      <c r="R4" s="509"/>
    </row>
    <row r="5" spans="2:20" ht="15.75" thickBot="1">
      <c r="B5" s="476" t="s">
        <v>638</v>
      </c>
      <c r="C5" s="510"/>
      <c r="D5" s="511"/>
      <c r="E5" s="438"/>
      <c r="F5" s="438"/>
      <c r="G5" s="438"/>
      <c r="H5" s="438"/>
      <c r="I5" s="438"/>
      <c r="J5" s="438"/>
      <c r="K5" s="438"/>
      <c r="L5" s="439"/>
      <c r="N5" s="481"/>
      <c r="O5" s="512"/>
      <c r="P5" s="513"/>
      <c r="Q5" s="479"/>
      <c r="R5" s="2078"/>
    </row>
    <row r="6" spans="2:20" ht="18.75">
      <c r="B6" s="481"/>
      <c r="C6" s="512"/>
      <c r="D6" s="513" t="s">
        <v>639</v>
      </c>
      <c r="E6" s="479" t="s">
        <v>600</v>
      </c>
      <c r="F6" s="514" t="s">
        <v>640</v>
      </c>
      <c r="G6" s="438"/>
      <c r="H6" s="438"/>
      <c r="I6" s="438"/>
      <c r="J6" s="438"/>
      <c r="K6" s="438"/>
      <c r="L6" s="439"/>
      <c r="N6" s="2070" t="s">
        <v>1902</v>
      </c>
      <c r="O6" s="2087">
        <v>0.76</v>
      </c>
      <c r="P6" s="2071" t="s">
        <v>357</v>
      </c>
      <c r="Q6" s="479" t="s">
        <v>600</v>
      </c>
      <c r="R6" s="480" t="s">
        <v>1908</v>
      </c>
    </row>
    <row r="7" spans="2:20" ht="15">
      <c r="B7" s="481"/>
      <c r="C7" s="512"/>
      <c r="D7" s="513"/>
      <c r="E7" s="479"/>
      <c r="F7" s="515"/>
      <c r="G7" s="438"/>
      <c r="H7" s="438"/>
      <c r="I7" s="438"/>
      <c r="J7" s="438"/>
      <c r="K7" s="438"/>
      <c r="L7" s="439"/>
      <c r="N7" s="476"/>
      <c r="O7" s="477">
        <v>1</v>
      </c>
      <c r="P7" s="2074" t="s">
        <v>1901</v>
      </c>
      <c r="Q7" s="479" t="s">
        <v>600</v>
      </c>
      <c r="R7" s="480" t="s">
        <v>1909</v>
      </c>
    </row>
    <row r="8" spans="2:20" ht="18.75">
      <c r="B8" s="476" t="s">
        <v>598</v>
      </c>
      <c r="C8" s="477">
        <v>1.0049999999999999</v>
      </c>
      <c r="D8" s="478" t="s">
        <v>599</v>
      </c>
      <c r="E8" s="479" t="s">
        <v>600</v>
      </c>
      <c r="F8" s="437" t="s">
        <v>641</v>
      </c>
      <c r="G8" s="438"/>
      <c r="H8" s="438"/>
      <c r="I8" s="438"/>
      <c r="J8" s="438"/>
      <c r="K8" s="438"/>
      <c r="L8" s="439"/>
      <c r="N8" s="481"/>
      <c r="O8" s="2073">
        <f>PI()*(O6*O6)/4</f>
        <v>0.45364597917836613</v>
      </c>
      <c r="P8" s="2075" t="s">
        <v>896</v>
      </c>
      <c r="Q8" s="479" t="s">
        <v>600</v>
      </c>
      <c r="R8" s="480" t="s">
        <v>1900</v>
      </c>
    </row>
    <row r="9" spans="2:20" ht="19.5" thickBot="1">
      <c r="B9" s="481"/>
      <c r="C9" s="477">
        <v>0.97</v>
      </c>
      <c r="D9" s="478" t="s">
        <v>642</v>
      </c>
      <c r="E9" s="479" t="s">
        <v>600</v>
      </c>
      <c r="F9" s="437" t="s">
        <v>643</v>
      </c>
      <c r="G9" s="438"/>
      <c r="H9" s="438"/>
      <c r="I9" s="438"/>
      <c r="J9" s="438"/>
      <c r="K9" s="438"/>
      <c r="L9" s="439"/>
      <c r="N9" s="446"/>
      <c r="O9" s="2076">
        <f>O8*O7</f>
        <v>0.45364597917836613</v>
      </c>
      <c r="P9" s="2072" t="s">
        <v>896</v>
      </c>
      <c r="Q9" s="479" t="s">
        <v>600</v>
      </c>
      <c r="R9" s="480" t="s">
        <v>1912</v>
      </c>
    </row>
    <row r="10" spans="2:20" ht="14.25">
      <c r="B10" s="481"/>
      <c r="C10" s="477">
        <v>3050</v>
      </c>
      <c r="D10" s="478" t="s">
        <v>215</v>
      </c>
      <c r="E10" s="479" t="s">
        <v>600</v>
      </c>
      <c r="F10" s="437" t="s">
        <v>644</v>
      </c>
      <c r="G10" s="438"/>
      <c r="H10" s="438"/>
      <c r="I10" s="438"/>
      <c r="J10" s="438"/>
      <c r="K10" s="438"/>
      <c r="L10" s="439"/>
      <c r="N10" s="2070" t="s">
        <v>1903</v>
      </c>
      <c r="O10" s="2085">
        <v>3</v>
      </c>
      <c r="P10" s="2071"/>
      <c r="Q10" s="479" t="s">
        <v>600</v>
      </c>
      <c r="R10" s="480" t="s">
        <v>1904</v>
      </c>
    </row>
    <row r="11" spans="2:20" ht="16.5">
      <c r="B11" s="481"/>
      <c r="C11" s="517">
        <v>9.7899999999999991</v>
      </c>
      <c r="D11" s="518"/>
      <c r="E11" s="479" t="s">
        <v>600</v>
      </c>
      <c r="F11" s="437" t="s">
        <v>645</v>
      </c>
      <c r="G11" s="438"/>
      <c r="H11" s="438"/>
      <c r="I11" s="438"/>
      <c r="J11" s="438"/>
      <c r="K11" s="438"/>
      <c r="L11" s="439"/>
      <c r="N11" s="481"/>
      <c r="O11" s="2086">
        <v>3</v>
      </c>
      <c r="P11" s="2074"/>
      <c r="Q11" s="479" t="s">
        <v>600</v>
      </c>
      <c r="R11" s="480" t="s">
        <v>1905</v>
      </c>
      <c r="T11" s="418"/>
    </row>
    <row r="12" spans="2:20" ht="16.5" thickBot="1">
      <c r="B12" s="486" t="s">
        <v>646</v>
      </c>
      <c r="C12" s="547">
        <f>(C8-C9)*C10*C11</f>
        <v>1045.0824999999975</v>
      </c>
      <c r="D12" s="520" t="s">
        <v>220</v>
      </c>
      <c r="E12" s="511"/>
      <c r="F12" s="438"/>
      <c r="G12" s="438"/>
      <c r="H12" s="438"/>
      <c r="I12" s="438"/>
      <c r="J12" s="438"/>
      <c r="K12" s="438"/>
      <c r="L12" s="439"/>
      <c r="N12" s="488"/>
      <c r="O12" s="2082">
        <f>O10*O11</f>
        <v>9</v>
      </c>
      <c r="P12" s="2083" t="s">
        <v>896</v>
      </c>
      <c r="Q12" s="479" t="s">
        <v>600</v>
      </c>
      <c r="R12" s="480" t="s">
        <v>1881</v>
      </c>
    </row>
    <row r="13" spans="2:20" ht="15" thickBot="1">
      <c r="B13" s="476"/>
      <c r="C13" s="513"/>
      <c r="D13" s="438"/>
      <c r="E13" s="511"/>
      <c r="F13" s="438"/>
      <c r="G13" s="438"/>
      <c r="H13" s="438"/>
      <c r="I13" s="438"/>
      <c r="J13" s="438"/>
      <c r="K13" s="438"/>
      <c r="L13" s="439"/>
      <c r="N13" s="489"/>
      <c r="O13" s="438"/>
      <c r="P13" s="438"/>
      <c r="Q13" s="438"/>
      <c r="R13" s="439"/>
    </row>
    <row r="14" spans="2:20" ht="16.5" thickBot="1">
      <c r="B14" s="521"/>
      <c r="C14" s="522"/>
      <c r="D14" s="448"/>
      <c r="E14" s="449"/>
      <c r="F14" s="448"/>
      <c r="G14" s="448"/>
      <c r="H14" s="448"/>
      <c r="I14" s="448"/>
      <c r="J14" s="448"/>
      <c r="K14" s="448"/>
      <c r="L14" s="450"/>
      <c r="N14" s="2079" t="s">
        <v>1906</v>
      </c>
      <c r="O14" s="2080">
        <f>(O9/O12)*100</f>
        <v>5.0405108797596236</v>
      </c>
      <c r="P14" s="2081" t="s">
        <v>211</v>
      </c>
      <c r="Q14" s="449"/>
      <c r="R14" s="450"/>
    </row>
    <row r="15" spans="2:20" ht="15" thickBot="1">
      <c r="B15" s="523"/>
      <c r="C15" s="523"/>
    </row>
    <row r="16" spans="2:20" ht="15">
      <c r="B16" s="505" t="s">
        <v>637</v>
      </c>
      <c r="C16" s="524"/>
      <c r="D16" s="507"/>
      <c r="E16" s="508"/>
      <c r="F16" s="507"/>
      <c r="G16" s="507"/>
      <c r="H16" s="507"/>
      <c r="I16" s="507"/>
      <c r="J16" s="507"/>
      <c r="K16" s="507"/>
      <c r="L16" s="509"/>
      <c r="N16" s="505" t="s">
        <v>1899</v>
      </c>
      <c r="O16" s="506"/>
      <c r="P16" s="507"/>
      <c r="Q16" s="508"/>
      <c r="R16" s="509"/>
    </row>
    <row r="17" spans="2:18" ht="15.75" thickBot="1">
      <c r="B17" s="476" t="s">
        <v>647</v>
      </c>
      <c r="C17" s="513"/>
      <c r="D17" s="525"/>
      <c r="E17" s="511"/>
      <c r="F17" s="438"/>
      <c r="G17" s="438"/>
      <c r="H17" s="438"/>
      <c r="I17" s="438"/>
      <c r="J17" s="438"/>
      <c r="K17" s="438"/>
      <c r="L17" s="439"/>
      <c r="N17" s="481"/>
      <c r="O17" s="512"/>
      <c r="P17" s="513"/>
      <c r="Q17" s="479"/>
      <c r="R17" s="2078"/>
    </row>
    <row r="18" spans="2:18" ht="15">
      <c r="B18" s="481"/>
      <c r="C18" s="526"/>
      <c r="D18" s="526" t="s">
        <v>648</v>
      </c>
      <c r="E18" s="527" t="s">
        <v>600</v>
      </c>
      <c r="F18" s="528" t="s">
        <v>649</v>
      </c>
      <c r="G18" s="438"/>
      <c r="H18" s="438"/>
      <c r="I18" s="438"/>
      <c r="J18" s="438"/>
      <c r="K18" s="438"/>
      <c r="L18" s="439"/>
      <c r="N18" s="2070" t="s">
        <v>1907</v>
      </c>
      <c r="O18" s="2084">
        <v>2.5</v>
      </c>
      <c r="P18" s="2071" t="s">
        <v>357</v>
      </c>
      <c r="Q18" s="479" t="s">
        <v>600</v>
      </c>
      <c r="R18" s="480" t="s">
        <v>1910</v>
      </c>
    </row>
    <row r="19" spans="2:18" ht="15">
      <c r="B19" s="481"/>
      <c r="C19" s="513"/>
      <c r="D19" s="513" t="s">
        <v>639</v>
      </c>
      <c r="E19" s="527" t="s">
        <v>600</v>
      </c>
      <c r="F19" s="438"/>
      <c r="G19" s="438"/>
      <c r="H19" s="438"/>
      <c r="I19" s="438"/>
      <c r="J19" s="438"/>
      <c r="K19" s="438"/>
      <c r="L19" s="439"/>
      <c r="N19" s="476"/>
      <c r="O19" s="477">
        <v>0.5</v>
      </c>
      <c r="P19" s="2074" t="s">
        <v>357</v>
      </c>
      <c r="Q19" s="479" t="s">
        <v>600</v>
      </c>
      <c r="R19" s="480" t="s">
        <v>1911</v>
      </c>
    </row>
    <row r="20" spans="2:18" ht="15" thickBot="1">
      <c r="B20" s="476"/>
      <c r="C20" s="513"/>
      <c r="D20" s="529"/>
      <c r="E20" s="511"/>
      <c r="F20" s="438"/>
      <c r="G20" s="438"/>
      <c r="H20" s="438"/>
      <c r="I20" s="438"/>
      <c r="J20" s="438"/>
      <c r="K20" s="438"/>
      <c r="L20" s="439"/>
      <c r="N20" s="481"/>
      <c r="O20" s="2077">
        <f>O18*O19</f>
        <v>1.25</v>
      </c>
      <c r="P20" s="2075" t="s">
        <v>896</v>
      </c>
      <c r="Q20" s="479" t="s">
        <v>600</v>
      </c>
      <c r="R20" s="480" t="s">
        <v>1913</v>
      </c>
    </row>
    <row r="21" spans="2:18" ht="14.25">
      <c r="B21" s="530" t="s">
        <v>598</v>
      </c>
      <c r="C21" s="477">
        <f>C22*C23</f>
        <v>0</v>
      </c>
      <c r="D21" s="478" t="s">
        <v>650</v>
      </c>
      <c r="E21" s="528" t="s">
        <v>600</v>
      </c>
      <c r="F21" s="531" t="s">
        <v>651</v>
      </c>
      <c r="G21" s="438"/>
      <c r="H21" s="438"/>
      <c r="I21" s="438"/>
      <c r="J21" s="438"/>
      <c r="K21" s="438"/>
      <c r="L21" s="439"/>
      <c r="N21" s="2070" t="s">
        <v>1903</v>
      </c>
      <c r="O21" s="2085">
        <v>3</v>
      </c>
      <c r="P21" s="2071"/>
      <c r="Q21" s="479" t="s">
        <v>600</v>
      </c>
      <c r="R21" s="480" t="s">
        <v>1904</v>
      </c>
    </row>
    <row r="22" spans="2:18" ht="14.25">
      <c r="B22" s="481"/>
      <c r="C22" s="477"/>
      <c r="D22" s="478" t="s">
        <v>191</v>
      </c>
      <c r="E22" s="528" t="s">
        <v>600</v>
      </c>
      <c r="F22" s="531" t="s">
        <v>652</v>
      </c>
      <c r="G22" s="438"/>
      <c r="H22" s="438"/>
      <c r="I22" s="438"/>
      <c r="J22" s="438"/>
      <c r="K22" s="438"/>
      <c r="L22" s="439"/>
      <c r="N22" s="481"/>
      <c r="O22" s="2086">
        <v>3</v>
      </c>
      <c r="P22" s="2074"/>
      <c r="Q22" s="479" t="s">
        <v>600</v>
      </c>
      <c r="R22" s="480" t="s">
        <v>1905</v>
      </c>
    </row>
    <row r="23" spans="2:18" ht="17.25" thickBot="1">
      <c r="B23" s="481"/>
      <c r="C23" s="477"/>
      <c r="D23" s="478" t="s">
        <v>201</v>
      </c>
      <c r="E23" s="528" t="s">
        <v>600</v>
      </c>
      <c r="F23" s="531" t="s">
        <v>653</v>
      </c>
      <c r="G23" s="438"/>
      <c r="H23" s="438"/>
      <c r="I23" s="438"/>
      <c r="J23" s="438"/>
      <c r="K23" s="438"/>
      <c r="L23" s="439"/>
      <c r="N23" s="488"/>
      <c r="O23" s="2082">
        <f>O21*O22</f>
        <v>9</v>
      </c>
      <c r="P23" s="2083" t="s">
        <v>896</v>
      </c>
      <c r="Q23" s="479" t="s">
        <v>600</v>
      </c>
      <c r="R23" s="480" t="s">
        <v>1881</v>
      </c>
    </row>
    <row r="24" spans="2:18" ht="16.5" thickBot="1">
      <c r="B24" s="486" t="s">
        <v>646</v>
      </c>
      <c r="C24" s="519" t="e">
        <f>C21/C23</f>
        <v>#DIV/0!</v>
      </c>
      <c r="D24" s="520" t="s">
        <v>220</v>
      </c>
      <c r="E24" s="511"/>
      <c r="F24" s="438"/>
      <c r="G24" s="438"/>
      <c r="H24" s="438"/>
      <c r="I24" s="438"/>
      <c r="J24" s="438"/>
      <c r="K24" s="438"/>
      <c r="L24" s="439"/>
      <c r="N24" s="489"/>
      <c r="O24" s="438"/>
      <c r="P24" s="438"/>
      <c r="Q24" s="438"/>
      <c r="R24" s="439"/>
    </row>
    <row r="25" spans="2:18" ht="16.5" thickBot="1">
      <c r="B25" s="532"/>
      <c r="C25" s="533"/>
      <c r="D25" s="438"/>
      <c r="E25" s="511"/>
      <c r="F25" s="438"/>
      <c r="G25" s="438"/>
      <c r="H25" s="438"/>
      <c r="I25" s="438"/>
      <c r="J25" s="438"/>
      <c r="K25" s="438"/>
      <c r="L25" s="439"/>
      <c r="N25" s="2079" t="s">
        <v>1906</v>
      </c>
      <c r="O25" s="2080">
        <f>(O20/O23)*100</f>
        <v>13.888888888888889</v>
      </c>
      <c r="P25" s="2081" t="s">
        <v>211</v>
      </c>
      <c r="Q25" s="449"/>
      <c r="R25" s="450"/>
    </row>
    <row r="26" spans="2:18" ht="15.75" thickBot="1">
      <c r="B26" s="534"/>
      <c r="C26" s="535"/>
      <c r="D26" s="448"/>
      <c r="E26" s="449"/>
      <c r="F26" s="448"/>
      <c r="G26" s="448"/>
      <c r="H26" s="448"/>
      <c r="I26" s="448"/>
      <c r="J26" s="448"/>
      <c r="K26" s="448"/>
      <c r="L26" s="450"/>
    </row>
    <row r="27" spans="2:18" ht="15.75" thickBot="1">
      <c r="B27" s="536"/>
      <c r="C27" s="536"/>
    </row>
    <row r="28" spans="2:18" ht="15">
      <c r="B28" s="537" t="s">
        <v>654</v>
      </c>
      <c r="C28" s="538"/>
      <c r="D28" s="507"/>
      <c r="E28" s="508"/>
      <c r="F28" s="507"/>
      <c r="G28" s="507"/>
      <c r="H28" s="507"/>
      <c r="I28" s="507"/>
      <c r="J28" s="507"/>
      <c r="K28" s="507"/>
      <c r="L28" s="509"/>
    </row>
    <row r="29" spans="2:18" ht="14.25">
      <c r="B29" s="481"/>
      <c r="C29" s="512"/>
      <c r="D29" s="437" t="s">
        <v>655</v>
      </c>
      <c r="E29" s="479" t="s">
        <v>656</v>
      </c>
      <c r="F29" s="438"/>
      <c r="G29" s="438"/>
      <c r="H29" s="438"/>
      <c r="I29" s="438"/>
      <c r="J29" s="438"/>
      <c r="K29" s="438"/>
      <c r="L29" s="439"/>
    </row>
    <row r="30" spans="2:18" ht="14.25">
      <c r="B30" s="481"/>
      <c r="C30" s="512"/>
      <c r="D30" s="437"/>
      <c r="E30" s="479"/>
      <c r="F30" s="438"/>
      <c r="G30" s="438"/>
      <c r="H30" s="438"/>
      <c r="I30" s="438"/>
      <c r="J30" s="438"/>
      <c r="K30" s="438"/>
      <c r="L30" s="439"/>
    </row>
    <row r="31" spans="2:18" ht="16.5">
      <c r="B31" s="476" t="s">
        <v>598</v>
      </c>
      <c r="C31" s="477"/>
      <c r="D31" s="539" t="s">
        <v>205</v>
      </c>
      <c r="E31" s="479" t="s">
        <v>600</v>
      </c>
      <c r="F31" s="437" t="s">
        <v>657</v>
      </c>
      <c r="G31" s="438"/>
      <c r="H31" s="438"/>
      <c r="I31" s="438"/>
      <c r="J31" s="438"/>
      <c r="K31" s="438"/>
      <c r="L31" s="439"/>
    </row>
    <row r="32" spans="2:18" ht="14.25">
      <c r="B32" s="481"/>
      <c r="C32" s="477"/>
      <c r="D32" s="539" t="s">
        <v>658</v>
      </c>
      <c r="E32" s="479" t="s">
        <v>600</v>
      </c>
      <c r="F32" s="437" t="s">
        <v>659</v>
      </c>
      <c r="G32" s="438"/>
      <c r="H32" s="438"/>
      <c r="I32" s="438"/>
      <c r="J32" s="438"/>
      <c r="K32" s="438"/>
      <c r="L32" s="439"/>
    </row>
    <row r="33" spans="2:12" ht="14.25">
      <c r="B33" s="481"/>
      <c r="C33" s="477"/>
      <c r="D33" s="539" t="s">
        <v>660</v>
      </c>
      <c r="E33" s="479" t="s">
        <v>600</v>
      </c>
      <c r="F33" s="437" t="s">
        <v>661</v>
      </c>
      <c r="G33" s="438"/>
      <c r="H33" s="438"/>
      <c r="I33" s="438"/>
      <c r="J33" s="438"/>
      <c r="K33" s="438"/>
      <c r="L33" s="439"/>
    </row>
    <row r="34" spans="2:12" ht="17.25">
      <c r="B34" s="481"/>
      <c r="C34" s="477"/>
      <c r="D34" s="540" t="s">
        <v>357</v>
      </c>
      <c r="E34" s="479" t="s">
        <v>600</v>
      </c>
      <c r="F34" s="437" t="s">
        <v>662</v>
      </c>
      <c r="G34" s="438"/>
      <c r="H34" s="438"/>
      <c r="I34" s="438"/>
      <c r="J34" s="438"/>
      <c r="K34" s="438"/>
      <c r="L34" s="439"/>
    </row>
    <row r="35" spans="2:12" ht="15.75">
      <c r="B35" s="541" t="s">
        <v>663</v>
      </c>
      <c r="C35" s="519" t="e">
        <f>(C31*C32*C33)/C34</f>
        <v>#DIV/0!</v>
      </c>
      <c r="D35" s="542"/>
      <c r="E35" s="479" t="s">
        <v>600</v>
      </c>
      <c r="F35" s="437" t="s">
        <v>664</v>
      </c>
      <c r="G35" s="438"/>
      <c r="H35" s="438"/>
      <c r="I35" s="438"/>
      <c r="J35" s="438"/>
      <c r="K35" s="438"/>
      <c r="L35" s="439"/>
    </row>
    <row r="36" spans="2:12">
      <c r="B36" s="481"/>
      <c r="C36" s="512"/>
      <c r="D36" s="438"/>
      <c r="E36" s="511"/>
      <c r="F36" s="438"/>
      <c r="G36" s="438"/>
      <c r="H36" s="438"/>
      <c r="I36" s="438"/>
      <c r="J36" s="438"/>
      <c r="K36" s="438"/>
      <c r="L36" s="439"/>
    </row>
    <row r="37" spans="2:12" ht="13.5" thickBot="1">
      <c r="B37" s="446"/>
      <c r="C37" s="447"/>
      <c r="D37" s="448"/>
      <c r="E37" s="449"/>
      <c r="F37" s="448"/>
      <c r="G37" s="448"/>
      <c r="H37" s="448"/>
      <c r="I37" s="448"/>
      <c r="J37" s="448"/>
      <c r="K37" s="448"/>
      <c r="L37" s="450"/>
    </row>
    <row r="38" spans="2:12" ht="13.5" thickBot="1"/>
    <row r="39" spans="2:12" ht="15">
      <c r="B39" s="543" t="s">
        <v>665</v>
      </c>
      <c r="C39" s="507"/>
      <c r="D39" s="507"/>
      <c r="E39" s="507"/>
      <c r="F39" s="507"/>
      <c r="G39" s="507"/>
      <c r="H39" s="507"/>
      <c r="I39" s="507"/>
      <c r="J39" s="507"/>
      <c r="K39" s="507"/>
      <c r="L39" s="509"/>
    </row>
    <row r="40" spans="2:12" ht="15">
      <c r="B40" s="544"/>
      <c r="C40" s="438"/>
      <c r="D40" s="438"/>
      <c r="E40" s="438"/>
      <c r="F40" s="438"/>
      <c r="G40" s="438"/>
      <c r="H40" s="438"/>
      <c r="I40" s="438"/>
      <c r="J40" s="438"/>
      <c r="K40" s="438"/>
      <c r="L40" s="439"/>
    </row>
    <row r="41" spans="2:12" ht="14.25">
      <c r="B41" s="545" t="s">
        <v>666</v>
      </c>
      <c r="C41" s="438"/>
      <c r="D41" s="438" t="s">
        <v>667</v>
      </c>
      <c r="E41" s="546" t="s">
        <v>600</v>
      </c>
      <c r="F41" s="437" t="s">
        <v>668</v>
      </c>
      <c r="G41" s="438"/>
      <c r="H41" s="438"/>
      <c r="I41" s="438"/>
      <c r="J41" s="438"/>
      <c r="K41" s="438"/>
      <c r="L41" s="439"/>
    </row>
    <row r="42" spans="2:12" ht="14.25">
      <c r="B42" s="436"/>
      <c r="C42" s="437"/>
      <c r="D42" s="438"/>
      <c r="E42" s="438"/>
      <c r="F42" s="438"/>
      <c r="G42" s="438"/>
      <c r="H42" s="438"/>
      <c r="I42" s="438"/>
      <c r="J42" s="438"/>
      <c r="K42" s="438"/>
      <c r="L42" s="439"/>
    </row>
    <row r="43" spans="2:12" ht="14.25">
      <c r="B43" s="436"/>
      <c r="C43" s="437"/>
      <c r="D43" s="437"/>
      <c r="E43" s="438"/>
      <c r="F43" s="438"/>
      <c r="G43" s="438"/>
      <c r="H43" s="438"/>
      <c r="I43" s="438"/>
      <c r="J43" s="438"/>
      <c r="K43" s="438"/>
      <c r="L43" s="439"/>
    </row>
    <row r="44" spans="2:12" ht="14.25">
      <c r="B44" s="436" t="s">
        <v>598</v>
      </c>
      <c r="C44" s="2266"/>
      <c r="D44" s="539" t="s">
        <v>669</v>
      </c>
      <c r="E44" s="437" t="s">
        <v>600</v>
      </c>
      <c r="F44" s="437" t="s">
        <v>670</v>
      </c>
      <c r="G44" s="438"/>
      <c r="H44" s="438"/>
      <c r="I44" s="438"/>
      <c r="J44" s="438"/>
      <c r="K44" s="438"/>
      <c r="L44" s="439"/>
    </row>
    <row r="45" spans="2:12" ht="14.25">
      <c r="B45" s="489"/>
      <c r="C45" s="477"/>
      <c r="D45" s="539" t="s">
        <v>191</v>
      </c>
      <c r="E45" s="437" t="s">
        <v>600</v>
      </c>
      <c r="F45" s="437" t="s">
        <v>671</v>
      </c>
      <c r="G45" s="438"/>
      <c r="H45" s="438"/>
      <c r="I45" s="438"/>
      <c r="J45" s="438"/>
      <c r="K45" s="438"/>
      <c r="L45" s="439"/>
    </row>
    <row r="46" spans="2:12" ht="16.5">
      <c r="B46" s="489"/>
      <c r="C46" s="477"/>
      <c r="D46" s="539" t="s">
        <v>201</v>
      </c>
      <c r="E46" s="437" t="s">
        <v>600</v>
      </c>
      <c r="F46" s="437" t="s">
        <v>672</v>
      </c>
      <c r="G46" s="438"/>
      <c r="H46" s="438"/>
      <c r="I46" s="438"/>
      <c r="J46" s="438"/>
      <c r="K46" s="438"/>
      <c r="L46" s="439"/>
    </row>
    <row r="47" spans="2:12" ht="14.25">
      <c r="B47" s="489"/>
      <c r="C47" s="477"/>
      <c r="D47" s="539" t="s">
        <v>658</v>
      </c>
      <c r="E47" s="437" t="s">
        <v>600</v>
      </c>
      <c r="F47" s="437" t="s">
        <v>659</v>
      </c>
      <c r="G47" s="438"/>
      <c r="H47" s="438"/>
      <c r="I47" s="438"/>
      <c r="J47" s="438"/>
      <c r="K47" s="438"/>
      <c r="L47" s="439"/>
    </row>
    <row r="48" spans="2:12" ht="14.25">
      <c r="B48" s="489"/>
      <c r="C48" s="477"/>
      <c r="D48" s="539" t="s">
        <v>673</v>
      </c>
      <c r="E48" s="437" t="s">
        <v>600</v>
      </c>
      <c r="F48" s="437" t="s">
        <v>674</v>
      </c>
      <c r="G48" s="438"/>
      <c r="H48" s="438"/>
      <c r="I48" s="438"/>
      <c r="J48" s="438"/>
      <c r="K48" s="438"/>
      <c r="L48" s="439"/>
    </row>
    <row r="49" spans="2:12" ht="16.5">
      <c r="B49" s="489"/>
      <c r="C49" s="483">
        <v>9.7899999999999991</v>
      </c>
      <c r="D49" s="539" t="s">
        <v>675</v>
      </c>
      <c r="E49" s="437" t="s">
        <v>600</v>
      </c>
      <c r="F49" s="437" t="s">
        <v>676</v>
      </c>
      <c r="G49" s="438"/>
      <c r="H49" s="438"/>
      <c r="I49" s="438"/>
      <c r="J49" s="438"/>
      <c r="K49" s="438"/>
      <c r="L49" s="439"/>
    </row>
    <row r="50" spans="2:12" ht="15.75">
      <c r="B50" s="541" t="s">
        <v>668</v>
      </c>
      <c r="C50" s="519">
        <f>C44+(C45*C46)+((C47*C47)/2)+(C48*C49)</f>
        <v>0</v>
      </c>
      <c r="D50" s="511"/>
      <c r="E50" s="511"/>
      <c r="F50" s="438"/>
      <c r="G50" s="438"/>
      <c r="H50" s="438"/>
      <c r="I50" s="438"/>
      <c r="J50" s="438"/>
      <c r="K50" s="438"/>
      <c r="L50" s="439"/>
    </row>
    <row r="51" spans="2:12" ht="13.5" thickBot="1">
      <c r="B51" s="446"/>
      <c r="C51" s="447"/>
      <c r="D51" s="448"/>
      <c r="E51" s="449"/>
      <c r="F51" s="448"/>
      <c r="G51" s="448"/>
      <c r="H51" s="448"/>
      <c r="I51" s="448"/>
      <c r="J51" s="448"/>
      <c r="K51" s="448"/>
      <c r="L51" s="450"/>
    </row>
    <row r="53" spans="2:12" ht="13.5" thickBot="1"/>
    <row r="54" spans="2:12" ht="15">
      <c r="B54" s="505" t="s">
        <v>677</v>
      </c>
      <c r="C54" s="506"/>
      <c r="D54" s="507"/>
      <c r="E54" s="508"/>
      <c r="F54" s="507"/>
      <c r="G54" s="507"/>
      <c r="H54" s="507"/>
      <c r="I54" s="507"/>
      <c r="J54" s="507"/>
      <c r="K54" s="507"/>
      <c r="L54" s="509"/>
    </row>
    <row r="55" spans="2:12" ht="14.25">
      <c r="B55" s="481"/>
      <c r="C55" s="512"/>
      <c r="D55" s="513"/>
      <c r="E55" s="479"/>
      <c r="F55" s="515"/>
      <c r="G55" s="438"/>
      <c r="H55" s="438"/>
      <c r="I55" s="438"/>
      <c r="J55" s="438"/>
      <c r="K55" s="438"/>
      <c r="L55" s="439"/>
    </row>
    <row r="56" spans="2:12" ht="14.25">
      <c r="B56" s="476" t="s">
        <v>598</v>
      </c>
      <c r="C56" s="2086">
        <v>87.5</v>
      </c>
      <c r="D56" s="478" t="s">
        <v>192</v>
      </c>
      <c r="E56" s="479" t="s">
        <v>600</v>
      </c>
      <c r="F56" s="437" t="s">
        <v>538</v>
      </c>
      <c r="G56" s="438"/>
      <c r="H56" s="438"/>
      <c r="I56" s="438"/>
      <c r="J56" s="438"/>
      <c r="K56" s="438"/>
      <c r="L56" s="439"/>
    </row>
    <row r="57" spans="2:12" ht="14.25">
      <c r="B57" s="481"/>
      <c r="C57" s="477">
        <v>2.04</v>
      </c>
      <c r="D57" s="478" t="s">
        <v>678</v>
      </c>
      <c r="E57" s="479" t="s">
        <v>600</v>
      </c>
      <c r="F57" s="437" t="s">
        <v>679</v>
      </c>
      <c r="G57" s="438"/>
      <c r="H57" s="438"/>
      <c r="I57" s="438"/>
      <c r="J57" s="438"/>
      <c r="K57" s="438"/>
      <c r="L57" s="439"/>
    </row>
    <row r="58" spans="2:12" ht="14.25">
      <c r="C58" s="477">
        <v>1.1499999999999999</v>
      </c>
      <c r="D58" s="478" t="s">
        <v>1376</v>
      </c>
    </row>
    <row r="59" spans="2:12" ht="16.5">
      <c r="B59" s="481"/>
      <c r="C59" s="517">
        <v>9.7899999999999991</v>
      </c>
      <c r="D59" s="518"/>
      <c r="E59" s="479" t="s">
        <v>600</v>
      </c>
      <c r="F59" s="437" t="s">
        <v>645</v>
      </c>
      <c r="G59" s="438"/>
      <c r="H59" s="438"/>
      <c r="I59" s="438"/>
      <c r="J59" s="438"/>
      <c r="K59" s="438"/>
      <c r="L59" s="439"/>
    </row>
    <row r="60" spans="2:12" ht="15.75">
      <c r="B60" s="486" t="s">
        <v>646</v>
      </c>
      <c r="C60" s="547">
        <f>C56+(C57*C59)*C58</f>
        <v>110.46733999999999</v>
      </c>
      <c r="D60" s="520" t="s">
        <v>192</v>
      </c>
      <c r="E60" s="511"/>
      <c r="F60" s="438"/>
      <c r="G60" s="438"/>
      <c r="H60" s="438"/>
      <c r="I60" s="438"/>
      <c r="J60" s="438"/>
      <c r="K60" s="438"/>
      <c r="L60" s="439"/>
    </row>
    <row r="61" spans="2:12" ht="14.25">
      <c r="B61" s="476"/>
      <c r="C61" s="513"/>
      <c r="D61" s="438"/>
      <c r="E61" s="511"/>
      <c r="F61" s="438"/>
      <c r="G61" s="438"/>
      <c r="H61" s="438"/>
      <c r="I61" s="438"/>
      <c r="J61" s="438"/>
      <c r="K61" s="438"/>
      <c r="L61" s="439"/>
    </row>
    <row r="62" spans="2:12" ht="15" thickBot="1">
      <c r="B62" s="521"/>
      <c r="C62" s="522"/>
      <c r="D62" s="448"/>
      <c r="E62" s="449"/>
      <c r="F62" s="448"/>
      <c r="G62" s="448"/>
      <c r="H62" s="448"/>
      <c r="I62" s="448"/>
      <c r="J62" s="448"/>
      <c r="K62" s="448"/>
      <c r="L62" s="450"/>
    </row>
    <row r="64" spans="2:12" ht="13.5" thickBot="1"/>
    <row r="65" spans="2:12" ht="15">
      <c r="B65" s="537" t="s">
        <v>680</v>
      </c>
      <c r="C65" s="538"/>
      <c r="D65" s="507"/>
      <c r="E65" s="508"/>
      <c r="F65" s="507"/>
      <c r="G65" s="548" t="s">
        <v>681</v>
      </c>
      <c r="H65" s="548"/>
      <c r="I65" s="507"/>
      <c r="J65" s="507"/>
      <c r="K65" s="507"/>
      <c r="L65" s="509"/>
    </row>
    <row r="66" spans="2:12" ht="14.25">
      <c r="B66" s="481"/>
      <c r="C66" s="512"/>
      <c r="D66" s="437" t="s">
        <v>655</v>
      </c>
      <c r="E66" s="479" t="s">
        <v>656</v>
      </c>
      <c r="F66" s="438"/>
      <c r="G66" s="549" t="s">
        <v>682</v>
      </c>
      <c r="H66" s="438"/>
      <c r="I66" s="438"/>
      <c r="J66" s="438"/>
      <c r="K66" s="438"/>
      <c r="L66" s="439"/>
    </row>
    <row r="67" spans="2:12" ht="14.25">
      <c r="B67" s="481"/>
      <c r="C67" s="512"/>
      <c r="D67" s="437"/>
      <c r="E67" s="479"/>
      <c r="F67" s="438"/>
      <c r="G67" s="438"/>
      <c r="H67" s="438"/>
      <c r="I67" s="438"/>
      <c r="J67" s="438"/>
      <c r="K67" s="438"/>
      <c r="L67" s="439"/>
    </row>
    <row r="68" spans="2:12" ht="14.25">
      <c r="B68" s="476" t="s">
        <v>598</v>
      </c>
      <c r="C68" s="477">
        <v>4498</v>
      </c>
      <c r="D68" s="539" t="s">
        <v>683</v>
      </c>
      <c r="E68" s="479" t="s">
        <v>600</v>
      </c>
      <c r="F68" s="437" t="s">
        <v>671</v>
      </c>
      <c r="G68" s="438"/>
      <c r="H68" s="438"/>
      <c r="I68" s="438"/>
      <c r="J68" s="438"/>
      <c r="K68" s="438"/>
      <c r="L68" s="439"/>
    </row>
    <row r="69" spans="2:12" ht="16.5">
      <c r="B69" s="481"/>
      <c r="C69" s="477">
        <v>1.2</v>
      </c>
      <c r="D69" s="539" t="s">
        <v>684</v>
      </c>
      <c r="E69" s="479" t="s">
        <v>600</v>
      </c>
      <c r="F69" s="437" t="s">
        <v>657</v>
      </c>
      <c r="G69" s="438"/>
      <c r="H69" s="438"/>
      <c r="I69" s="438"/>
      <c r="J69" s="438"/>
      <c r="K69" s="438"/>
      <c r="L69" s="439"/>
    </row>
    <row r="70" spans="2:12" ht="17.25" thickBot="1">
      <c r="B70" s="481"/>
      <c r="C70" s="864">
        <v>1.4</v>
      </c>
      <c r="D70" s="550" t="s">
        <v>685</v>
      </c>
      <c r="E70" s="479" t="s">
        <v>600</v>
      </c>
      <c r="F70" s="437" t="s">
        <v>657</v>
      </c>
      <c r="G70" s="438"/>
      <c r="H70" s="438"/>
      <c r="I70" s="438"/>
      <c r="J70" s="438"/>
      <c r="K70" s="438"/>
      <c r="L70" s="439"/>
    </row>
    <row r="71" spans="2:12" ht="16.5" thickBot="1">
      <c r="B71" s="551" t="s">
        <v>686</v>
      </c>
      <c r="C71" s="552">
        <f>(C68*C70)/C69</f>
        <v>5247.666666666667</v>
      </c>
      <c r="D71" s="553" t="s">
        <v>220</v>
      </c>
      <c r="E71" s="479"/>
      <c r="F71" s="438"/>
      <c r="G71" s="438"/>
      <c r="H71" s="438"/>
      <c r="I71" s="438"/>
      <c r="J71" s="438"/>
      <c r="K71" s="438"/>
      <c r="L71" s="439"/>
    </row>
    <row r="72" spans="2:12" ht="18.75" thickBot="1">
      <c r="B72" s="554" t="s">
        <v>686</v>
      </c>
      <c r="C72" s="555">
        <f>C71/1000</f>
        <v>5.2476666666666674</v>
      </c>
      <c r="D72" s="556" t="s">
        <v>192</v>
      </c>
      <c r="E72" s="511"/>
      <c r="F72" s="438"/>
      <c r="G72" s="438"/>
      <c r="H72" s="438"/>
      <c r="I72" s="438"/>
      <c r="J72" s="438"/>
      <c r="K72" s="438"/>
      <c r="L72" s="439"/>
    </row>
    <row r="73" spans="2:12" ht="13.5" thickBot="1">
      <c r="B73" s="446"/>
      <c r="C73" s="447"/>
      <c r="D73" s="448"/>
      <c r="E73" s="449"/>
      <c r="F73" s="448"/>
      <c r="G73" s="448"/>
      <c r="H73" s="448"/>
      <c r="I73" s="448"/>
      <c r="J73" s="448"/>
      <c r="K73" s="448"/>
      <c r="L73" s="450"/>
    </row>
    <row r="75" spans="2:12" ht="13.5" thickBot="1"/>
    <row r="76" spans="2:12" ht="15">
      <c r="B76" s="543" t="s">
        <v>1270</v>
      </c>
      <c r="C76" s="507"/>
      <c r="D76" s="507"/>
      <c r="E76" s="507"/>
      <c r="F76" s="507"/>
      <c r="G76" s="507"/>
      <c r="H76" s="507"/>
      <c r="I76" s="507"/>
      <c r="J76" s="507"/>
      <c r="K76" s="507"/>
      <c r="L76" s="509"/>
    </row>
    <row r="77" spans="2:12" ht="15">
      <c r="B77" s="544"/>
      <c r="C77" s="438"/>
      <c r="D77" s="438"/>
      <c r="E77" s="438"/>
      <c r="F77" s="438"/>
      <c r="G77" s="438"/>
      <c r="H77" s="438"/>
      <c r="I77" s="438"/>
      <c r="J77" s="438"/>
      <c r="K77" s="438"/>
      <c r="L77" s="439"/>
    </row>
    <row r="78" spans="2:12" ht="15">
      <c r="B78" s="545" t="s">
        <v>1271</v>
      </c>
      <c r="C78" s="438"/>
      <c r="D78" s="438"/>
      <c r="E78" s="546"/>
      <c r="F78" s="437"/>
      <c r="G78" s="438"/>
      <c r="H78" s="438"/>
      <c r="I78"/>
      <c r="J78" s="438"/>
      <c r="K78" s="438"/>
      <c r="L78" s="439"/>
    </row>
    <row r="79" spans="2:12" ht="14.25">
      <c r="B79" s="436"/>
      <c r="C79" s="437"/>
      <c r="D79" s="438"/>
      <c r="E79" s="438"/>
      <c r="F79" s="438"/>
      <c r="G79" s="438"/>
      <c r="H79" s="438"/>
      <c r="I79" s="438"/>
      <c r="J79" s="438"/>
      <c r="K79" s="438"/>
      <c r="L79" s="439"/>
    </row>
    <row r="80" spans="2:12" ht="14.25">
      <c r="B80" s="436"/>
      <c r="C80" s="437"/>
      <c r="D80" s="437"/>
      <c r="E80" s="438"/>
      <c r="F80" s="438"/>
      <c r="G80" s="438"/>
      <c r="H80" s="438"/>
      <c r="I80" s="438"/>
      <c r="J80" s="438"/>
      <c r="K80" s="438"/>
      <c r="L80" s="439"/>
    </row>
    <row r="81" spans="2:18" ht="18.75">
      <c r="B81" s="436" t="s">
        <v>598</v>
      </c>
      <c r="C81" s="2266">
        <v>13.5</v>
      </c>
      <c r="D81" s="1260" t="s">
        <v>1278</v>
      </c>
      <c r="E81" s="437" t="s">
        <v>600</v>
      </c>
      <c r="F81" s="437" t="s">
        <v>1279</v>
      </c>
      <c r="G81" s="438"/>
      <c r="H81" s="438"/>
      <c r="I81" s="438"/>
      <c r="K81" s="438"/>
      <c r="L81" s="439"/>
    </row>
    <row r="82" spans="2:18" ht="18.75">
      <c r="B82" s="436"/>
      <c r="C82" s="2266">
        <v>88.6</v>
      </c>
      <c r="D82" s="1260" t="s">
        <v>1280</v>
      </c>
      <c r="E82" s="437" t="s">
        <v>600</v>
      </c>
      <c r="F82" s="437" t="s">
        <v>1281</v>
      </c>
      <c r="G82" s="438"/>
      <c r="H82" s="438"/>
      <c r="I82" s="438"/>
      <c r="K82" s="438"/>
      <c r="L82" s="439"/>
    </row>
    <row r="83" spans="2:18" ht="18.75">
      <c r="B83" s="436"/>
      <c r="C83" s="2266">
        <v>2.7</v>
      </c>
      <c r="D83" s="1260" t="s">
        <v>1282</v>
      </c>
      <c r="E83" s="437" t="s">
        <v>600</v>
      </c>
      <c r="F83" s="437" t="s">
        <v>1284</v>
      </c>
      <c r="G83" s="438"/>
      <c r="H83" s="438"/>
      <c r="I83" s="438"/>
      <c r="K83" s="438"/>
      <c r="L83" s="439"/>
    </row>
    <row r="84" spans="2:18" ht="18.75">
      <c r="B84" s="489"/>
      <c r="C84" s="477">
        <v>84.3</v>
      </c>
      <c r="D84" s="1260" t="s">
        <v>1283</v>
      </c>
      <c r="E84" s="437" t="s">
        <v>600</v>
      </c>
      <c r="F84" s="437" t="s">
        <v>1285</v>
      </c>
      <c r="G84" s="438"/>
      <c r="H84" s="438"/>
      <c r="I84" s="438"/>
      <c r="K84" s="438"/>
      <c r="L84" s="439"/>
      <c r="R84" s="438"/>
    </row>
    <row r="85" spans="2:18" ht="18.75">
      <c r="B85" s="489"/>
      <c r="C85" s="2266">
        <f>C81*C82</f>
        <v>1196.0999999999999</v>
      </c>
      <c r="D85" s="1260" t="s">
        <v>1274</v>
      </c>
      <c r="E85" s="437" t="s">
        <v>600</v>
      </c>
      <c r="F85" s="437" t="s">
        <v>1272</v>
      </c>
      <c r="G85" s="438"/>
      <c r="H85" s="438"/>
      <c r="I85" s="438"/>
      <c r="J85" s="438"/>
      <c r="K85" s="438"/>
      <c r="L85" s="439"/>
    </row>
    <row r="86" spans="2:18" ht="18.75">
      <c r="B86" s="489"/>
      <c r="C86" s="477">
        <f>C83*C84</f>
        <v>227.61</v>
      </c>
      <c r="D86" s="1260" t="s">
        <v>1273</v>
      </c>
      <c r="E86" s="437" t="s">
        <v>600</v>
      </c>
      <c r="F86" s="1260" t="s">
        <v>1275</v>
      </c>
      <c r="G86" s="438"/>
      <c r="H86" s="438"/>
      <c r="I86" s="438"/>
      <c r="J86" s="438"/>
      <c r="K86" s="438"/>
      <c r="L86" s="439"/>
    </row>
    <row r="87" spans="2:18" ht="15.75">
      <c r="B87" s="541" t="s">
        <v>1277</v>
      </c>
      <c r="C87" s="2346">
        <f>(C85+C86)/(C81+C83)</f>
        <v>87.88333333333334</v>
      </c>
      <c r="D87" s="1260" t="s">
        <v>1276</v>
      </c>
      <c r="E87" s="511"/>
      <c r="F87" s="438"/>
      <c r="G87" s="438"/>
      <c r="H87" s="438"/>
      <c r="I87" s="438"/>
      <c r="J87" s="438"/>
      <c r="K87" s="438"/>
      <c r="L87" s="439"/>
    </row>
    <row r="88" spans="2:18" ht="13.5" thickBot="1">
      <c r="B88" s="446"/>
      <c r="C88" s="447"/>
      <c r="D88" s="448"/>
      <c r="E88" s="449"/>
      <c r="F88" s="448"/>
      <c r="G88" s="448"/>
      <c r="H88" s="448"/>
      <c r="I88" s="448"/>
      <c r="J88" s="448"/>
      <c r="K88" s="448"/>
      <c r="L88" s="450"/>
    </row>
    <row r="89" spans="2:18" ht="13.5" thickBot="1"/>
    <row r="90" spans="2:18" ht="15">
      <c r="B90" s="537" t="s">
        <v>2053</v>
      </c>
      <c r="C90" s="538"/>
      <c r="D90" s="507"/>
      <c r="E90" s="508"/>
      <c r="F90" s="507"/>
      <c r="G90" s="548"/>
      <c r="H90" s="2268"/>
    </row>
    <row r="91" spans="2:18" ht="14.25">
      <c r="B91" s="481"/>
      <c r="C91" s="512"/>
      <c r="D91" s="437"/>
      <c r="E91" s="479"/>
      <c r="F91" s="438"/>
      <c r="G91" s="549"/>
      <c r="H91" s="439"/>
    </row>
    <row r="92" spans="2:18" ht="14.25">
      <c r="B92" s="481"/>
      <c r="C92" s="512"/>
      <c r="D92" s="437"/>
      <c r="E92" s="479"/>
      <c r="F92" s="438"/>
      <c r="G92" s="438"/>
      <c r="H92" s="439"/>
    </row>
    <row r="93" spans="2:18" ht="14.25">
      <c r="B93" s="476" t="s">
        <v>598</v>
      </c>
      <c r="C93" s="477">
        <v>1</v>
      </c>
      <c r="D93" s="539" t="s">
        <v>1592</v>
      </c>
      <c r="E93" s="479" t="s">
        <v>600</v>
      </c>
      <c r="F93" s="437" t="s">
        <v>2054</v>
      </c>
      <c r="G93" s="438"/>
      <c r="H93" s="439"/>
    </row>
    <row r="94" spans="2:18" ht="16.5">
      <c r="B94" s="481"/>
      <c r="C94" s="477">
        <v>1.2</v>
      </c>
      <c r="D94" s="539" t="s">
        <v>684</v>
      </c>
      <c r="E94" s="479" t="s">
        <v>600</v>
      </c>
      <c r="F94" s="437" t="s">
        <v>657</v>
      </c>
      <c r="G94" s="438"/>
      <c r="H94" s="439"/>
    </row>
    <row r="95" spans="2:18" ht="17.25" thickBot="1">
      <c r="B95" s="481"/>
      <c r="C95" s="864">
        <v>1.4</v>
      </c>
      <c r="D95" s="550" t="s">
        <v>685</v>
      </c>
      <c r="E95" s="479" t="s">
        <v>600</v>
      </c>
      <c r="F95" s="437" t="s">
        <v>657</v>
      </c>
      <c r="G95" s="438"/>
      <c r="H95" s="439"/>
    </row>
    <row r="96" spans="2:18" ht="16.5" thickBot="1">
      <c r="B96" s="551" t="s">
        <v>2055</v>
      </c>
      <c r="C96" s="2267">
        <f>(C93*C94)/C95</f>
        <v>0.85714285714285721</v>
      </c>
      <c r="D96" s="553" t="s">
        <v>732</v>
      </c>
      <c r="E96" s="479"/>
      <c r="F96" s="438"/>
      <c r="G96" s="438"/>
      <c r="H96" s="439"/>
    </row>
    <row r="97" spans="2:8" ht="13.5" thickBot="1">
      <c r="B97" s="446"/>
      <c r="C97" s="447"/>
      <c r="D97" s="448"/>
      <c r="E97" s="449"/>
      <c r="F97" s="448"/>
      <c r="G97" s="448"/>
      <c r="H97" s="450"/>
    </row>
  </sheetData>
  <sheetProtection formatCells="0" formatColumns="0" formatRows="0" insertColumns="0" insertRows="0" insertHyperlinks="0"/>
  <mergeCells count="1">
    <mergeCell ref="F1:H1"/>
  </mergeCells>
  <hyperlinks>
    <hyperlink ref="F1" location="INDEX!A1" display="INDEX!A1"/>
  </hyperlinks>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Equation.3" shapeId="8193" r:id="rId4">
          <objectPr defaultSize="0" autoPict="0" r:id="rId5">
            <anchor moveWithCells="1" sizeWithCells="1">
              <from>
                <xdr:col>5</xdr:col>
                <xdr:colOff>47625</xdr:colOff>
                <xdr:row>18</xdr:row>
                <xdr:rowOff>38100</xdr:rowOff>
              </from>
              <to>
                <xdr:col>5</xdr:col>
                <xdr:colOff>552450</xdr:colOff>
                <xdr:row>19</xdr:row>
                <xdr:rowOff>123825</xdr:rowOff>
              </to>
            </anchor>
          </objectPr>
        </oleObject>
      </mc:Choice>
      <mc:Fallback>
        <oleObject progId="Equation.3" shapeId="8193" r:id="rId4"/>
      </mc:Fallback>
    </mc:AlternateContent>
    <mc:AlternateContent xmlns:mc="http://schemas.openxmlformats.org/markup-compatibility/2006">
      <mc:Choice Requires="x14">
        <oleObject progId="Equation.3" shapeId="8194" r:id="rId6">
          <objectPr defaultSize="0" autoPict="0" r:id="rId7">
            <anchor moveWithCells="1" sizeWithCells="1">
              <from>
                <xdr:col>5</xdr:col>
                <xdr:colOff>0</xdr:colOff>
                <xdr:row>28</xdr:row>
                <xdr:rowOff>0</xdr:rowOff>
              </from>
              <to>
                <xdr:col>6</xdr:col>
                <xdr:colOff>19050</xdr:colOff>
                <xdr:row>30</xdr:row>
                <xdr:rowOff>0</xdr:rowOff>
              </to>
            </anchor>
          </objectPr>
        </oleObject>
      </mc:Choice>
      <mc:Fallback>
        <oleObject progId="Equation.3" shapeId="8194" r:id="rId6"/>
      </mc:Fallback>
    </mc:AlternateContent>
    <mc:AlternateContent xmlns:mc="http://schemas.openxmlformats.org/markup-compatibility/2006">
      <mc:Choice Requires="x14">
        <oleObject progId="Equation.3" shapeId="8195" r:id="rId8">
          <objectPr defaultSize="0" autoPict="0" r:id="rId9">
            <anchor moveWithCells="1" sizeWithCells="1">
              <from>
                <xdr:col>2</xdr:col>
                <xdr:colOff>0</xdr:colOff>
                <xdr:row>39</xdr:row>
                <xdr:rowOff>123825</xdr:rowOff>
              </from>
              <to>
                <xdr:col>2</xdr:col>
                <xdr:colOff>666750</xdr:colOff>
                <xdr:row>41</xdr:row>
                <xdr:rowOff>142875</xdr:rowOff>
              </to>
            </anchor>
          </objectPr>
        </oleObject>
      </mc:Choice>
      <mc:Fallback>
        <oleObject progId="Equation.3" shapeId="8195" r:id="rId8"/>
      </mc:Fallback>
    </mc:AlternateContent>
    <mc:AlternateContent xmlns:mc="http://schemas.openxmlformats.org/markup-compatibility/2006">
      <mc:Choice Requires="x14">
        <oleObject progId="Equation.3" shapeId="8196" r:id="rId10">
          <objectPr defaultSize="0" autoPict="0" r:id="rId7">
            <anchor moveWithCells="1" sizeWithCells="1">
              <from>
                <xdr:col>5</xdr:col>
                <xdr:colOff>0</xdr:colOff>
                <xdr:row>65</xdr:row>
                <xdr:rowOff>0</xdr:rowOff>
              </from>
              <to>
                <xdr:col>6</xdr:col>
                <xdr:colOff>19050</xdr:colOff>
                <xdr:row>67</xdr:row>
                <xdr:rowOff>0</xdr:rowOff>
              </to>
            </anchor>
          </objectPr>
        </oleObject>
      </mc:Choice>
      <mc:Fallback>
        <oleObject progId="Equation.3" shapeId="8196" r:id="rId10"/>
      </mc:Fallback>
    </mc:AlternateContent>
    <mc:AlternateContent xmlns:mc="http://schemas.openxmlformats.org/markup-compatibility/2006">
      <mc:Choice Requires="x14">
        <oleObject progId="Equation.3" shapeId="8198" r:id="rId11">
          <objectPr defaultSize="0" autoPict="0" r:id="rId12">
            <anchor moveWithCells="1" sizeWithCells="1">
              <from>
                <xdr:col>2</xdr:col>
                <xdr:colOff>76200</xdr:colOff>
                <xdr:row>76</xdr:row>
                <xdr:rowOff>133350</xdr:rowOff>
              </from>
              <to>
                <xdr:col>4</xdr:col>
                <xdr:colOff>9525</xdr:colOff>
                <xdr:row>78</xdr:row>
                <xdr:rowOff>161925</xdr:rowOff>
              </to>
            </anchor>
          </objectPr>
        </oleObject>
      </mc:Choice>
      <mc:Fallback>
        <oleObject progId="Equation.3" shapeId="8198" r:id="rId11"/>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800000"/>
  </sheetPr>
  <dimension ref="A1:BB105"/>
  <sheetViews>
    <sheetView topLeftCell="S13" zoomScale="70" zoomScaleNormal="70" workbookViewId="0">
      <selection activeCell="AC11" sqref="AB11:AC11"/>
    </sheetView>
  </sheetViews>
  <sheetFormatPr defaultRowHeight="12.75"/>
  <cols>
    <col min="1" max="1" width="8.28515625" style="435" hidden="1" customWidth="1"/>
    <col min="2" max="2" width="13.7109375" style="435" hidden="1" customWidth="1"/>
    <col min="3" max="8" width="8.28515625" style="435" hidden="1" customWidth="1"/>
    <col min="9" max="9" width="17" style="566" hidden="1" customWidth="1"/>
    <col min="10" max="10" width="9.140625" style="504" hidden="1" customWidth="1"/>
    <col min="11" max="11" width="12" style="504" hidden="1" customWidth="1"/>
    <col min="12" max="12" width="14" style="504" hidden="1" customWidth="1"/>
    <col min="13" max="13" width="17.140625" style="504" hidden="1" customWidth="1"/>
    <col min="14" max="14" width="9.140625" style="435" hidden="1" customWidth="1"/>
    <col min="15" max="15" width="12" style="435" hidden="1" customWidth="1"/>
    <col min="16" max="16" width="9.28515625" style="435" hidden="1" customWidth="1"/>
    <col min="17" max="17" width="8.5703125" style="435" hidden="1" customWidth="1"/>
    <col min="18" max="18" width="0" style="435" hidden="1" customWidth="1"/>
    <col min="19" max="19" width="10.140625" style="435" bestFit="1" customWidth="1"/>
    <col min="20" max="20" width="26.140625" style="435" customWidth="1"/>
    <col min="21" max="21" width="10.7109375" style="435" bestFit="1" customWidth="1"/>
    <col min="22" max="22" width="10" style="435" customWidth="1"/>
    <col min="23" max="23" width="9.85546875" style="435" customWidth="1"/>
    <col min="24" max="24" width="24.5703125" style="435" customWidth="1"/>
    <col min="25" max="25" width="21.140625" style="435" customWidth="1"/>
    <col min="26" max="26" width="7" style="435" customWidth="1"/>
    <col min="27" max="27" width="15.28515625" style="435" customWidth="1"/>
    <col min="28" max="28" width="9.85546875" style="435" customWidth="1"/>
    <col min="29" max="29" width="9.140625" style="435"/>
    <col min="30" max="30" width="19.5703125" style="435" customWidth="1"/>
    <col min="31" max="38" width="9.140625" style="435"/>
    <col min="39" max="39" width="27.140625" style="435" customWidth="1"/>
    <col min="40" max="40" width="5.5703125" style="435" bestFit="1" customWidth="1"/>
    <col min="41" max="41" width="29" style="435" customWidth="1"/>
    <col min="42" max="256" width="9.140625" style="435"/>
    <col min="257" max="274" width="0" style="435" hidden="1" customWidth="1"/>
    <col min="275" max="275" width="9.140625" style="435"/>
    <col min="276" max="276" width="25.5703125" style="435" bestFit="1" customWidth="1"/>
    <col min="277" max="277" width="9.140625" style="435"/>
    <col min="278" max="278" width="10" style="435" customWidth="1"/>
    <col min="279" max="279" width="11.28515625" style="435" customWidth="1"/>
    <col min="280" max="280" width="17.85546875" style="435" bestFit="1" customWidth="1"/>
    <col min="281" max="281" width="16.140625" style="435" bestFit="1" customWidth="1"/>
    <col min="282" max="282" width="9.140625" style="435"/>
    <col min="283" max="283" width="19.5703125" style="435" bestFit="1" customWidth="1"/>
    <col min="284" max="284" width="8.7109375" style="435" bestFit="1" customWidth="1"/>
    <col min="285" max="285" width="9.140625" style="435"/>
    <col min="286" max="286" width="19.5703125" style="435" customWidth="1"/>
    <col min="287" max="512" width="9.140625" style="435"/>
    <col min="513" max="530" width="0" style="435" hidden="1" customWidth="1"/>
    <col min="531" max="531" width="9.140625" style="435"/>
    <col min="532" max="532" width="25.5703125" style="435" bestFit="1" customWidth="1"/>
    <col min="533" max="533" width="9.140625" style="435"/>
    <col min="534" max="534" width="10" style="435" customWidth="1"/>
    <col min="535" max="535" width="11.28515625" style="435" customWidth="1"/>
    <col min="536" max="536" width="17.85546875" style="435" bestFit="1" customWidth="1"/>
    <col min="537" max="537" width="16.140625" style="435" bestFit="1" customWidth="1"/>
    <col min="538" max="538" width="9.140625" style="435"/>
    <col min="539" max="539" width="19.5703125" style="435" bestFit="1" customWidth="1"/>
    <col min="540" max="540" width="8.7109375" style="435" bestFit="1" customWidth="1"/>
    <col min="541" max="541" width="9.140625" style="435"/>
    <col min="542" max="542" width="19.5703125" style="435" customWidth="1"/>
    <col min="543" max="768" width="9.140625" style="435"/>
    <col min="769" max="786" width="0" style="435" hidden="1" customWidth="1"/>
    <col min="787" max="787" width="9.140625" style="435"/>
    <col min="788" max="788" width="25.5703125" style="435" bestFit="1" customWidth="1"/>
    <col min="789" max="789" width="9.140625" style="435"/>
    <col min="790" max="790" width="10" style="435" customWidth="1"/>
    <col min="791" max="791" width="11.28515625" style="435" customWidth="1"/>
    <col min="792" max="792" width="17.85546875" style="435" bestFit="1" customWidth="1"/>
    <col min="793" max="793" width="16.140625" style="435" bestFit="1" customWidth="1"/>
    <col min="794" max="794" width="9.140625" style="435"/>
    <col min="795" max="795" width="19.5703125" style="435" bestFit="1" customWidth="1"/>
    <col min="796" max="796" width="8.7109375" style="435" bestFit="1" customWidth="1"/>
    <col min="797" max="797" width="9.140625" style="435"/>
    <col min="798" max="798" width="19.5703125" style="435" customWidth="1"/>
    <col min="799" max="1024" width="9.140625" style="435"/>
    <col min="1025" max="1042" width="0" style="435" hidden="1" customWidth="1"/>
    <col min="1043" max="1043" width="9.140625" style="435"/>
    <col min="1044" max="1044" width="25.5703125" style="435" bestFit="1" customWidth="1"/>
    <col min="1045" max="1045" width="9.140625" style="435"/>
    <col min="1046" max="1046" width="10" style="435" customWidth="1"/>
    <col min="1047" max="1047" width="11.28515625" style="435" customWidth="1"/>
    <col min="1048" max="1048" width="17.85546875" style="435" bestFit="1" customWidth="1"/>
    <col min="1049" max="1049" width="16.140625" style="435" bestFit="1" customWidth="1"/>
    <col min="1050" max="1050" width="9.140625" style="435"/>
    <col min="1051" max="1051" width="19.5703125" style="435" bestFit="1" customWidth="1"/>
    <col min="1052" max="1052" width="8.7109375" style="435" bestFit="1" customWidth="1"/>
    <col min="1053" max="1053" width="9.140625" style="435"/>
    <col min="1054" max="1054" width="19.5703125" style="435" customWidth="1"/>
    <col min="1055" max="1280" width="9.140625" style="435"/>
    <col min="1281" max="1298" width="0" style="435" hidden="1" customWidth="1"/>
    <col min="1299" max="1299" width="9.140625" style="435"/>
    <col min="1300" max="1300" width="25.5703125" style="435" bestFit="1" customWidth="1"/>
    <col min="1301" max="1301" width="9.140625" style="435"/>
    <col min="1302" max="1302" width="10" style="435" customWidth="1"/>
    <col min="1303" max="1303" width="11.28515625" style="435" customWidth="1"/>
    <col min="1304" max="1304" width="17.85546875" style="435" bestFit="1" customWidth="1"/>
    <col min="1305" max="1305" width="16.140625" style="435" bestFit="1" customWidth="1"/>
    <col min="1306" max="1306" width="9.140625" style="435"/>
    <col min="1307" max="1307" width="19.5703125" style="435" bestFit="1" customWidth="1"/>
    <col min="1308" max="1308" width="8.7109375" style="435" bestFit="1" customWidth="1"/>
    <col min="1309" max="1309" width="9.140625" style="435"/>
    <col min="1310" max="1310" width="19.5703125" style="435" customWidth="1"/>
    <col min="1311" max="1536" width="9.140625" style="435"/>
    <col min="1537" max="1554" width="0" style="435" hidden="1" customWidth="1"/>
    <col min="1555" max="1555" width="9.140625" style="435"/>
    <col min="1556" max="1556" width="25.5703125" style="435" bestFit="1" customWidth="1"/>
    <col min="1557" max="1557" width="9.140625" style="435"/>
    <col min="1558" max="1558" width="10" style="435" customWidth="1"/>
    <col min="1559" max="1559" width="11.28515625" style="435" customWidth="1"/>
    <col min="1560" max="1560" width="17.85546875" style="435" bestFit="1" customWidth="1"/>
    <col min="1561" max="1561" width="16.140625" style="435" bestFit="1" customWidth="1"/>
    <col min="1562" max="1562" width="9.140625" style="435"/>
    <col min="1563" max="1563" width="19.5703125" style="435" bestFit="1" customWidth="1"/>
    <col min="1564" max="1564" width="8.7109375" style="435" bestFit="1" customWidth="1"/>
    <col min="1565" max="1565" width="9.140625" style="435"/>
    <col min="1566" max="1566" width="19.5703125" style="435" customWidth="1"/>
    <col min="1567" max="1792" width="9.140625" style="435"/>
    <col min="1793" max="1810" width="0" style="435" hidden="1" customWidth="1"/>
    <col min="1811" max="1811" width="9.140625" style="435"/>
    <col min="1812" max="1812" width="25.5703125" style="435" bestFit="1" customWidth="1"/>
    <col min="1813" max="1813" width="9.140625" style="435"/>
    <col min="1814" max="1814" width="10" style="435" customWidth="1"/>
    <col min="1815" max="1815" width="11.28515625" style="435" customWidth="1"/>
    <col min="1816" max="1816" width="17.85546875" style="435" bestFit="1" customWidth="1"/>
    <col min="1817" max="1817" width="16.140625" style="435" bestFit="1" customWidth="1"/>
    <col min="1818" max="1818" width="9.140625" style="435"/>
    <col min="1819" max="1819" width="19.5703125" style="435" bestFit="1" customWidth="1"/>
    <col min="1820" max="1820" width="8.7109375" style="435" bestFit="1" customWidth="1"/>
    <col min="1821" max="1821" width="9.140625" style="435"/>
    <col min="1822" max="1822" width="19.5703125" style="435" customWidth="1"/>
    <col min="1823" max="2048" width="9.140625" style="435"/>
    <col min="2049" max="2066" width="0" style="435" hidden="1" customWidth="1"/>
    <col min="2067" max="2067" width="9.140625" style="435"/>
    <col min="2068" max="2068" width="25.5703125" style="435" bestFit="1" customWidth="1"/>
    <col min="2069" max="2069" width="9.140625" style="435"/>
    <col min="2070" max="2070" width="10" style="435" customWidth="1"/>
    <col min="2071" max="2071" width="11.28515625" style="435" customWidth="1"/>
    <col min="2072" max="2072" width="17.85546875" style="435" bestFit="1" customWidth="1"/>
    <col min="2073" max="2073" width="16.140625" style="435" bestFit="1" customWidth="1"/>
    <col min="2074" max="2074" width="9.140625" style="435"/>
    <col min="2075" max="2075" width="19.5703125" style="435" bestFit="1" customWidth="1"/>
    <col min="2076" max="2076" width="8.7109375" style="435" bestFit="1" customWidth="1"/>
    <col min="2077" max="2077" width="9.140625" style="435"/>
    <col min="2078" max="2078" width="19.5703125" style="435" customWidth="1"/>
    <col min="2079" max="2304" width="9.140625" style="435"/>
    <col min="2305" max="2322" width="0" style="435" hidden="1" customWidth="1"/>
    <col min="2323" max="2323" width="9.140625" style="435"/>
    <col min="2324" max="2324" width="25.5703125" style="435" bestFit="1" customWidth="1"/>
    <col min="2325" max="2325" width="9.140625" style="435"/>
    <col min="2326" max="2326" width="10" style="435" customWidth="1"/>
    <col min="2327" max="2327" width="11.28515625" style="435" customWidth="1"/>
    <col min="2328" max="2328" width="17.85546875" style="435" bestFit="1" customWidth="1"/>
    <col min="2329" max="2329" width="16.140625" style="435" bestFit="1" customWidth="1"/>
    <col min="2330" max="2330" width="9.140625" style="435"/>
    <col min="2331" max="2331" width="19.5703125" style="435" bestFit="1" customWidth="1"/>
    <col min="2332" max="2332" width="8.7109375" style="435" bestFit="1" customWidth="1"/>
    <col min="2333" max="2333" width="9.140625" style="435"/>
    <col min="2334" max="2334" width="19.5703125" style="435" customWidth="1"/>
    <col min="2335" max="2560" width="9.140625" style="435"/>
    <col min="2561" max="2578" width="0" style="435" hidden="1" customWidth="1"/>
    <col min="2579" max="2579" width="9.140625" style="435"/>
    <col min="2580" max="2580" width="25.5703125" style="435" bestFit="1" customWidth="1"/>
    <col min="2581" max="2581" width="9.140625" style="435"/>
    <col min="2582" max="2582" width="10" style="435" customWidth="1"/>
    <col min="2583" max="2583" width="11.28515625" style="435" customWidth="1"/>
    <col min="2584" max="2584" width="17.85546875" style="435" bestFit="1" customWidth="1"/>
    <col min="2585" max="2585" width="16.140625" style="435" bestFit="1" customWidth="1"/>
    <col min="2586" max="2586" width="9.140625" style="435"/>
    <col min="2587" max="2587" width="19.5703125" style="435" bestFit="1" customWidth="1"/>
    <col min="2588" max="2588" width="8.7109375" style="435" bestFit="1" customWidth="1"/>
    <col min="2589" max="2589" width="9.140625" style="435"/>
    <col min="2590" max="2590" width="19.5703125" style="435" customWidth="1"/>
    <col min="2591" max="2816" width="9.140625" style="435"/>
    <col min="2817" max="2834" width="0" style="435" hidden="1" customWidth="1"/>
    <col min="2835" max="2835" width="9.140625" style="435"/>
    <col min="2836" max="2836" width="25.5703125" style="435" bestFit="1" customWidth="1"/>
    <col min="2837" max="2837" width="9.140625" style="435"/>
    <col min="2838" max="2838" width="10" style="435" customWidth="1"/>
    <col min="2839" max="2839" width="11.28515625" style="435" customWidth="1"/>
    <col min="2840" max="2840" width="17.85546875" style="435" bestFit="1" customWidth="1"/>
    <col min="2841" max="2841" width="16.140625" style="435" bestFit="1" customWidth="1"/>
    <col min="2842" max="2842" width="9.140625" style="435"/>
    <col min="2843" max="2843" width="19.5703125" style="435" bestFit="1" customWidth="1"/>
    <col min="2844" max="2844" width="8.7109375" style="435" bestFit="1" customWidth="1"/>
    <col min="2845" max="2845" width="9.140625" style="435"/>
    <col min="2846" max="2846" width="19.5703125" style="435" customWidth="1"/>
    <col min="2847" max="3072" width="9.140625" style="435"/>
    <col min="3073" max="3090" width="0" style="435" hidden="1" customWidth="1"/>
    <col min="3091" max="3091" width="9.140625" style="435"/>
    <col min="3092" max="3092" width="25.5703125" style="435" bestFit="1" customWidth="1"/>
    <col min="3093" max="3093" width="9.140625" style="435"/>
    <col min="3094" max="3094" width="10" style="435" customWidth="1"/>
    <col min="3095" max="3095" width="11.28515625" style="435" customWidth="1"/>
    <col min="3096" max="3096" width="17.85546875" style="435" bestFit="1" customWidth="1"/>
    <col min="3097" max="3097" width="16.140625" style="435" bestFit="1" customWidth="1"/>
    <col min="3098" max="3098" width="9.140625" style="435"/>
    <col min="3099" max="3099" width="19.5703125" style="435" bestFit="1" customWidth="1"/>
    <col min="3100" max="3100" width="8.7109375" style="435" bestFit="1" customWidth="1"/>
    <col min="3101" max="3101" width="9.140625" style="435"/>
    <col min="3102" max="3102" width="19.5703125" style="435" customWidth="1"/>
    <col min="3103" max="3328" width="9.140625" style="435"/>
    <col min="3329" max="3346" width="0" style="435" hidden="1" customWidth="1"/>
    <col min="3347" max="3347" width="9.140625" style="435"/>
    <col min="3348" max="3348" width="25.5703125" style="435" bestFit="1" customWidth="1"/>
    <col min="3349" max="3349" width="9.140625" style="435"/>
    <col min="3350" max="3350" width="10" style="435" customWidth="1"/>
    <col min="3351" max="3351" width="11.28515625" style="435" customWidth="1"/>
    <col min="3352" max="3352" width="17.85546875" style="435" bestFit="1" customWidth="1"/>
    <col min="3353" max="3353" width="16.140625" style="435" bestFit="1" customWidth="1"/>
    <col min="3354" max="3354" width="9.140625" style="435"/>
    <col min="3355" max="3355" width="19.5703125" style="435" bestFit="1" customWidth="1"/>
    <col min="3356" max="3356" width="8.7109375" style="435" bestFit="1" customWidth="1"/>
    <col min="3357" max="3357" width="9.140625" style="435"/>
    <col min="3358" max="3358" width="19.5703125" style="435" customWidth="1"/>
    <col min="3359" max="3584" width="9.140625" style="435"/>
    <col min="3585" max="3602" width="0" style="435" hidden="1" customWidth="1"/>
    <col min="3603" max="3603" width="9.140625" style="435"/>
    <col min="3604" max="3604" width="25.5703125" style="435" bestFit="1" customWidth="1"/>
    <col min="3605" max="3605" width="9.140625" style="435"/>
    <col min="3606" max="3606" width="10" style="435" customWidth="1"/>
    <col min="3607" max="3607" width="11.28515625" style="435" customWidth="1"/>
    <col min="3608" max="3608" width="17.85546875" style="435" bestFit="1" customWidth="1"/>
    <col min="3609" max="3609" width="16.140625" style="435" bestFit="1" customWidth="1"/>
    <col min="3610" max="3610" width="9.140625" style="435"/>
    <col min="3611" max="3611" width="19.5703125" style="435" bestFit="1" customWidth="1"/>
    <col min="3612" max="3612" width="8.7109375" style="435" bestFit="1" customWidth="1"/>
    <col min="3613" max="3613" width="9.140625" style="435"/>
    <col min="3614" max="3614" width="19.5703125" style="435" customWidth="1"/>
    <col min="3615" max="3840" width="9.140625" style="435"/>
    <col min="3841" max="3858" width="0" style="435" hidden="1" customWidth="1"/>
    <col min="3859" max="3859" width="9.140625" style="435"/>
    <col min="3860" max="3860" width="25.5703125" style="435" bestFit="1" customWidth="1"/>
    <col min="3861" max="3861" width="9.140625" style="435"/>
    <col min="3862" max="3862" width="10" style="435" customWidth="1"/>
    <col min="3863" max="3863" width="11.28515625" style="435" customWidth="1"/>
    <col min="3864" max="3864" width="17.85546875" style="435" bestFit="1" customWidth="1"/>
    <col min="3865" max="3865" width="16.140625" style="435" bestFit="1" customWidth="1"/>
    <col min="3866" max="3866" width="9.140625" style="435"/>
    <col min="3867" max="3867" width="19.5703125" style="435" bestFit="1" customWidth="1"/>
    <col min="3868" max="3868" width="8.7109375" style="435" bestFit="1" customWidth="1"/>
    <col min="3869" max="3869" width="9.140625" style="435"/>
    <col min="3870" max="3870" width="19.5703125" style="435" customWidth="1"/>
    <col min="3871" max="4096" width="9.140625" style="435"/>
    <col min="4097" max="4114" width="0" style="435" hidden="1" customWidth="1"/>
    <col min="4115" max="4115" width="9.140625" style="435"/>
    <col min="4116" max="4116" width="25.5703125" style="435" bestFit="1" customWidth="1"/>
    <col min="4117" max="4117" width="9.140625" style="435"/>
    <col min="4118" max="4118" width="10" style="435" customWidth="1"/>
    <col min="4119" max="4119" width="11.28515625" style="435" customWidth="1"/>
    <col min="4120" max="4120" width="17.85546875" style="435" bestFit="1" customWidth="1"/>
    <col min="4121" max="4121" width="16.140625" style="435" bestFit="1" customWidth="1"/>
    <col min="4122" max="4122" width="9.140625" style="435"/>
    <col min="4123" max="4123" width="19.5703125" style="435" bestFit="1" customWidth="1"/>
    <col min="4124" max="4124" width="8.7109375" style="435" bestFit="1" customWidth="1"/>
    <col min="4125" max="4125" width="9.140625" style="435"/>
    <col min="4126" max="4126" width="19.5703125" style="435" customWidth="1"/>
    <col min="4127" max="4352" width="9.140625" style="435"/>
    <col min="4353" max="4370" width="0" style="435" hidden="1" customWidth="1"/>
    <col min="4371" max="4371" width="9.140625" style="435"/>
    <col min="4372" max="4372" width="25.5703125" style="435" bestFit="1" customWidth="1"/>
    <col min="4373" max="4373" width="9.140625" style="435"/>
    <col min="4374" max="4374" width="10" style="435" customWidth="1"/>
    <col min="4375" max="4375" width="11.28515625" style="435" customWidth="1"/>
    <col min="4376" max="4376" width="17.85546875" style="435" bestFit="1" customWidth="1"/>
    <col min="4377" max="4377" width="16.140625" style="435" bestFit="1" customWidth="1"/>
    <col min="4378" max="4378" width="9.140625" style="435"/>
    <col min="4379" max="4379" width="19.5703125" style="435" bestFit="1" customWidth="1"/>
    <col min="4380" max="4380" width="8.7109375" style="435" bestFit="1" customWidth="1"/>
    <col min="4381" max="4381" width="9.140625" style="435"/>
    <col min="4382" max="4382" width="19.5703125" style="435" customWidth="1"/>
    <col min="4383" max="4608" width="9.140625" style="435"/>
    <col min="4609" max="4626" width="0" style="435" hidden="1" customWidth="1"/>
    <col min="4627" max="4627" width="9.140625" style="435"/>
    <col min="4628" max="4628" width="25.5703125" style="435" bestFit="1" customWidth="1"/>
    <col min="4629" max="4629" width="9.140625" style="435"/>
    <col min="4630" max="4630" width="10" style="435" customWidth="1"/>
    <col min="4631" max="4631" width="11.28515625" style="435" customWidth="1"/>
    <col min="4632" max="4632" width="17.85546875" style="435" bestFit="1" customWidth="1"/>
    <col min="4633" max="4633" width="16.140625" style="435" bestFit="1" customWidth="1"/>
    <col min="4634" max="4634" width="9.140625" style="435"/>
    <col min="4635" max="4635" width="19.5703125" style="435" bestFit="1" customWidth="1"/>
    <col min="4636" max="4636" width="8.7109375" style="435" bestFit="1" customWidth="1"/>
    <col min="4637" max="4637" width="9.140625" style="435"/>
    <col min="4638" max="4638" width="19.5703125" style="435" customWidth="1"/>
    <col min="4639" max="4864" width="9.140625" style="435"/>
    <col min="4865" max="4882" width="0" style="435" hidden="1" customWidth="1"/>
    <col min="4883" max="4883" width="9.140625" style="435"/>
    <col min="4884" max="4884" width="25.5703125" style="435" bestFit="1" customWidth="1"/>
    <col min="4885" max="4885" width="9.140625" style="435"/>
    <col min="4886" max="4886" width="10" style="435" customWidth="1"/>
    <col min="4887" max="4887" width="11.28515625" style="435" customWidth="1"/>
    <col min="4888" max="4888" width="17.85546875" style="435" bestFit="1" customWidth="1"/>
    <col min="4889" max="4889" width="16.140625" style="435" bestFit="1" customWidth="1"/>
    <col min="4890" max="4890" width="9.140625" style="435"/>
    <col min="4891" max="4891" width="19.5703125" style="435" bestFit="1" customWidth="1"/>
    <col min="4892" max="4892" width="8.7109375" style="435" bestFit="1" customWidth="1"/>
    <col min="4893" max="4893" width="9.140625" style="435"/>
    <col min="4894" max="4894" width="19.5703125" style="435" customWidth="1"/>
    <col min="4895" max="5120" width="9.140625" style="435"/>
    <col min="5121" max="5138" width="0" style="435" hidden="1" customWidth="1"/>
    <col min="5139" max="5139" width="9.140625" style="435"/>
    <col min="5140" max="5140" width="25.5703125" style="435" bestFit="1" customWidth="1"/>
    <col min="5141" max="5141" width="9.140625" style="435"/>
    <col min="5142" max="5142" width="10" style="435" customWidth="1"/>
    <col min="5143" max="5143" width="11.28515625" style="435" customWidth="1"/>
    <col min="5144" max="5144" width="17.85546875" style="435" bestFit="1" customWidth="1"/>
    <col min="5145" max="5145" width="16.140625" style="435" bestFit="1" customWidth="1"/>
    <col min="5146" max="5146" width="9.140625" style="435"/>
    <col min="5147" max="5147" width="19.5703125" style="435" bestFit="1" customWidth="1"/>
    <col min="5148" max="5148" width="8.7109375" style="435" bestFit="1" customWidth="1"/>
    <col min="5149" max="5149" width="9.140625" style="435"/>
    <col min="5150" max="5150" width="19.5703125" style="435" customWidth="1"/>
    <col min="5151" max="5376" width="9.140625" style="435"/>
    <col min="5377" max="5394" width="0" style="435" hidden="1" customWidth="1"/>
    <col min="5395" max="5395" width="9.140625" style="435"/>
    <col min="5396" max="5396" width="25.5703125" style="435" bestFit="1" customWidth="1"/>
    <col min="5397" max="5397" width="9.140625" style="435"/>
    <col min="5398" max="5398" width="10" style="435" customWidth="1"/>
    <col min="5399" max="5399" width="11.28515625" style="435" customWidth="1"/>
    <col min="5400" max="5400" width="17.85546875" style="435" bestFit="1" customWidth="1"/>
    <col min="5401" max="5401" width="16.140625" style="435" bestFit="1" customWidth="1"/>
    <col min="5402" max="5402" width="9.140625" style="435"/>
    <col min="5403" max="5403" width="19.5703125" style="435" bestFit="1" customWidth="1"/>
    <col min="5404" max="5404" width="8.7109375" style="435" bestFit="1" customWidth="1"/>
    <col min="5405" max="5405" width="9.140625" style="435"/>
    <col min="5406" max="5406" width="19.5703125" style="435" customWidth="1"/>
    <col min="5407" max="5632" width="9.140625" style="435"/>
    <col min="5633" max="5650" width="0" style="435" hidden="1" customWidth="1"/>
    <col min="5651" max="5651" width="9.140625" style="435"/>
    <col min="5652" max="5652" width="25.5703125" style="435" bestFit="1" customWidth="1"/>
    <col min="5653" max="5653" width="9.140625" style="435"/>
    <col min="5654" max="5654" width="10" style="435" customWidth="1"/>
    <col min="5655" max="5655" width="11.28515625" style="435" customWidth="1"/>
    <col min="5656" max="5656" width="17.85546875" style="435" bestFit="1" customWidth="1"/>
    <col min="5657" max="5657" width="16.140625" style="435" bestFit="1" customWidth="1"/>
    <col min="5658" max="5658" width="9.140625" style="435"/>
    <col min="5659" max="5659" width="19.5703125" style="435" bestFit="1" customWidth="1"/>
    <col min="5660" max="5660" width="8.7109375" style="435" bestFit="1" customWidth="1"/>
    <col min="5661" max="5661" width="9.140625" style="435"/>
    <col min="5662" max="5662" width="19.5703125" style="435" customWidth="1"/>
    <col min="5663" max="5888" width="9.140625" style="435"/>
    <col min="5889" max="5906" width="0" style="435" hidden="1" customWidth="1"/>
    <col min="5907" max="5907" width="9.140625" style="435"/>
    <col min="5908" max="5908" width="25.5703125" style="435" bestFit="1" customWidth="1"/>
    <col min="5909" max="5909" width="9.140625" style="435"/>
    <col min="5910" max="5910" width="10" style="435" customWidth="1"/>
    <col min="5911" max="5911" width="11.28515625" style="435" customWidth="1"/>
    <col min="5912" max="5912" width="17.85546875" style="435" bestFit="1" customWidth="1"/>
    <col min="5913" max="5913" width="16.140625" style="435" bestFit="1" customWidth="1"/>
    <col min="5914" max="5914" width="9.140625" style="435"/>
    <col min="5915" max="5915" width="19.5703125" style="435" bestFit="1" customWidth="1"/>
    <col min="5916" max="5916" width="8.7109375" style="435" bestFit="1" customWidth="1"/>
    <col min="5917" max="5917" width="9.140625" style="435"/>
    <col min="5918" max="5918" width="19.5703125" style="435" customWidth="1"/>
    <col min="5919" max="6144" width="9.140625" style="435"/>
    <col min="6145" max="6162" width="0" style="435" hidden="1" customWidth="1"/>
    <col min="6163" max="6163" width="9.140625" style="435"/>
    <col min="6164" max="6164" width="25.5703125" style="435" bestFit="1" customWidth="1"/>
    <col min="6165" max="6165" width="9.140625" style="435"/>
    <col min="6166" max="6166" width="10" style="435" customWidth="1"/>
    <col min="6167" max="6167" width="11.28515625" style="435" customWidth="1"/>
    <col min="6168" max="6168" width="17.85546875" style="435" bestFit="1" customWidth="1"/>
    <col min="6169" max="6169" width="16.140625" style="435" bestFit="1" customWidth="1"/>
    <col min="6170" max="6170" width="9.140625" style="435"/>
    <col min="6171" max="6171" width="19.5703125" style="435" bestFit="1" customWidth="1"/>
    <col min="6172" max="6172" width="8.7109375" style="435" bestFit="1" customWidth="1"/>
    <col min="6173" max="6173" width="9.140625" style="435"/>
    <col min="6174" max="6174" width="19.5703125" style="435" customWidth="1"/>
    <col min="6175" max="6400" width="9.140625" style="435"/>
    <col min="6401" max="6418" width="0" style="435" hidden="1" customWidth="1"/>
    <col min="6419" max="6419" width="9.140625" style="435"/>
    <col min="6420" max="6420" width="25.5703125" style="435" bestFit="1" customWidth="1"/>
    <col min="6421" max="6421" width="9.140625" style="435"/>
    <col min="6422" max="6422" width="10" style="435" customWidth="1"/>
    <col min="6423" max="6423" width="11.28515625" style="435" customWidth="1"/>
    <col min="6424" max="6424" width="17.85546875" style="435" bestFit="1" customWidth="1"/>
    <col min="6425" max="6425" width="16.140625" style="435" bestFit="1" customWidth="1"/>
    <col min="6426" max="6426" width="9.140625" style="435"/>
    <col min="6427" max="6427" width="19.5703125" style="435" bestFit="1" customWidth="1"/>
    <col min="6428" max="6428" width="8.7109375" style="435" bestFit="1" customWidth="1"/>
    <col min="6429" max="6429" width="9.140625" style="435"/>
    <col min="6430" max="6430" width="19.5703125" style="435" customWidth="1"/>
    <col min="6431" max="6656" width="9.140625" style="435"/>
    <col min="6657" max="6674" width="0" style="435" hidden="1" customWidth="1"/>
    <col min="6675" max="6675" width="9.140625" style="435"/>
    <col min="6676" max="6676" width="25.5703125" style="435" bestFit="1" customWidth="1"/>
    <col min="6677" max="6677" width="9.140625" style="435"/>
    <col min="6678" max="6678" width="10" style="435" customWidth="1"/>
    <col min="6679" max="6679" width="11.28515625" style="435" customWidth="1"/>
    <col min="6680" max="6680" width="17.85546875" style="435" bestFit="1" customWidth="1"/>
    <col min="6681" max="6681" width="16.140625" style="435" bestFit="1" customWidth="1"/>
    <col min="6682" max="6682" width="9.140625" style="435"/>
    <col min="6683" max="6683" width="19.5703125" style="435" bestFit="1" customWidth="1"/>
    <col min="6684" max="6684" width="8.7109375" style="435" bestFit="1" customWidth="1"/>
    <col min="6685" max="6685" width="9.140625" style="435"/>
    <col min="6686" max="6686" width="19.5703125" style="435" customWidth="1"/>
    <col min="6687" max="6912" width="9.140625" style="435"/>
    <col min="6913" max="6930" width="0" style="435" hidden="1" customWidth="1"/>
    <col min="6931" max="6931" width="9.140625" style="435"/>
    <col min="6932" max="6932" width="25.5703125" style="435" bestFit="1" customWidth="1"/>
    <col min="6933" max="6933" width="9.140625" style="435"/>
    <col min="6934" max="6934" width="10" style="435" customWidth="1"/>
    <col min="6935" max="6935" width="11.28515625" style="435" customWidth="1"/>
    <col min="6936" max="6936" width="17.85546875" style="435" bestFit="1" customWidth="1"/>
    <col min="6937" max="6937" width="16.140625" style="435" bestFit="1" customWidth="1"/>
    <col min="6938" max="6938" width="9.140625" style="435"/>
    <col min="6939" max="6939" width="19.5703125" style="435" bestFit="1" customWidth="1"/>
    <col min="6940" max="6940" width="8.7109375" style="435" bestFit="1" customWidth="1"/>
    <col min="6941" max="6941" width="9.140625" style="435"/>
    <col min="6942" max="6942" width="19.5703125" style="435" customWidth="1"/>
    <col min="6943" max="7168" width="9.140625" style="435"/>
    <col min="7169" max="7186" width="0" style="435" hidden="1" customWidth="1"/>
    <col min="7187" max="7187" width="9.140625" style="435"/>
    <col min="7188" max="7188" width="25.5703125" style="435" bestFit="1" customWidth="1"/>
    <col min="7189" max="7189" width="9.140625" style="435"/>
    <col min="7190" max="7190" width="10" style="435" customWidth="1"/>
    <col min="7191" max="7191" width="11.28515625" style="435" customWidth="1"/>
    <col min="7192" max="7192" width="17.85546875" style="435" bestFit="1" customWidth="1"/>
    <col min="7193" max="7193" width="16.140625" style="435" bestFit="1" customWidth="1"/>
    <col min="7194" max="7194" width="9.140625" style="435"/>
    <col min="7195" max="7195" width="19.5703125" style="435" bestFit="1" customWidth="1"/>
    <col min="7196" max="7196" width="8.7109375" style="435" bestFit="1" customWidth="1"/>
    <col min="7197" max="7197" width="9.140625" style="435"/>
    <col min="7198" max="7198" width="19.5703125" style="435" customWidth="1"/>
    <col min="7199" max="7424" width="9.140625" style="435"/>
    <col min="7425" max="7442" width="0" style="435" hidden="1" customWidth="1"/>
    <col min="7443" max="7443" width="9.140625" style="435"/>
    <col min="7444" max="7444" width="25.5703125" style="435" bestFit="1" customWidth="1"/>
    <col min="7445" max="7445" width="9.140625" style="435"/>
    <col min="7446" max="7446" width="10" style="435" customWidth="1"/>
    <col min="7447" max="7447" width="11.28515625" style="435" customWidth="1"/>
    <col min="7448" max="7448" width="17.85546875" style="435" bestFit="1" customWidth="1"/>
    <col min="7449" max="7449" width="16.140625" style="435" bestFit="1" customWidth="1"/>
    <col min="7450" max="7450" width="9.140625" style="435"/>
    <col min="7451" max="7451" width="19.5703125" style="435" bestFit="1" customWidth="1"/>
    <col min="7452" max="7452" width="8.7109375" style="435" bestFit="1" customWidth="1"/>
    <col min="7453" max="7453" width="9.140625" style="435"/>
    <col min="7454" max="7454" width="19.5703125" style="435" customWidth="1"/>
    <col min="7455" max="7680" width="9.140625" style="435"/>
    <col min="7681" max="7698" width="0" style="435" hidden="1" customWidth="1"/>
    <col min="7699" max="7699" width="9.140625" style="435"/>
    <col min="7700" max="7700" width="25.5703125" style="435" bestFit="1" customWidth="1"/>
    <col min="7701" max="7701" width="9.140625" style="435"/>
    <col min="7702" max="7702" width="10" style="435" customWidth="1"/>
    <col min="7703" max="7703" width="11.28515625" style="435" customWidth="1"/>
    <col min="7704" max="7704" width="17.85546875" style="435" bestFit="1" customWidth="1"/>
    <col min="7705" max="7705" width="16.140625" style="435" bestFit="1" customWidth="1"/>
    <col min="7706" max="7706" width="9.140625" style="435"/>
    <col min="7707" max="7707" width="19.5703125" style="435" bestFit="1" customWidth="1"/>
    <col min="7708" max="7708" width="8.7109375" style="435" bestFit="1" customWidth="1"/>
    <col min="7709" max="7709" width="9.140625" style="435"/>
    <col min="7710" max="7710" width="19.5703125" style="435" customWidth="1"/>
    <col min="7711" max="7936" width="9.140625" style="435"/>
    <col min="7937" max="7954" width="0" style="435" hidden="1" customWidth="1"/>
    <col min="7955" max="7955" width="9.140625" style="435"/>
    <col min="7956" max="7956" width="25.5703125" style="435" bestFit="1" customWidth="1"/>
    <col min="7957" max="7957" width="9.140625" style="435"/>
    <col min="7958" max="7958" width="10" style="435" customWidth="1"/>
    <col min="7959" max="7959" width="11.28515625" style="435" customWidth="1"/>
    <col min="7960" max="7960" width="17.85546875" style="435" bestFit="1" customWidth="1"/>
    <col min="7961" max="7961" width="16.140625" style="435" bestFit="1" customWidth="1"/>
    <col min="7962" max="7962" width="9.140625" style="435"/>
    <col min="7963" max="7963" width="19.5703125" style="435" bestFit="1" customWidth="1"/>
    <col min="7964" max="7964" width="8.7109375" style="435" bestFit="1" customWidth="1"/>
    <col min="7965" max="7965" width="9.140625" style="435"/>
    <col min="7966" max="7966" width="19.5703125" style="435" customWidth="1"/>
    <col min="7967" max="8192" width="9.140625" style="435"/>
    <col min="8193" max="8210" width="0" style="435" hidden="1" customWidth="1"/>
    <col min="8211" max="8211" width="9.140625" style="435"/>
    <col min="8212" max="8212" width="25.5703125" style="435" bestFit="1" customWidth="1"/>
    <col min="8213" max="8213" width="9.140625" style="435"/>
    <col min="8214" max="8214" width="10" style="435" customWidth="1"/>
    <col min="8215" max="8215" width="11.28515625" style="435" customWidth="1"/>
    <col min="8216" max="8216" width="17.85546875" style="435" bestFit="1" customWidth="1"/>
    <col min="8217" max="8217" width="16.140625" style="435" bestFit="1" customWidth="1"/>
    <col min="8218" max="8218" width="9.140625" style="435"/>
    <col min="8219" max="8219" width="19.5703125" style="435" bestFit="1" customWidth="1"/>
    <col min="8220" max="8220" width="8.7109375" style="435" bestFit="1" customWidth="1"/>
    <col min="8221" max="8221" width="9.140625" style="435"/>
    <col min="8222" max="8222" width="19.5703125" style="435" customWidth="1"/>
    <col min="8223" max="8448" width="9.140625" style="435"/>
    <col min="8449" max="8466" width="0" style="435" hidden="1" customWidth="1"/>
    <col min="8467" max="8467" width="9.140625" style="435"/>
    <col min="8468" max="8468" width="25.5703125" style="435" bestFit="1" customWidth="1"/>
    <col min="8469" max="8469" width="9.140625" style="435"/>
    <col min="8470" max="8470" width="10" style="435" customWidth="1"/>
    <col min="8471" max="8471" width="11.28515625" style="435" customWidth="1"/>
    <col min="8472" max="8472" width="17.85546875" style="435" bestFit="1" customWidth="1"/>
    <col min="8473" max="8473" width="16.140625" style="435" bestFit="1" customWidth="1"/>
    <col min="8474" max="8474" width="9.140625" style="435"/>
    <col min="8475" max="8475" width="19.5703125" style="435" bestFit="1" customWidth="1"/>
    <col min="8476" max="8476" width="8.7109375" style="435" bestFit="1" customWidth="1"/>
    <col min="8477" max="8477" width="9.140625" style="435"/>
    <col min="8478" max="8478" width="19.5703125" style="435" customWidth="1"/>
    <col min="8479" max="8704" width="9.140625" style="435"/>
    <col min="8705" max="8722" width="0" style="435" hidden="1" customWidth="1"/>
    <col min="8723" max="8723" width="9.140625" style="435"/>
    <col min="8724" max="8724" width="25.5703125" style="435" bestFit="1" customWidth="1"/>
    <col min="8725" max="8725" width="9.140625" style="435"/>
    <col min="8726" max="8726" width="10" style="435" customWidth="1"/>
    <col min="8727" max="8727" width="11.28515625" style="435" customWidth="1"/>
    <col min="8728" max="8728" width="17.85546875" style="435" bestFit="1" customWidth="1"/>
    <col min="8729" max="8729" width="16.140625" style="435" bestFit="1" customWidth="1"/>
    <col min="8730" max="8730" width="9.140625" style="435"/>
    <col min="8731" max="8731" width="19.5703125" style="435" bestFit="1" customWidth="1"/>
    <col min="8732" max="8732" width="8.7109375" style="435" bestFit="1" customWidth="1"/>
    <col min="8733" max="8733" width="9.140625" style="435"/>
    <col min="8734" max="8734" width="19.5703125" style="435" customWidth="1"/>
    <col min="8735" max="8960" width="9.140625" style="435"/>
    <col min="8961" max="8978" width="0" style="435" hidden="1" customWidth="1"/>
    <col min="8979" max="8979" width="9.140625" style="435"/>
    <col min="8980" max="8980" width="25.5703125" style="435" bestFit="1" customWidth="1"/>
    <col min="8981" max="8981" width="9.140625" style="435"/>
    <col min="8982" max="8982" width="10" style="435" customWidth="1"/>
    <col min="8983" max="8983" width="11.28515625" style="435" customWidth="1"/>
    <col min="8984" max="8984" width="17.85546875" style="435" bestFit="1" customWidth="1"/>
    <col min="8985" max="8985" width="16.140625" style="435" bestFit="1" customWidth="1"/>
    <col min="8986" max="8986" width="9.140625" style="435"/>
    <col min="8987" max="8987" width="19.5703125" style="435" bestFit="1" customWidth="1"/>
    <col min="8988" max="8988" width="8.7109375" style="435" bestFit="1" customWidth="1"/>
    <col min="8989" max="8989" width="9.140625" style="435"/>
    <col min="8990" max="8990" width="19.5703125" style="435" customWidth="1"/>
    <col min="8991" max="9216" width="9.140625" style="435"/>
    <col min="9217" max="9234" width="0" style="435" hidden="1" customWidth="1"/>
    <col min="9235" max="9235" width="9.140625" style="435"/>
    <col min="9236" max="9236" width="25.5703125" style="435" bestFit="1" customWidth="1"/>
    <col min="9237" max="9237" width="9.140625" style="435"/>
    <col min="9238" max="9238" width="10" style="435" customWidth="1"/>
    <col min="9239" max="9239" width="11.28515625" style="435" customWidth="1"/>
    <col min="9240" max="9240" width="17.85546875" style="435" bestFit="1" customWidth="1"/>
    <col min="9241" max="9241" width="16.140625" style="435" bestFit="1" customWidth="1"/>
    <col min="9242" max="9242" width="9.140625" style="435"/>
    <col min="9243" max="9243" width="19.5703125" style="435" bestFit="1" customWidth="1"/>
    <col min="9244" max="9244" width="8.7109375" style="435" bestFit="1" customWidth="1"/>
    <col min="9245" max="9245" width="9.140625" style="435"/>
    <col min="9246" max="9246" width="19.5703125" style="435" customWidth="1"/>
    <col min="9247" max="9472" width="9.140625" style="435"/>
    <col min="9473" max="9490" width="0" style="435" hidden="1" customWidth="1"/>
    <col min="9491" max="9491" width="9.140625" style="435"/>
    <col min="9492" max="9492" width="25.5703125" style="435" bestFit="1" customWidth="1"/>
    <col min="9493" max="9493" width="9.140625" style="435"/>
    <col min="9494" max="9494" width="10" style="435" customWidth="1"/>
    <col min="9495" max="9495" width="11.28515625" style="435" customWidth="1"/>
    <col min="9496" max="9496" width="17.85546875" style="435" bestFit="1" customWidth="1"/>
    <col min="9497" max="9497" width="16.140625" style="435" bestFit="1" customWidth="1"/>
    <col min="9498" max="9498" width="9.140625" style="435"/>
    <col min="9499" max="9499" width="19.5703125" style="435" bestFit="1" customWidth="1"/>
    <col min="9500" max="9500" width="8.7109375" style="435" bestFit="1" customWidth="1"/>
    <col min="9501" max="9501" width="9.140625" style="435"/>
    <col min="9502" max="9502" width="19.5703125" style="435" customWidth="1"/>
    <col min="9503" max="9728" width="9.140625" style="435"/>
    <col min="9729" max="9746" width="0" style="435" hidden="1" customWidth="1"/>
    <col min="9747" max="9747" width="9.140625" style="435"/>
    <col min="9748" max="9748" width="25.5703125" style="435" bestFit="1" customWidth="1"/>
    <col min="9749" max="9749" width="9.140625" style="435"/>
    <col min="9750" max="9750" width="10" style="435" customWidth="1"/>
    <col min="9751" max="9751" width="11.28515625" style="435" customWidth="1"/>
    <col min="9752" max="9752" width="17.85546875" style="435" bestFit="1" customWidth="1"/>
    <col min="9753" max="9753" width="16.140625" style="435" bestFit="1" customWidth="1"/>
    <col min="9754" max="9754" width="9.140625" style="435"/>
    <col min="9755" max="9755" width="19.5703125" style="435" bestFit="1" customWidth="1"/>
    <col min="9756" max="9756" width="8.7109375" style="435" bestFit="1" customWidth="1"/>
    <col min="9757" max="9757" width="9.140625" style="435"/>
    <col min="9758" max="9758" width="19.5703125" style="435" customWidth="1"/>
    <col min="9759" max="9984" width="9.140625" style="435"/>
    <col min="9985" max="10002" width="0" style="435" hidden="1" customWidth="1"/>
    <col min="10003" max="10003" width="9.140625" style="435"/>
    <col min="10004" max="10004" width="25.5703125" style="435" bestFit="1" customWidth="1"/>
    <col min="10005" max="10005" width="9.140625" style="435"/>
    <col min="10006" max="10006" width="10" style="435" customWidth="1"/>
    <col min="10007" max="10007" width="11.28515625" style="435" customWidth="1"/>
    <col min="10008" max="10008" width="17.85546875" style="435" bestFit="1" customWidth="1"/>
    <col min="10009" max="10009" width="16.140625" style="435" bestFit="1" customWidth="1"/>
    <col min="10010" max="10010" width="9.140625" style="435"/>
    <col min="10011" max="10011" width="19.5703125" style="435" bestFit="1" customWidth="1"/>
    <col min="10012" max="10012" width="8.7109375" style="435" bestFit="1" customWidth="1"/>
    <col min="10013" max="10013" width="9.140625" style="435"/>
    <col min="10014" max="10014" width="19.5703125" style="435" customWidth="1"/>
    <col min="10015" max="10240" width="9.140625" style="435"/>
    <col min="10241" max="10258" width="0" style="435" hidden="1" customWidth="1"/>
    <col min="10259" max="10259" width="9.140625" style="435"/>
    <col min="10260" max="10260" width="25.5703125" style="435" bestFit="1" customWidth="1"/>
    <col min="10261" max="10261" width="9.140625" style="435"/>
    <col min="10262" max="10262" width="10" style="435" customWidth="1"/>
    <col min="10263" max="10263" width="11.28515625" style="435" customWidth="1"/>
    <col min="10264" max="10264" width="17.85546875" style="435" bestFit="1" customWidth="1"/>
    <col min="10265" max="10265" width="16.140625" style="435" bestFit="1" customWidth="1"/>
    <col min="10266" max="10266" width="9.140625" style="435"/>
    <col min="10267" max="10267" width="19.5703125" style="435" bestFit="1" customWidth="1"/>
    <col min="10268" max="10268" width="8.7109375" style="435" bestFit="1" customWidth="1"/>
    <col min="10269" max="10269" width="9.140625" style="435"/>
    <col min="10270" max="10270" width="19.5703125" style="435" customWidth="1"/>
    <col min="10271" max="10496" width="9.140625" style="435"/>
    <col min="10497" max="10514" width="0" style="435" hidden="1" customWidth="1"/>
    <col min="10515" max="10515" width="9.140625" style="435"/>
    <col min="10516" max="10516" width="25.5703125" style="435" bestFit="1" customWidth="1"/>
    <col min="10517" max="10517" width="9.140625" style="435"/>
    <col min="10518" max="10518" width="10" style="435" customWidth="1"/>
    <col min="10519" max="10519" width="11.28515625" style="435" customWidth="1"/>
    <col min="10520" max="10520" width="17.85546875" style="435" bestFit="1" customWidth="1"/>
    <col min="10521" max="10521" width="16.140625" style="435" bestFit="1" customWidth="1"/>
    <col min="10522" max="10522" width="9.140625" style="435"/>
    <col min="10523" max="10523" width="19.5703125" style="435" bestFit="1" customWidth="1"/>
    <col min="10524" max="10524" width="8.7109375" style="435" bestFit="1" customWidth="1"/>
    <col min="10525" max="10525" width="9.140625" style="435"/>
    <col min="10526" max="10526" width="19.5703125" style="435" customWidth="1"/>
    <col min="10527" max="10752" width="9.140625" style="435"/>
    <col min="10753" max="10770" width="0" style="435" hidden="1" customWidth="1"/>
    <col min="10771" max="10771" width="9.140625" style="435"/>
    <col min="10772" max="10772" width="25.5703125" style="435" bestFit="1" customWidth="1"/>
    <col min="10773" max="10773" width="9.140625" style="435"/>
    <col min="10774" max="10774" width="10" style="435" customWidth="1"/>
    <col min="10775" max="10775" width="11.28515625" style="435" customWidth="1"/>
    <col min="10776" max="10776" width="17.85546875" style="435" bestFit="1" customWidth="1"/>
    <col min="10777" max="10777" width="16.140625" style="435" bestFit="1" customWidth="1"/>
    <col min="10778" max="10778" width="9.140625" style="435"/>
    <col min="10779" max="10779" width="19.5703125" style="435" bestFit="1" customWidth="1"/>
    <col min="10780" max="10780" width="8.7109375" style="435" bestFit="1" customWidth="1"/>
    <col min="10781" max="10781" width="9.140625" style="435"/>
    <col min="10782" max="10782" width="19.5703125" style="435" customWidth="1"/>
    <col min="10783" max="11008" width="9.140625" style="435"/>
    <col min="11009" max="11026" width="0" style="435" hidden="1" customWidth="1"/>
    <col min="11027" max="11027" width="9.140625" style="435"/>
    <col min="11028" max="11028" width="25.5703125" style="435" bestFit="1" customWidth="1"/>
    <col min="11029" max="11029" width="9.140625" style="435"/>
    <col min="11030" max="11030" width="10" style="435" customWidth="1"/>
    <col min="11031" max="11031" width="11.28515625" style="435" customWidth="1"/>
    <col min="11032" max="11032" width="17.85546875" style="435" bestFit="1" customWidth="1"/>
    <col min="11033" max="11033" width="16.140625" style="435" bestFit="1" customWidth="1"/>
    <col min="11034" max="11034" width="9.140625" style="435"/>
    <col min="11035" max="11035" width="19.5703125" style="435" bestFit="1" customWidth="1"/>
    <col min="11036" max="11036" width="8.7109375" style="435" bestFit="1" customWidth="1"/>
    <col min="11037" max="11037" width="9.140625" style="435"/>
    <col min="11038" max="11038" width="19.5703125" style="435" customWidth="1"/>
    <col min="11039" max="11264" width="9.140625" style="435"/>
    <col min="11265" max="11282" width="0" style="435" hidden="1" customWidth="1"/>
    <col min="11283" max="11283" width="9.140625" style="435"/>
    <col min="11284" max="11284" width="25.5703125" style="435" bestFit="1" customWidth="1"/>
    <col min="11285" max="11285" width="9.140625" style="435"/>
    <col min="11286" max="11286" width="10" style="435" customWidth="1"/>
    <col min="11287" max="11287" width="11.28515625" style="435" customWidth="1"/>
    <col min="11288" max="11288" width="17.85546875" style="435" bestFit="1" customWidth="1"/>
    <col min="11289" max="11289" width="16.140625" style="435" bestFit="1" customWidth="1"/>
    <col min="11290" max="11290" width="9.140625" style="435"/>
    <col min="11291" max="11291" width="19.5703125" style="435" bestFit="1" customWidth="1"/>
    <col min="11292" max="11292" width="8.7109375" style="435" bestFit="1" customWidth="1"/>
    <col min="11293" max="11293" width="9.140625" style="435"/>
    <col min="11294" max="11294" width="19.5703125" style="435" customWidth="1"/>
    <col min="11295" max="11520" width="9.140625" style="435"/>
    <col min="11521" max="11538" width="0" style="435" hidden="1" customWidth="1"/>
    <col min="11539" max="11539" width="9.140625" style="435"/>
    <col min="11540" max="11540" width="25.5703125" style="435" bestFit="1" customWidth="1"/>
    <col min="11541" max="11541" width="9.140625" style="435"/>
    <col min="11542" max="11542" width="10" style="435" customWidth="1"/>
    <col min="11543" max="11543" width="11.28515625" style="435" customWidth="1"/>
    <col min="11544" max="11544" width="17.85546875" style="435" bestFit="1" customWidth="1"/>
    <col min="11545" max="11545" width="16.140625" style="435" bestFit="1" customWidth="1"/>
    <col min="11546" max="11546" width="9.140625" style="435"/>
    <col min="11547" max="11547" width="19.5703125" style="435" bestFit="1" customWidth="1"/>
    <col min="11548" max="11548" width="8.7109375" style="435" bestFit="1" customWidth="1"/>
    <col min="11549" max="11549" width="9.140625" style="435"/>
    <col min="11550" max="11550" width="19.5703125" style="435" customWidth="1"/>
    <col min="11551" max="11776" width="9.140625" style="435"/>
    <col min="11777" max="11794" width="0" style="435" hidden="1" customWidth="1"/>
    <col min="11795" max="11795" width="9.140625" style="435"/>
    <col min="11796" max="11796" width="25.5703125" style="435" bestFit="1" customWidth="1"/>
    <col min="11797" max="11797" width="9.140625" style="435"/>
    <col min="11798" max="11798" width="10" style="435" customWidth="1"/>
    <col min="11799" max="11799" width="11.28515625" style="435" customWidth="1"/>
    <col min="11800" max="11800" width="17.85546875" style="435" bestFit="1" customWidth="1"/>
    <col min="11801" max="11801" width="16.140625" style="435" bestFit="1" customWidth="1"/>
    <col min="11802" max="11802" width="9.140625" style="435"/>
    <col min="11803" max="11803" width="19.5703125" style="435" bestFit="1" customWidth="1"/>
    <col min="11804" max="11804" width="8.7109375" style="435" bestFit="1" customWidth="1"/>
    <col min="11805" max="11805" width="9.140625" style="435"/>
    <col min="11806" max="11806" width="19.5703125" style="435" customWidth="1"/>
    <col min="11807" max="12032" width="9.140625" style="435"/>
    <col min="12033" max="12050" width="0" style="435" hidden="1" customWidth="1"/>
    <col min="12051" max="12051" width="9.140625" style="435"/>
    <col min="12052" max="12052" width="25.5703125" style="435" bestFit="1" customWidth="1"/>
    <col min="12053" max="12053" width="9.140625" style="435"/>
    <col min="12054" max="12054" width="10" style="435" customWidth="1"/>
    <col min="12055" max="12055" width="11.28515625" style="435" customWidth="1"/>
    <col min="12056" max="12056" width="17.85546875" style="435" bestFit="1" customWidth="1"/>
    <col min="12057" max="12057" width="16.140625" style="435" bestFit="1" customWidth="1"/>
    <col min="12058" max="12058" width="9.140625" style="435"/>
    <col min="12059" max="12059" width="19.5703125" style="435" bestFit="1" customWidth="1"/>
    <col min="12060" max="12060" width="8.7109375" style="435" bestFit="1" customWidth="1"/>
    <col min="12061" max="12061" width="9.140625" style="435"/>
    <col min="12062" max="12062" width="19.5703125" style="435" customWidth="1"/>
    <col min="12063" max="12288" width="9.140625" style="435"/>
    <col min="12289" max="12306" width="0" style="435" hidden="1" customWidth="1"/>
    <col min="12307" max="12307" width="9.140625" style="435"/>
    <col min="12308" max="12308" width="25.5703125" style="435" bestFit="1" customWidth="1"/>
    <col min="12309" max="12309" width="9.140625" style="435"/>
    <col min="12310" max="12310" width="10" style="435" customWidth="1"/>
    <col min="12311" max="12311" width="11.28515625" style="435" customWidth="1"/>
    <col min="12312" max="12312" width="17.85546875" style="435" bestFit="1" customWidth="1"/>
    <col min="12313" max="12313" width="16.140625" style="435" bestFit="1" customWidth="1"/>
    <col min="12314" max="12314" width="9.140625" style="435"/>
    <col min="12315" max="12315" width="19.5703125" style="435" bestFit="1" customWidth="1"/>
    <col min="12316" max="12316" width="8.7109375" style="435" bestFit="1" customWidth="1"/>
    <col min="12317" max="12317" width="9.140625" style="435"/>
    <col min="12318" max="12318" width="19.5703125" style="435" customWidth="1"/>
    <col min="12319" max="12544" width="9.140625" style="435"/>
    <col min="12545" max="12562" width="0" style="435" hidden="1" customWidth="1"/>
    <col min="12563" max="12563" width="9.140625" style="435"/>
    <col min="12564" max="12564" width="25.5703125" style="435" bestFit="1" customWidth="1"/>
    <col min="12565" max="12565" width="9.140625" style="435"/>
    <col min="12566" max="12566" width="10" style="435" customWidth="1"/>
    <col min="12567" max="12567" width="11.28515625" style="435" customWidth="1"/>
    <col min="12568" max="12568" width="17.85546875" style="435" bestFit="1" customWidth="1"/>
    <col min="12569" max="12569" width="16.140625" style="435" bestFit="1" customWidth="1"/>
    <col min="12570" max="12570" width="9.140625" style="435"/>
    <col min="12571" max="12571" width="19.5703125" style="435" bestFit="1" customWidth="1"/>
    <col min="12572" max="12572" width="8.7109375" style="435" bestFit="1" customWidth="1"/>
    <col min="12573" max="12573" width="9.140625" style="435"/>
    <col min="12574" max="12574" width="19.5703125" style="435" customWidth="1"/>
    <col min="12575" max="12800" width="9.140625" style="435"/>
    <col min="12801" max="12818" width="0" style="435" hidden="1" customWidth="1"/>
    <col min="12819" max="12819" width="9.140625" style="435"/>
    <col min="12820" max="12820" width="25.5703125" style="435" bestFit="1" customWidth="1"/>
    <col min="12821" max="12821" width="9.140625" style="435"/>
    <col min="12822" max="12822" width="10" style="435" customWidth="1"/>
    <col min="12823" max="12823" width="11.28515625" style="435" customWidth="1"/>
    <col min="12824" max="12824" width="17.85546875" style="435" bestFit="1" customWidth="1"/>
    <col min="12825" max="12825" width="16.140625" style="435" bestFit="1" customWidth="1"/>
    <col min="12826" max="12826" width="9.140625" style="435"/>
    <col min="12827" max="12827" width="19.5703125" style="435" bestFit="1" customWidth="1"/>
    <col min="12828" max="12828" width="8.7109375" style="435" bestFit="1" customWidth="1"/>
    <col min="12829" max="12829" width="9.140625" style="435"/>
    <col min="12830" max="12830" width="19.5703125" style="435" customWidth="1"/>
    <col min="12831" max="13056" width="9.140625" style="435"/>
    <col min="13057" max="13074" width="0" style="435" hidden="1" customWidth="1"/>
    <col min="13075" max="13075" width="9.140625" style="435"/>
    <col min="13076" max="13076" width="25.5703125" style="435" bestFit="1" customWidth="1"/>
    <col min="13077" max="13077" width="9.140625" style="435"/>
    <col min="13078" max="13078" width="10" style="435" customWidth="1"/>
    <col min="13079" max="13079" width="11.28515625" style="435" customWidth="1"/>
    <col min="13080" max="13080" width="17.85546875" style="435" bestFit="1" customWidth="1"/>
    <col min="13081" max="13081" width="16.140625" style="435" bestFit="1" customWidth="1"/>
    <col min="13082" max="13082" width="9.140625" style="435"/>
    <col min="13083" max="13083" width="19.5703125" style="435" bestFit="1" customWidth="1"/>
    <col min="13084" max="13084" width="8.7109375" style="435" bestFit="1" customWidth="1"/>
    <col min="13085" max="13085" width="9.140625" style="435"/>
    <col min="13086" max="13086" width="19.5703125" style="435" customWidth="1"/>
    <col min="13087" max="13312" width="9.140625" style="435"/>
    <col min="13313" max="13330" width="0" style="435" hidden="1" customWidth="1"/>
    <col min="13331" max="13331" width="9.140625" style="435"/>
    <col min="13332" max="13332" width="25.5703125" style="435" bestFit="1" customWidth="1"/>
    <col min="13333" max="13333" width="9.140625" style="435"/>
    <col min="13334" max="13334" width="10" style="435" customWidth="1"/>
    <col min="13335" max="13335" width="11.28515625" style="435" customWidth="1"/>
    <col min="13336" max="13336" width="17.85546875" style="435" bestFit="1" customWidth="1"/>
    <col min="13337" max="13337" width="16.140625" style="435" bestFit="1" customWidth="1"/>
    <col min="13338" max="13338" width="9.140625" style="435"/>
    <col min="13339" max="13339" width="19.5703125" style="435" bestFit="1" customWidth="1"/>
    <col min="13340" max="13340" width="8.7109375" style="435" bestFit="1" customWidth="1"/>
    <col min="13341" max="13341" width="9.140625" style="435"/>
    <col min="13342" max="13342" width="19.5703125" style="435" customWidth="1"/>
    <col min="13343" max="13568" width="9.140625" style="435"/>
    <col min="13569" max="13586" width="0" style="435" hidden="1" customWidth="1"/>
    <col min="13587" max="13587" width="9.140625" style="435"/>
    <col min="13588" max="13588" width="25.5703125" style="435" bestFit="1" customWidth="1"/>
    <col min="13589" max="13589" width="9.140625" style="435"/>
    <col min="13590" max="13590" width="10" style="435" customWidth="1"/>
    <col min="13591" max="13591" width="11.28515625" style="435" customWidth="1"/>
    <col min="13592" max="13592" width="17.85546875" style="435" bestFit="1" customWidth="1"/>
    <col min="13593" max="13593" width="16.140625" style="435" bestFit="1" customWidth="1"/>
    <col min="13594" max="13594" width="9.140625" style="435"/>
    <col min="13595" max="13595" width="19.5703125" style="435" bestFit="1" customWidth="1"/>
    <col min="13596" max="13596" width="8.7109375" style="435" bestFit="1" customWidth="1"/>
    <col min="13597" max="13597" width="9.140625" style="435"/>
    <col min="13598" max="13598" width="19.5703125" style="435" customWidth="1"/>
    <col min="13599" max="13824" width="9.140625" style="435"/>
    <col min="13825" max="13842" width="0" style="435" hidden="1" customWidth="1"/>
    <col min="13843" max="13843" width="9.140625" style="435"/>
    <col min="13844" max="13844" width="25.5703125" style="435" bestFit="1" customWidth="1"/>
    <col min="13845" max="13845" width="9.140625" style="435"/>
    <col min="13846" max="13846" width="10" style="435" customWidth="1"/>
    <col min="13847" max="13847" width="11.28515625" style="435" customWidth="1"/>
    <col min="13848" max="13848" width="17.85546875" style="435" bestFit="1" customWidth="1"/>
    <col min="13849" max="13849" width="16.140625" style="435" bestFit="1" customWidth="1"/>
    <col min="13850" max="13850" width="9.140625" style="435"/>
    <col min="13851" max="13851" width="19.5703125" style="435" bestFit="1" customWidth="1"/>
    <col min="13852" max="13852" width="8.7109375" style="435" bestFit="1" customWidth="1"/>
    <col min="13853" max="13853" width="9.140625" style="435"/>
    <col min="13854" max="13854" width="19.5703125" style="435" customWidth="1"/>
    <col min="13855" max="14080" width="9.140625" style="435"/>
    <col min="14081" max="14098" width="0" style="435" hidden="1" customWidth="1"/>
    <col min="14099" max="14099" width="9.140625" style="435"/>
    <col min="14100" max="14100" width="25.5703125" style="435" bestFit="1" customWidth="1"/>
    <col min="14101" max="14101" width="9.140625" style="435"/>
    <col min="14102" max="14102" width="10" style="435" customWidth="1"/>
    <col min="14103" max="14103" width="11.28515625" style="435" customWidth="1"/>
    <col min="14104" max="14104" width="17.85546875" style="435" bestFit="1" customWidth="1"/>
    <col min="14105" max="14105" width="16.140625" style="435" bestFit="1" customWidth="1"/>
    <col min="14106" max="14106" width="9.140625" style="435"/>
    <col min="14107" max="14107" width="19.5703125" style="435" bestFit="1" customWidth="1"/>
    <col min="14108" max="14108" width="8.7109375" style="435" bestFit="1" customWidth="1"/>
    <col min="14109" max="14109" width="9.140625" style="435"/>
    <col min="14110" max="14110" width="19.5703125" style="435" customWidth="1"/>
    <col min="14111" max="14336" width="9.140625" style="435"/>
    <col min="14337" max="14354" width="0" style="435" hidden="1" customWidth="1"/>
    <col min="14355" max="14355" width="9.140625" style="435"/>
    <col min="14356" max="14356" width="25.5703125" style="435" bestFit="1" customWidth="1"/>
    <col min="14357" max="14357" width="9.140625" style="435"/>
    <col min="14358" max="14358" width="10" style="435" customWidth="1"/>
    <col min="14359" max="14359" width="11.28515625" style="435" customWidth="1"/>
    <col min="14360" max="14360" width="17.85546875" style="435" bestFit="1" customWidth="1"/>
    <col min="14361" max="14361" width="16.140625" style="435" bestFit="1" customWidth="1"/>
    <col min="14362" max="14362" width="9.140625" style="435"/>
    <col min="14363" max="14363" width="19.5703125" style="435" bestFit="1" customWidth="1"/>
    <col min="14364" max="14364" width="8.7109375" style="435" bestFit="1" customWidth="1"/>
    <col min="14365" max="14365" width="9.140625" style="435"/>
    <col min="14366" max="14366" width="19.5703125" style="435" customWidth="1"/>
    <col min="14367" max="14592" width="9.140625" style="435"/>
    <col min="14593" max="14610" width="0" style="435" hidden="1" customWidth="1"/>
    <col min="14611" max="14611" width="9.140625" style="435"/>
    <col min="14612" max="14612" width="25.5703125" style="435" bestFit="1" customWidth="1"/>
    <col min="14613" max="14613" width="9.140625" style="435"/>
    <col min="14614" max="14614" width="10" style="435" customWidth="1"/>
    <col min="14615" max="14615" width="11.28515625" style="435" customWidth="1"/>
    <col min="14616" max="14616" width="17.85546875" style="435" bestFit="1" customWidth="1"/>
    <col min="14617" max="14617" width="16.140625" style="435" bestFit="1" customWidth="1"/>
    <col min="14618" max="14618" width="9.140625" style="435"/>
    <col min="14619" max="14619" width="19.5703125" style="435" bestFit="1" customWidth="1"/>
    <col min="14620" max="14620" width="8.7109375" style="435" bestFit="1" customWidth="1"/>
    <col min="14621" max="14621" width="9.140625" style="435"/>
    <col min="14622" max="14622" width="19.5703125" style="435" customWidth="1"/>
    <col min="14623" max="14848" width="9.140625" style="435"/>
    <col min="14849" max="14866" width="0" style="435" hidden="1" customWidth="1"/>
    <col min="14867" max="14867" width="9.140625" style="435"/>
    <col min="14868" max="14868" width="25.5703125" style="435" bestFit="1" customWidth="1"/>
    <col min="14869" max="14869" width="9.140625" style="435"/>
    <col min="14870" max="14870" width="10" style="435" customWidth="1"/>
    <col min="14871" max="14871" width="11.28515625" style="435" customWidth="1"/>
    <col min="14872" max="14872" width="17.85546875" style="435" bestFit="1" customWidth="1"/>
    <col min="14873" max="14873" width="16.140625" style="435" bestFit="1" customWidth="1"/>
    <col min="14874" max="14874" width="9.140625" style="435"/>
    <col min="14875" max="14875" width="19.5703125" style="435" bestFit="1" customWidth="1"/>
    <col min="14876" max="14876" width="8.7109375" style="435" bestFit="1" customWidth="1"/>
    <col min="14877" max="14877" width="9.140625" style="435"/>
    <col min="14878" max="14878" width="19.5703125" style="435" customWidth="1"/>
    <col min="14879" max="15104" width="9.140625" style="435"/>
    <col min="15105" max="15122" width="0" style="435" hidden="1" customWidth="1"/>
    <col min="15123" max="15123" width="9.140625" style="435"/>
    <col min="15124" max="15124" width="25.5703125" style="435" bestFit="1" customWidth="1"/>
    <col min="15125" max="15125" width="9.140625" style="435"/>
    <col min="15126" max="15126" width="10" style="435" customWidth="1"/>
    <col min="15127" max="15127" width="11.28515625" style="435" customWidth="1"/>
    <col min="15128" max="15128" width="17.85546875" style="435" bestFit="1" customWidth="1"/>
    <col min="15129" max="15129" width="16.140625" style="435" bestFit="1" customWidth="1"/>
    <col min="15130" max="15130" width="9.140625" style="435"/>
    <col min="15131" max="15131" width="19.5703125" style="435" bestFit="1" customWidth="1"/>
    <col min="15132" max="15132" width="8.7109375" style="435" bestFit="1" customWidth="1"/>
    <col min="15133" max="15133" width="9.140625" style="435"/>
    <col min="15134" max="15134" width="19.5703125" style="435" customWidth="1"/>
    <col min="15135" max="15360" width="9.140625" style="435"/>
    <col min="15361" max="15378" width="0" style="435" hidden="1" customWidth="1"/>
    <col min="15379" max="15379" width="9.140625" style="435"/>
    <col min="15380" max="15380" width="25.5703125" style="435" bestFit="1" customWidth="1"/>
    <col min="15381" max="15381" width="9.140625" style="435"/>
    <col min="15382" max="15382" width="10" style="435" customWidth="1"/>
    <col min="15383" max="15383" width="11.28515625" style="435" customWidth="1"/>
    <col min="15384" max="15384" width="17.85546875" style="435" bestFit="1" customWidth="1"/>
    <col min="15385" max="15385" width="16.140625" style="435" bestFit="1" customWidth="1"/>
    <col min="15386" max="15386" width="9.140625" style="435"/>
    <col min="15387" max="15387" width="19.5703125" style="435" bestFit="1" customWidth="1"/>
    <col min="15388" max="15388" width="8.7109375" style="435" bestFit="1" customWidth="1"/>
    <col min="15389" max="15389" width="9.140625" style="435"/>
    <col min="15390" max="15390" width="19.5703125" style="435" customWidth="1"/>
    <col min="15391" max="15616" width="9.140625" style="435"/>
    <col min="15617" max="15634" width="0" style="435" hidden="1" customWidth="1"/>
    <col min="15635" max="15635" width="9.140625" style="435"/>
    <col min="15636" max="15636" width="25.5703125" style="435" bestFit="1" customWidth="1"/>
    <col min="15637" max="15637" width="9.140625" style="435"/>
    <col min="15638" max="15638" width="10" style="435" customWidth="1"/>
    <col min="15639" max="15639" width="11.28515625" style="435" customWidth="1"/>
    <col min="15640" max="15640" width="17.85546875" style="435" bestFit="1" customWidth="1"/>
    <col min="15641" max="15641" width="16.140625" style="435" bestFit="1" customWidth="1"/>
    <col min="15642" max="15642" width="9.140625" style="435"/>
    <col min="15643" max="15643" width="19.5703125" style="435" bestFit="1" customWidth="1"/>
    <col min="15644" max="15644" width="8.7109375" style="435" bestFit="1" customWidth="1"/>
    <col min="15645" max="15645" width="9.140625" style="435"/>
    <col min="15646" max="15646" width="19.5703125" style="435" customWidth="1"/>
    <col min="15647" max="15872" width="9.140625" style="435"/>
    <col min="15873" max="15890" width="0" style="435" hidden="1" customWidth="1"/>
    <col min="15891" max="15891" width="9.140625" style="435"/>
    <col min="15892" max="15892" width="25.5703125" style="435" bestFit="1" customWidth="1"/>
    <col min="15893" max="15893" width="9.140625" style="435"/>
    <col min="15894" max="15894" width="10" style="435" customWidth="1"/>
    <col min="15895" max="15895" width="11.28515625" style="435" customWidth="1"/>
    <col min="15896" max="15896" width="17.85546875" style="435" bestFit="1" customWidth="1"/>
    <col min="15897" max="15897" width="16.140625" style="435" bestFit="1" customWidth="1"/>
    <col min="15898" max="15898" width="9.140625" style="435"/>
    <col min="15899" max="15899" width="19.5703125" style="435" bestFit="1" customWidth="1"/>
    <col min="15900" max="15900" width="8.7109375" style="435" bestFit="1" customWidth="1"/>
    <col min="15901" max="15901" width="9.140625" style="435"/>
    <col min="15902" max="15902" width="19.5703125" style="435" customWidth="1"/>
    <col min="15903" max="16128" width="9.140625" style="435"/>
    <col min="16129" max="16146" width="0" style="435" hidden="1" customWidth="1"/>
    <col min="16147" max="16147" width="9.140625" style="435"/>
    <col min="16148" max="16148" width="25.5703125" style="435" bestFit="1" customWidth="1"/>
    <col min="16149" max="16149" width="9.140625" style="435"/>
    <col min="16150" max="16150" width="10" style="435" customWidth="1"/>
    <col min="16151" max="16151" width="11.28515625" style="435" customWidth="1"/>
    <col min="16152" max="16152" width="17.85546875" style="435" bestFit="1" customWidth="1"/>
    <col min="16153" max="16153" width="16.140625" style="435" bestFit="1" customWidth="1"/>
    <col min="16154" max="16154" width="9.140625" style="435"/>
    <col min="16155" max="16155" width="19.5703125" style="435" bestFit="1" customWidth="1"/>
    <col min="16156" max="16156" width="8.7109375" style="435" bestFit="1" customWidth="1"/>
    <col min="16157" max="16157" width="9.140625" style="435"/>
    <col min="16158" max="16158" width="19.5703125" style="435" customWidth="1"/>
    <col min="16159" max="16384" width="9.140625" style="435"/>
  </cols>
  <sheetData>
    <row r="1" spans="1:30" ht="24" thickBot="1">
      <c r="A1" s="557"/>
      <c r="B1" s="558"/>
      <c r="C1" s="507"/>
      <c r="D1" s="507"/>
      <c r="E1" s="507"/>
      <c r="F1" s="507"/>
      <c r="G1" s="507"/>
      <c r="H1" s="507"/>
      <c r="I1" s="507"/>
      <c r="J1" s="507"/>
      <c r="K1" s="507"/>
      <c r="L1" s="507"/>
      <c r="M1" s="507"/>
      <c r="N1" s="507"/>
      <c r="O1" s="507"/>
      <c r="P1" s="507"/>
      <c r="Q1" s="507"/>
      <c r="R1" s="507"/>
      <c r="S1" s="684" t="s">
        <v>1729</v>
      </c>
      <c r="T1" s="548"/>
      <c r="U1" s="508"/>
      <c r="V1" s="508"/>
      <c r="W1" s="508"/>
      <c r="X1" s="508"/>
      <c r="Y1" s="507"/>
      <c r="Z1" s="507"/>
      <c r="AA1" s="2777" t="s">
        <v>1749</v>
      </c>
      <c r="AB1" s="2778"/>
      <c r="AC1" s="2779"/>
      <c r="AD1" s="509"/>
    </row>
    <row r="2" spans="1:30" ht="13.5" thickBot="1">
      <c r="A2" s="489"/>
      <c r="B2" s="559"/>
      <c r="C2" s="560"/>
      <c r="D2" s="559"/>
      <c r="E2" s="438"/>
      <c r="F2" s="438"/>
      <c r="G2" s="438"/>
      <c r="H2" s="438"/>
      <c r="I2" s="438"/>
      <c r="J2" s="438"/>
      <c r="K2" s="438"/>
      <c r="L2" s="438"/>
      <c r="M2" s="438"/>
      <c r="N2" s="438"/>
      <c r="O2" s="438"/>
      <c r="P2" s="438"/>
      <c r="Q2" s="438"/>
      <c r="R2" s="438"/>
      <c r="S2" s="438"/>
      <c r="T2" s="561"/>
      <c r="U2" s="511"/>
      <c r="V2" s="511"/>
      <c r="W2" s="511"/>
      <c r="X2" s="511"/>
      <c r="Y2" s="438"/>
      <c r="Z2" s="438"/>
      <c r="AA2" s="438"/>
      <c r="AB2" s="438"/>
      <c r="AC2" s="438"/>
      <c r="AD2" s="439"/>
    </row>
    <row r="3" spans="1:30" s="566" customFormat="1" ht="13.5" thickTop="1">
      <c r="A3" s="562"/>
      <c r="B3" s="563">
        <f>(W5-V5)*U5*0.000644</f>
        <v>1.0638880000000002</v>
      </c>
      <c r="C3" s="564"/>
      <c r="D3" s="563">
        <f>(AA5-Z5)*Y5*0.000644</f>
        <v>0.37996000000000002</v>
      </c>
      <c r="E3" s="561"/>
      <c r="F3" s="561"/>
      <c r="G3" s="561"/>
      <c r="H3" s="561"/>
      <c r="I3" s="561"/>
      <c r="J3" s="561"/>
      <c r="K3" s="561"/>
      <c r="L3" s="561"/>
      <c r="M3" s="561"/>
      <c r="N3" s="561"/>
      <c r="O3" s="561"/>
      <c r="P3" s="561"/>
      <c r="Q3" s="561"/>
      <c r="R3" s="561"/>
      <c r="S3" s="561"/>
      <c r="T3" s="561"/>
      <c r="U3" s="2834" t="s">
        <v>687</v>
      </c>
      <c r="V3" s="2835"/>
      <c r="W3" s="2835"/>
      <c r="X3" s="2836"/>
      <c r="Y3" s="2837" t="s">
        <v>688</v>
      </c>
      <c r="Z3" s="2837"/>
      <c r="AA3" s="2837"/>
      <c r="AB3" s="2838"/>
      <c r="AC3" s="561"/>
      <c r="AD3" s="565"/>
    </row>
    <row r="4" spans="1:30" s="566" customFormat="1" ht="25.5">
      <c r="A4" s="562"/>
      <c r="B4" s="563"/>
      <c r="C4" s="564"/>
      <c r="D4" s="563"/>
      <c r="E4" s="561"/>
      <c r="F4" s="561"/>
      <c r="G4" s="561"/>
      <c r="H4" s="561"/>
      <c r="I4" s="561"/>
      <c r="J4" s="561"/>
      <c r="K4" s="561"/>
      <c r="L4" s="561"/>
      <c r="M4" s="561"/>
      <c r="N4" s="561"/>
      <c r="O4" s="561"/>
      <c r="P4" s="561"/>
      <c r="Q4" s="561"/>
      <c r="R4" s="561"/>
      <c r="S4" s="561"/>
      <c r="T4" s="561"/>
      <c r="U4" s="2590" t="s">
        <v>689</v>
      </c>
      <c r="V4" s="2591" t="s">
        <v>690</v>
      </c>
      <c r="W4" s="2591" t="s">
        <v>691</v>
      </c>
      <c r="X4" s="2592" t="s">
        <v>193</v>
      </c>
      <c r="Y4" s="2593" t="s">
        <v>689</v>
      </c>
      <c r="Z4" s="2591" t="s">
        <v>690</v>
      </c>
      <c r="AA4" s="2591" t="s">
        <v>691</v>
      </c>
      <c r="AB4" s="2592" t="s">
        <v>193</v>
      </c>
      <c r="AC4" s="561"/>
      <c r="AD4" s="565"/>
    </row>
    <row r="5" spans="1:30" ht="13.5" thickBot="1">
      <c r="A5" s="489"/>
      <c r="B5" s="559">
        <f>0.6105*(EXP((17.27*V5)/(237.3+V5)))</f>
        <v>2.0629754555079018</v>
      </c>
      <c r="C5" s="560"/>
      <c r="D5" s="559">
        <f>0.6105*(EXP((17.27*Z5)/(237.3+Z5)))</f>
        <v>2.0629754555079018</v>
      </c>
      <c r="E5" s="438"/>
      <c r="F5" s="438"/>
      <c r="G5" s="438"/>
      <c r="H5" s="438"/>
      <c r="I5" s="438"/>
      <c r="J5" s="438"/>
      <c r="K5" s="438"/>
      <c r="L5" s="438"/>
      <c r="M5" s="438"/>
      <c r="N5" s="438"/>
      <c r="O5" s="438"/>
      <c r="P5" s="438"/>
      <c r="Q5" s="438"/>
      <c r="R5" s="438"/>
      <c r="S5" s="438"/>
      <c r="T5" s="561"/>
      <c r="U5" s="2561">
        <v>118</v>
      </c>
      <c r="V5" s="2562">
        <v>18</v>
      </c>
      <c r="W5" s="2562">
        <v>32</v>
      </c>
      <c r="X5" s="2563">
        <v>240</v>
      </c>
      <c r="Y5" s="2564">
        <v>118</v>
      </c>
      <c r="Z5" s="2562">
        <v>18</v>
      </c>
      <c r="AA5" s="2562">
        <v>23</v>
      </c>
      <c r="AB5" s="2563">
        <v>240</v>
      </c>
      <c r="AC5" s="438"/>
      <c r="AD5" s="439"/>
    </row>
    <row r="6" spans="1:30" ht="13.5" thickTop="1">
      <c r="A6" s="489"/>
      <c r="B6" s="559"/>
      <c r="C6" s="560"/>
      <c r="D6" s="559"/>
      <c r="E6" s="438"/>
      <c r="F6" s="438"/>
      <c r="G6" s="438"/>
      <c r="H6" s="438"/>
      <c r="I6" s="438"/>
      <c r="J6" s="438"/>
      <c r="K6" s="438"/>
      <c r="L6" s="438"/>
      <c r="M6" s="438"/>
      <c r="N6" s="438"/>
      <c r="O6" s="438"/>
      <c r="P6" s="438"/>
      <c r="Q6" s="438"/>
      <c r="R6" s="438"/>
      <c r="S6" s="438"/>
      <c r="T6" s="561"/>
      <c r="U6" s="511"/>
      <c r="V6" s="511"/>
      <c r="W6" s="511"/>
      <c r="X6" s="511"/>
      <c r="Y6" s="438"/>
      <c r="Z6" s="438"/>
      <c r="AA6" s="438"/>
      <c r="AB6" s="438"/>
      <c r="AC6" s="438"/>
      <c r="AD6" s="439"/>
    </row>
    <row r="7" spans="1:30">
      <c r="A7" s="489"/>
      <c r="B7" s="559"/>
      <c r="C7" s="560"/>
      <c r="D7" s="559"/>
      <c r="E7" s="438"/>
      <c r="F7" s="438"/>
      <c r="G7" s="438"/>
      <c r="H7" s="438"/>
      <c r="I7" s="438"/>
      <c r="J7" s="438"/>
      <c r="K7" s="438"/>
      <c r="L7" s="438"/>
      <c r="M7" s="438"/>
      <c r="N7" s="438"/>
      <c r="O7" s="438"/>
      <c r="P7" s="438"/>
      <c r="Q7" s="438"/>
      <c r="R7" s="438"/>
      <c r="S7" s="438"/>
      <c r="T7" s="561"/>
      <c r="U7" s="511"/>
      <c r="V7" s="511"/>
      <c r="W7" s="511"/>
      <c r="X7" s="511"/>
      <c r="Y7" s="438"/>
      <c r="Z7" s="438"/>
      <c r="AA7" s="438"/>
      <c r="AB7" s="438"/>
      <c r="AC7" s="438"/>
      <c r="AD7" s="439"/>
    </row>
    <row r="8" spans="1:30">
      <c r="A8" s="489"/>
      <c r="B8" s="559">
        <f>(17.27*V5)/(237.3+V5)</f>
        <v>1.2176263219741481</v>
      </c>
      <c r="C8" s="560"/>
      <c r="D8" s="559">
        <f>(17.27*Z5)/(237.3+Z5)</f>
        <v>1.2176263219741481</v>
      </c>
      <c r="E8" s="438"/>
      <c r="F8" s="438"/>
      <c r="G8" s="438"/>
      <c r="H8" s="438"/>
      <c r="I8" s="438"/>
      <c r="J8" s="438"/>
      <c r="K8" s="438"/>
      <c r="L8" s="438"/>
      <c r="M8" s="438"/>
      <c r="N8" s="438"/>
      <c r="O8" s="438"/>
      <c r="P8" s="438"/>
      <c r="Q8" s="438"/>
      <c r="R8" s="438"/>
      <c r="S8" s="438"/>
      <c r="T8" s="561"/>
      <c r="U8" s="511"/>
      <c r="V8" s="511"/>
      <c r="W8" s="511"/>
      <c r="X8" s="511"/>
      <c r="Y8" s="438"/>
      <c r="Z8" s="438"/>
      <c r="AA8" s="438"/>
      <c r="AB8" s="438"/>
      <c r="AC8" s="438"/>
      <c r="AD8" s="439"/>
    </row>
    <row r="9" spans="1:30">
      <c r="A9" s="489"/>
      <c r="B9" s="559">
        <f>EXP(B8)*0.6105</f>
        <v>2.0629754555079018</v>
      </c>
      <c r="C9" s="560"/>
      <c r="D9" s="559">
        <f>EXP(D8)*0.6105</f>
        <v>2.0629754555079018</v>
      </c>
      <c r="E9" s="438"/>
      <c r="F9" s="438"/>
      <c r="G9" s="438"/>
      <c r="H9" s="438"/>
      <c r="I9" s="438"/>
      <c r="J9" s="438"/>
      <c r="K9" s="438"/>
      <c r="L9" s="438"/>
      <c r="M9" s="438"/>
      <c r="N9" s="438"/>
      <c r="O9" s="438"/>
      <c r="P9" s="438"/>
      <c r="Q9" s="438"/>
      <c r="R9" s="438"/>
      <c r="S9" s="438"/>
      <c r="T9" s="561"/>
      <c r="U9" s="511"/>
      <c r="V9" s="511"/>
      <c r="W9" s="511"/>
      <c r="X9" s="511"/>
      <c r="Y9" s="438"/>
      <c r="Z9" s="438"/>
      <c r="AA9" s="438"/>
      <c r="AB9" s="438"/>
      <c r="AC9" s="438"/>
      <c r="AD9" s="439"/>
    </row>
    <row r="10" spans="1:30">
      <c r="A10" s="489"/>
      <c r="B10" s="559"/>
      <c r="C10" s="560"/>
      <c r="D10" s="559"/>
      <c r="E10" s="438"/>
      <c r="F10" s="438"/>
      <c r="G10" s="438"/>
      <c r="H10" s="438"/>
      <c r="I10" s="438"/>
      <c r="J10" s="438"/>
      <c r="K10" s="438"/>
      <c r="L10" s="438"/>
      <c r="M10" s="438"/>
      <c r="N10" s="438"/>
      <c r="O10" s="438"/>
      <c r="P10" s="438"/>
      <c r="Q10" s="438"/>
      <c r="R10" s="438"/>
      <c r="S10" s="438"/>
      <c r="T10" s="561"/>
      <c r="U10" s="511"/>
      <c r="V10" s="511"/>
      <c r="W10" s="511"/>
      <c r="X10" s="511"/>
      <c r="Y10" s="438"/>
      <c r="Z10" s="438"/>
      <c r="AA10" s="438"/>
      <c r="AB10" s="438"/>
      <c r="AC10" s="438"/>
      <c r="AD10" s="439"/>
    </row>
    <row r="11" spans="1:30" ht="13.5" thickBot="1">
      <c r="A11" s="489" t="s">
        <v>692</v>
      </c>
      <c r="B11" s="559">
        <f>B9-B3</f>
        <v>0.99908745550790168</v>
      </c>
      <c r="C11" s="560" t="s">
        <v>692</v>
      </c>
      <c r="D11" s="559">
        <f>D9-D3</f>
        <v>1.6830154555079018</v>
      </c>
      <c r="E11" s="438"/>
      <c r="F11" s="438"/>
      <c r="G11" s="438"/>
      <c r="H11" s="438"/>
      <c r="I11" s="438"/>
      <c r="J11" s="438"/>
      <c r="K11" s="438"/>
      <c r="L11" s="438"/>
      <c r="M11" s="438"/>
      <c r="N11" s="438"/>
      <c r="O11" s="438"/>
      <c r="P11" s="438"/>
      <c r="Q11" s="438"/>
      <c r="R11" s="438"/>
      <c r="S11" s="438"/>
      <c r="T11" s="561"/>
      <c r="U11" s="511"/>
      <c r="V11" s="511"/>
      <c r="W11" s="511"/>
      <c r="X11" s="511"/>
      <c r="Y11" s="438"/>
      <c r="Z11" s="438"/>
      <c r="AA11" s="438"/>
      <c r="AB11" s="438"/>
      <c r="AC11" s="438"/>
      <c r="AD11" s="439"/>
    </row>
    <row r="12" spans="1:30" ht="13.5" thickBot="1">
      <c r="A12" s="568"/>
      <c r="B12" s="569"/>
      <c r="C12" s="570"/>
      <c r="D12" s="569"/>
      <c r="E12" s="438"/>
      <c r="F12" s="438"/>
      <c r="G12" s="438"/>
      <c r="H12" s="438"/>
      <c r="I12" s="438"/>
      <c r="J12" s="438"/>
      <c r="K12" s="438"/>
      <c r="L12" s="438"/>
      <c r="M12" s="438"/>
      <c r="N12" s="438"/>
      <c r="O12" s="438"/>
      <c r="P12" s="438"/>
      <c r="Q12" s="438"/>
      <c r="R12" s="438"/>
      <c r="S12" s="438"/>
      <c r="T12" s="2839" t="s">
        <v>687</v>
      </c>
      <c r="U12" s="2840"/>
      <c r="V12" s="2840"/>
      <c r="W12" s="2841"/>
      <c r="X12" s="2842" t="s">
        <v>688</v>
      </c>
      <c r="Y12" s="2843"/>
      <c r="Z12" s="2843"/>
      <c r="AA12" s="2844"/>
      <c r="AB12" s="438"/>
      <c r="AC12" s="438"/>
      <c r="AD12" s="439"/>
    </row>
    <row r="13" spans="1:30">
      <c r="A13" s="571"/>
      <c r="B13" s="572"/>
      <c r="C13" s="573"/>
      <c r="D13" s="572"/>
      <c r="E13" s="438"/>
      <c r="F13" s="438"/>
      <c r="G13" s="438"/>
      <c r="H13" s="438"/>
      <c r="I13" s="438"/>
      <c r="J13" s="438"/>
      <c r="K13" s="438"/>
      <c r="L13" s="438"/>
      <c r="M13" s="438"/>
      <c r="N13" s="438"/>
      <c r="O13" s="438"/>
      <c r="P13" s="438"/>
      <c r="Q13" s="438"/>
      <c r="R13" s="438"/>
      <c r="S13" s="438"/>
      <c r="T13" s="2575"/>
      <c r="U13" s="2580"/>
      <c r="V13" s="2580"/>
      <c r="W13" s="2583"/>
      <c r="X13" s="2581"/>
      <c r="Y13" s="2580"/>
      <c r="Z13" s="2580"/>
      <c r="AA13" s="2584"/>
      <c r="AB13" s="438"/>
      <c r="AC13" s="438"/>
      <c r="AD13" s="439"/>
    </row>
    <row r="14" spans="1:30">
      <c r="A14" s="489" t="s">
        <v>693</v>
      </c>
      <c r="B14" s="574">
        <f>(0.622*B11)/(U5-B11)</f>
        <v>5.3113465853490832E-3</v>
      </c>
      <c r="C14" s="560" t="s">
        <v>693</v>
      </c>
      <c r="D14" s="559">
        <f>(0.622*D11)/(Y5-D11)</f>
        <v>8.9998517192086645E-3</v>
      </c>
      <c r="E14" s="438"/>
      <c r="F14" s="438"/>
      <c r="G14" s="438"/>
      <c r="H14" s="438"/>
      <c r="I14" s="438"/>
      <c r="J14" s="438"/>
      <c r="K14" s="438"/>
      <c r="L14" s="438"/>
      <c r="M14" s="438"/>
      <c r="N14" s="438"/>
      <c r="O14" s="438"/>
      <c r="P14" s="438"/>
      <c r="Q14" s="438"/>
      <c r="R14" s="438"/>
      <c r="S14" s="438"/>
      <c r="T14" s="2575" t="s">
        <v>198</v>
      </c>
      <c r="U14" s="2580" t="s">
        <v>692</v>
      </c>
      <c r="V14" s="2580">
        <f>B11</f>
        <v>0.99908745550790168</v>
      </c>
      <c r="W14" s="2576" t="s">
        <v>192</v>
      </c>
      <c r="X14" s="2578" t="s">
        <v>198</v>
      </c>
      <c r="Y14" s="2580" t="s">
        <v>692</v>
      </c>
      <c r="Z14" s="2580">
        <f>D11</f>
        <v>1.6830154555079018</v>
      </c>
      <c r="AA14" s="2576" t="s">
        <v>192</v>
      </c>
      <c r="AB14" s="438"/>
      <c r="AC14" s="438"/>
      <c r="AD14" s="439"/>
    </row>
    <row r="15" spans="1:30">
      <c r="A15" s="489"/>
      <c r="B15" s="559"/>
      <c r="C15" s="560"/>
      <c r="D15" s="559"/>
      <c r="E15" s="438"/>
      <c r="F15" s="438"/>
      <c r="G15" s="438"/>
      <c r="H15" s="438"/>
      <c r="I15" s="438"/>
      <c r="J15" s="438"/>
      <c r="K15" s="438"/>
      <c r="L15" s="438"/>
      <c r="M15" s="438"/>
      <c r="N15" s="438"/>
      <c r="O15" s="438"/>
      <c r="P15" s="438"/>
      <c r="Q15" s="438"/>
      <c r="R15" s="438"/>
      <c r="S15" s="438"/>
      <c r="T15" s="2575"/>
      <c r="U15" s="2580"/>
      <c r="V15" s="2580"/>
      <c r="W15" s="2576"/>
      <c r="X15" s="2578"/>
      <c r="Y15" s="2580"/>
      <c r="Z15" s="2580"/>
      <c r="AA15" s="2576"/>
      <c r="AB15" s="438"/>
      <c r="AC15" s="438"/>
      <c r="AD15" s="439"/>
    </row>
    <row r="16" spans="1:30">
      <c r="A16" s="568"/>
      <c r="B16" s="569"/>
      <c r="C16" s="570"/>
      <c r="D16" s="569"/>
      <c r="E16" s="438"/>
      <c r="F16" s="438"/>
      <c r="G16" s="438"/>
      <c r="H16" s="438"/>
      <c r="I16" s="438"/>
      <c r="J16" s="438"/>
      <c r="K16" s="438"/>
      <c r="L16" s="438"/>
      <c r="M16" s="438"/>
      <c r="N16" s="438"/>
      <c r="O16" s="438"/>
      <c r="P16" s="438"/>
      <c r="Q16" s="438"/>
      <c r="R16" s="438"/>
      <c r="S16" s="438"/>
      <c r="T16" s="2575" t="s">
        <v>694</v>
      </c>
      <c r="U16" s="2580" t="s">
        <v>693</v>
      </c>
      <c r="V16" s="2580">
        <f>B14*1000</f>
        <v>5.3113465853490833</v>
      </c>
      <c r="W16" s="2576" t="s">
        <v>695</v>
      </c>
      <c r="X16" s="2578" t="s">
        <v>694</v>
      </c>
      <c r="Y16" s="2580" t="s">
        <v>693</v>
      </c>
      <c r="Z16" s="2580">
        <f>D14*1000</f>
        <v>8.9998517192086638</v>
      </c>
      <c r="AA16" s="2576" t="s">
        <v>695</v>
      </c>
      <c r="AB16" s="438"/>
      <c r="AC16" s="438"/>
      <c r="AD16" s="439"/>
    </row>
    <row r="17" spans="1:30">
      <c r="A17" s="571"/>
      <c r="B17" s="572"/>
      <c r="C17" s="573"/>
      <c r="D17" s="572"/>
      <c r="E17" s="438"/>
      <c r="F17" s="438"/>
      <c r="G17" s="438"/>
      <c r="H17" s="438"/>
      <c r="I17" s="438"/>
      <c r="J17" s="438"/>
      <c r="K17" s="438"/>
      <c r="L17" s="438"/>
      <c r="M17" s="438"/>
      <c r="N17" s="438"/>
      <c r="O17" s="438"/>
      <c r="P17" s="438"/>
      <c r="Q17" s="438"/>
      <c r="R17" s="438"/>
      <c r="S17" s="438"/>
      <c r="T17" s="2575"/>
      <c r="U17" s="2580"/>
      <c r="V17" s="2580"/>
      <c r="W17" s="2576"/>
      <c r="X17" s="2578"/>
      <c r="Y17" s="2580"/>
      <c r="Z17" s="2580"/>
      <c r="AA17" s="2576"/>
      <c r="AB17" s="438"/>
      <c r="AC17" s="438"/>
      <c r="AD17" s="439"/>
    </row>
    <row r="18" spans="1:30">
      <c r="A18" s="489" t="s">
        <v>696</v>
      </c>
      <c r="B18" s="559">
        <f>(0.287*(273.15+W5))/(U5-B11)</f>
        <v>0.74852450374433244</v>
      </c>
      <c r="C18" s="560" t="s">
        <v>696</v>
      </c>
      <c r="D18" s="559">
        <f>(0.287*(273.15+AA5))/(Y5-D11)</f>
        <v>0.73071916653314517</v>
      </c>
      <c r="E18" s="438"/>
      <c r="F18" s="438"/>
      <c r="G18" s="438"/>
      <c r="H18" s="438"/>
      <c r="I18" s="438"/>
      <c r="J18" s="438"/>
      <c r="K18" s="438"/>
      <c r="L18" s="438"/>
      <c r="M18" s="438"/>
      <c r="N18" s="438"/>
      <c r="O18" s="438"/>
      <c r="P18" s="438"/>
      <c r="Q18" s="438"/>
      <c r="R18" s="438"/>
      <c r="S18" s="438"/>
      <c r="T18" s="2575" t="s">
        <v>697</v>
      </c>
      <c r="U18" s="2580" t="s">
        <v>696</v>
      </c>
      <c r="V18" s="2580">
        <f>B18</f>
        <v>0.74852450374433244</v>
      </c>
      <c r="W18" s="2576" t="s">
        <v>698</v>
      </c>
      <c r="X18" s="2578" t="s">
        <v>697</v>
      </c>
      <c r="Y18" s="2580" t="s">
        <v>696</v>
      </c>
      <c r="Z18" s="2580">
        <f>D18</f>
        <v>0.73071916653314517</v>
      </c>
      <c r="AA18" s="2576" t="s">
        <v>698</v>
      </c>
      <c r="AB18" s="438"/>
      <c r="AC18" s="438"/>
      <c r="AD18" s="439"/>
    </row>
    <row r="19" spans="1:30">
      <c r="A19" s="489"/>
      <c r="B19" s="559"/>
      <c r="C19" s="560"/>
      <c r="D19" s="559"/>
      <c r="E19" s="438"/>
      <c r="F19" s="438"/>
      <c r="G19" s="438"/>
      <c r="H19" s="438"/>
      <c r="I19" s="438"/>
      <c r="J19" s="438"/>
      <c r="K19" s="438"/>
      <c r="L19" s="438"/>
      <c r="M19" s="438"/>
      <c r="N19" s="438"/>
      <c r="O19" s="438"/>
      <c r="P19" s="438"/>
      <c r="Q19" s="438"/>
      <c r="R19" s="438"/>
      <c r="S19" s="438"/>
      <c r="T19" s="2575"/>
      <c r="U19" s="2580"/>
      <c r="V19" s="2580"/>
      <c r="W19" s="2576"/>
      <c r="X19" s="2578"/>
      <c r="Y19" s="2580"/>
      <c r="Z19" s="2580"/>
      <c r="AA19" s="2576"/>
      <c r="AB19" s="438"/>
      <c r="AC19" s="438"/>
      <c r="AD19" s="439"/>
    </row>
    <row r="20" spans="1:30">
      <c r="A20" s="568"/>
      <c r="B20" s="569"/>
      <c r="C20" s="570"/>
      <c r="D20" s="569"/>
      <c r="E20" s="438"/>
      <c r="F20" s="438"/>
      <c r="G20" s="438"/>
      <c r="H20" s="438"/>
      <c r="I20" s="438"/>
      <c r="J20" s="438"/>
      <c r="K20" s="438"/>
      <c r="L20" s="438"/>
      <c r="M20" s="438"/>
      <c r="N20" s="438"/>
      <c r="O20" s="438"/>
      <c r="P20" s="438"/>
      <c r="Q20" s="438"/>
      <c r="R20" s="438"/>
      <c r="S20" s="438"/>
      <c r="T20" s="2575" t="s">
        <v>204</v>
      </c>
      <c r="U20" s="2580" t="s">
        <v>205</v>
      </c>
      <c r="V20" s="2580">
        <f>B22</f>
        <v>1.3430573635953078</v>
      </c>
      <c r="W20" s="2576" t="s">
        <v>699</v>
      </c>
      <c r="X20" s="2578" t="s">
        <v>204</v>
      </c>
      <c r="Y20" s="2580" t="s">
        <v>205</v>
      </c>
      <c r="Z20" s="2580">
        <f>D22</f>
        <v>1.3808312384993953</v>
      </c>
      <c r="AA20" s="2576" t="s">
        <v>699</v>
      </c>
      <c r="AB20" s="438"/>
      <c r="AC20" s="438"/>
      <c r="AD20" s="439"/>
    </row>
    <row r="21" spans="1:30">
      <c r="A21" s="571"/>
      <c r="B21" s="572"/>
      <c r="C21" s="573"/>
      <c r="D21" s="572"/>
      <c r="E21" s="438"/>
      <c r="F21" s="438"/>
      <c r="G21" s="438"/>
      <c r="H21" s="438"/>
      <c r="I21" s="438"/>
      <c r="J21" s="438"/>
      <c r="K21" s="438"/>
      <c r="L21" s="438"/>
      <c r="M21" s="438"/>
      <c r="N21" s="438"/>
      <c r="O21" s="438"/>
      <c r="P21" s="438"/>
      <c r="Q21" s="438"/>
      <c r="R21" s="438"/>
      <c r="S21" s="438"/>
      <c r="T21" s="2575"/>
      <c r="U21" s="2580"/>
      <c r="V21" s="2580"/>
      <c r="W21" s="2576"/>
      <c r="X21" s="2578"/>
      <c r="Y21" s="2580"/>
      <c r="Z21" s="2580"/>
      <c r="AA21" s="2576"/>
      <c r="AB21" s="438"/>
    </row>
    <row r="22" spans="1:30">
      <c r="A22" s="489" t="s">
        <v>205</v>
      </c>
      <c r="B22" s="559">
        <f>(1+B14)/B18</f>
        <v>1.3430573635953078</v>
      </c>
      <c r="C22" s="560" t="s">
        <v>205</v>
      </c>
      <c r="D22" s="559">
        <f>(1+D14)/D18</f>
        <v>1.3808312384993953</v>
      </c>
      <c r="E22" s="438"/>
      <c r="F22" s="438"/>
      <c r="G22" s="438"/>
      <c r="H22" s="438"/>
      <c r="I22" s="438"/>
      <c r="J22" s="438"/>
      <c r="K22" s="438"/>
      <c r="L22" s="438"/>
      <c r="M22" s="438"/>
      <c r="N22" s="438"/>
      <c r="O22" s="438"/>
      <c r="P22" s="438"/>
      <c r="Q22" s="438"/>
      <c r="R22" s="438"/>
      <c r="S22" s="438"/>
      <c r="T22" s="2575" t="s">
        <v>214</v>
      </c>
      <c r="U22" s="2580" t="s">
        <v>215</v>
      </c>
      <c r="V22" s="2580">
        <f>B26</f>
        <v>45.749611373274163</v>
      </c>
      <c r="W22" s="2576" t="s">
        <v>208</v>
      </c>
      <c r="X22" s="2578" t="s">
        <v>214</v>
      </c>
      <c r="Y22" s="2580" t="s">
        <v>215</v>
      </c>
      <c r="Z22" s="2580">
        <f>D26</f>
        <v>45.996223010916111</v>
      </c>
      <c r="AA22" s="2576" t="s">
        <v>208</v>
      </c>
      <c r="AB22" s="438"/>
      <c r="AC22" s="438"/>
      <c r="AD22" s="439"/>
    </row>
    <row r="23" spans="1:30">
      <c r="A23" s="489"/>
      <c r="B23" s="559"/>
      <c r="C23" s="560"/>
      <c r="D23" s="559"/>
      <c r="E23" s="438"/>
      <c r="F23" s="438"/>
      <c r="G23" s="438"/>
      <c r="H23" s="438"/>
      <c r="I23" s="438"/>
      <c r="J23" s="438"/>
      <c r="K23" s="438"/>
      <c r="L23" s="438"/>
      <c r="M23" s="438"/>
      <c r="N23" s="438"/>
      <c r="O23" s="438"/>
      <c r="P23" s="438"/>
      <c r="Q23" s="438"/>
      <c r="R23" s="438"/>
      <c r="S23" s="438"/>
      <c r="T23" s="2575"/>
      <c r="U23" s="2580"/>
      <c r="V23" s="2580"/>
      <c r="W23" s="2576"/>
      <c r="X23" s="2578"/>
      <c r="Y23" s="2580"/>
      <c r="Z23" s="2580"/>
      <c r="AA23" s="2576"/>
      <c r="AB23" s="438"/>
      <c r="AC23" s="438"/>
      <c r="AD23" s="439"/>
    </row>
    <row r="24" spans="1:30">
      <c r="A24" s="568"/>
      <c r="B24" s="569"/>
      <c r="C24" s="570"/>
      <c r="D24" s="569"/>
      <c r="E24" s="438"/>
      <c r="F24" s="438"/>
      <c r="G24" s="438"/>
      <c r="H24" s="438"/>
      <c r="I24" s="438"/>
      <c r="J24" s="438"/>
      <c r="K24" s="438"/>
      <c r="L24" s="438"/>
      <c r="M24" s="438"/>
      <c r="N24" s="438"/>
      <c r="O24" s="438"/>
      <c r="P24" s="438"/>
      <c r="Q24" s="438"/>
      <c r="R24" s="438"/>
      <c r="S24" s="438"/>
      <c r="T24" s="2575" t="s">
        <v>700</v>
      </c>
      <c r="U24" s="2580" t="s">
        <v>207</v>
      </c>
      <c r="V24" s="2580">
        <f>B30</f>
        <v>45.349985656192501</v>
      </c>
      <c r="W24" s="2576" t="s">
        <v>208</v>
      </c>
      <c r="X24" s="2578" t="s">
        <v>700</v>
      </c>
      <c r="Y24" s="2580" t="s">
        <v>207</v>
      </c>
      <c r="Z24" s="2580">
        <f>D30</f>
        <v>45.319074167562853</v>
      </c>
      <c r="AA24" s="2576" t="s">
        <v>208</v>
      </c>
      <c r="AB24" s="438"/>
      <c r="AC24" s="438"/>
      <c r="AD24" s="439"/>
    </row>
    <row r="25" spans="1:30">
      <c r="A25" s="571"/>
      <c r="B25" s="572"/>
      <c r="C25" s="573"/>
      <c r="D25" s="572"/>
      <c r="E25" s="438"/>
      <c r="F25" s="438"/>
      <c r="G25" s="438"/>
      <c r="H25" s="438"/>
      <c r="I25" s="438"/>
      <c r="J25" s="438"/>
      <c r="K25" s="438"/>
      <c r="L25" s="438"/>
      <c r="M25" s="438"/>
      <c r="N25" s="438"/>
      <c r="O25" s="438"/>
      <c r="P25" s="438"/>
      <c r="Q25" s="438"/>
      <c r="R25" s="438"/>
      <c r="S25" s="438"/>
      <c r="T25" s="2575"/>
      <c r="U25" s="2580"/>
      <c r="V25" s="2580"/>
      <c r="W25" s="2576"/>
      <c r="X25" s="2578"/>
      <c r="Y25" s="2580"/>
      <c r="Z25" s="2580"/>
      <c r="AA25" s="2576"/>
      <c r="AB25" s="438"/>
      <c r="AC25" s="438"/>
      <c r="AD25" s="439"/>
    </row>
    <row r="26" spans="1:30">
      <c r="A26" s="489" t="s">
        <v>215</v>
      </c>
      <c r="B26" s="559">
        <f>(1.005*W5)+((B14*(1.8*W5+2501)))</f>
        <v>45.749611373274163</v>
      </c>
      <c r="C26" s="560" t="s">
        <v>215</v>
      </c>
      <c r="D26" s="559">
        <f>(1.005*AA5)+((D14*(1.8*AA5+2501)))</f>
        <v>45.996223010916111</v>
      </c>
      <c r="E26" s="438"/>
      <c r="F26" s="438"/>
      <c r="G26" s="438"/>
      <c r="H26" s="438"/>
      <c r="I26" s="438"/>
      <c r="J26" s="438"/>
      <c r="K26" s="438"/>
      <c r="L26" s="438"/>
      <c r="M26" s="438"/>
      <c r="N26" s="438"/>
      <c r="O26" s="438"/>
      <c r="P26" s="438"/>
      <c r="Q26" s="438"/>
      <c r="R26" s="438"/>
      <c r="S26" s="438"/>
      <c r="T26" s="2575" t="s">
        <v>216</v>
      </c>
      <c r="U26" s="2580" t="s">
        <v>217</v>
      </c>
      <c r="V26" s="2580">
        <f>X5*V20</f>
        <v>322.33376726287389</v>
      </c>
      <c r="W26" s="2576" t="s">
        <v>466</v>
      </c>
      <c r="X26" s="2578" t="s">
        <v>216</v>
      </c>
      <c r="Y26" s="2580" t="s">
        <v>217</v>
      </c>
      <c r="Z26" s="2580">
        <f>AB5/Z18</f>
        <v>328.44355395611984</v>
      </c>
      <c r="AA26" s="2576" t="s">
        <v>466</v>
      </c>
      <c r="AB26" s="438"/>
      <c r="AC26" s="438"/>
      <c r="AD26" s="439"/>
    </row>
    <row r="27" spans="1:30">
      <c r="A27" s="489"/>
      <c r="B27" s="559"/>
      <c r="C27" s="560"/>
      <c r="D27" s="559"/>
      <c r="E27" s="438"/>
      <c r="F27" s="438"/>
      <c r="G27" s="438"/>
      <c r="H27" s="438"/>
      <c r="I27" s="438"/>
      <c r="J27" s="438"/>
      <c r="K27" s="438"/>
      <c r="L27" s="438"/>
      <c r="M27" s="438"/>
      <c r="N27" s="438"/>
      <c r="O27" s="438"/>
      <c r="P27" s="438"/>
      <c r="Q27" s="438"/>
      <c r="R27" s="438"/>
      <c r="S27" s="438"/>
      <c r="T27" s="2575"/>
      <c r="U27" s="2580"/>
      <c r="V27" s="2580"/>
      <c r="W27" s="2576"/>
      <c r="X27" s="2580"/>
      <c r="Y27" s="2581"/>
      <c r="Z27" s="2581"/>
      <c r="AA27" s="2576"/>
      <c r="AB27" s="438"/>
      <c r="AC27" s="438"/>
      <c r="AD27" s="439"/>
    </row>
    <row r="28" spans="1:30">
      <c r="A28" s="568"/>
      <c r="B28" s="569"/>
      <c r="C28" s="570"/>
      <c r="D28" s="569"/>
      <c r="E28" s="438"/>
      <c r="F28" s="438"/>
      <c r="G28" s="438"/>
      <c r="H28" s="438"/>
      <c r="I28" s="438"/>
      <c r="J28" s="438"/>
      <c r="K28" s="438"/>
      <c r="L28" s="438"/>
      <c r="M28" s="438"/>
      <c r="N28" s="438"/>
      <c r="O28" s="438"/>
      <c r="P28" s="438"/>
      <c r="Q28" s="438"/>
      <c r="R28" s="438"/>
      <c r="S28" s="438"/>
      <c r="T28" s="2575" t="s">
        <v>209</v>
      </c>
      <c r="U28" s="2580"/>
      <c r="V28" s="2580">
        <f>B38</f>
        <v>21.022620928853023</v>
      </c>
      <c r="W28" s="2576" t="s">
        <v>211</v>
      </c>
      <c r="X28" s="2578" t="s">
        <v>209</v>
      </c>
      <c r="Y28" s="2581"/>
      <c r="Z28" s="2581">
        <f>D38</f>
        <v>59.935215386383419</v>
      </c>
      <c r="AA28" s="2576" t="s">
        <v>211</v>
      </c>
      <c r="AB28" s="438"/>
      <c r="AC28" s="438"/>
      <c r="AD28" s="439"/>
    </row>
    <row r="29" spans="1:30">
      <c r="A29" s="571"/>
      <c r="B29" s="572"/>
      <c r="C29" s="573"/>
      <c r="D29" s="572"/>
      <c r="E29" s="438"/>
      <c r="F29" s="438"/>
      <c r="G29" s="438"/>
      <c r="H29" s="438"/>
      <c r="I29" s="438"/>
      <c r="J29" s="438"/>
      <c r="K29" s="438"/>
      <c r="L29" s="438"/>
      <c r="M29" s="438"/>
      <c r="N29" s="438"/>
      <c r="O29" s="438"/>
      <c r="P29" s="438"/>
      <c r="Q29" s="438"/>
      <c r="R29" s="438"/>
      <c r="S29" s="438"/>
      <c r="T29" s="2575"/>
      <c r="U29" s="2580"/>
      <c r="V29" s="2580"/>
      <c r="W29" s="2576"/>
      <c r="X29" s="2580"/>
      <c r="Y29" s="2581"/>
      <c r="Z29" s="2581"/>
      <c r="AA29" s="2576"/>
      <c r="AB29" s="438"/>
      <c r="AC29" s="438"/>
      <c r="AD29" s="439"/>
    </row>
    <row r="30" spans="1:30">
      <c r="A30" s="489" t="s">
        <v>207</v>
      </c>
      <c r="B30" s="559">
        <f>B26-B14*(4.18*V5)</f>
        <v>45.349985656192501</v>
      </c>
      <c r="C30" s="560" t="s">
        <v>207</v>
      </c>
      <c r="D30" s="559">
        <f>(D26-(D14*(4.18*Z5)))</f>
        <v>45.319074167562853</v>
      </c>
      <c r="E30" s="438"/>
      <c r="F30" s="438"/>
      <c r="G30" s="438"/>
      <c r="H30" s="438"/>
      <c r="I30" s="438"/>
      <c r="J30" s="438"/>
      <c r="K30" s="438"/>
      <c r="L30" s="438"/>
      <c r="M30" s="438"/>
      <c r="N30" s="438"/>
      <c r="O30" s="438"/>
      <c r="P30" s="438"/>
      <c r="Q30" s="438"/>
      <c r="R30" s="438"/>
      <c r="S30" s="438"/>
      <c r="T30" s="2575" t="s">
        <v>701</v>
      </c>
      <c r="U30" s="2580" t="s">
        <v>702</v>
      </c>
      <c r="V30" s="2580">
        <f>B47</f>
        <v>6.9668239616503538</v>
      </c>
      <c r="W30" s="2577" t="s">
        <v>703</v>
      </c>
      <c r="X30" s="2578" t="s">
        <v>701</v>
      </c>
      <c r="Y30" s="2580" t="s">
        <v>702</v>
      </c>
      <c r="Z30" s="2582">
        <f>D47</f>
        <v>14.803048458914256</v>
      </c>
      <c r="AA30" s="2577" t="s">
        <v>703</v>
      </c>
      <c r="AB30" s="438"/>
      <c r="AC30" s="438"/>
      <c r="AD30" s="439"/>
    </row>
    <row r="31" spans="1:30">
      <c r="A31" s="489"/>
      <c r="B31" s="559"/>
      <c r="C31" s="560"/>
      <c r="D31" s="559"/>
      <c r="E31" s="438"/>
      <c r="F31" s="438"/>
      <c r="G31" s="438"/>
      <c r="H31" s="438"/>
      <c r="I31" s="438"/>
      <c r="J31" s="438"/>
      <c r="K31" s="438"/>
      <c r="L31" s="438"/>
      <c r="M31" s="438"/>
      <c r="N31" s="438"/>
      <c r="O31" s="438"/>
      <c r="P31" s="438"/>
      <c r="Q31" s="438"/>
      <c r="R31" s="438"/>
      <c r="S31" s="438"/>
      <c r="T31" s="2585"/>
      <c r="U31" s="2586"/>
      <c r="V31" s="2586"/>
      <c r="W31" s="2587"/>
      <c r="X31" s="2586"/>
      <c r="Y31" s="2588"/>
      <c r="Z31" s="2588"/>
      <c r="AA31" s="2589"/>
      <c r="AB31" s="438"/>
      <c r="AC31" s="438"/>
      <c r="AD31" s="439"/>
    </row>
    <row r="32" spans="1:30">
      <c r="A32" s="568"/>
      <c r="B32" s="569"/>
      <c r="C32" s="570"/>
      <c r="D32" s="569"/>
      <c r="E32" s="438"/>
      <c r="F32" s="438"/>
      <c r="G32" s="438"/>
      <c r="H32" s="438"/>
      <c r="I32" s="438"/>
      <c r="J32" s="438"/>
      <c r="K32" s="438"/>
      <c r="L32" s="438"/>
      <c r="M32" s="438"/>
      <c r="N32" s="438"/>
      <c r="O32" s="438"/>
      <c r="P32" s="438"/>
      <c r="Q32" s="438"/>
      <c r="R32" s="438"/>
      <c r="S32" s="438"/>
      <c r="T32" s="561"/>
      <c r="U32" s="511"/>
      <c r="V32" s="575"/>
      <c r="W32" s="511"/>
      <c r="X32" s="511"/>
      <c r="Y32" s="438"/>
      <c r="Z32" s="438"/>
      <c r="AA32" s="438"/>
      <c r="AB32" s="438"/>
      <c r="AC32" s="438"/>
      <c r="AD32" s="439"/>
    </row>
    <row r="33" spans="1:31" ht="13.5" thickBot="1">
      <c r="A33" s="489"/>
      <c r="B33" s="559"/>
      <c r="C33" s="560"/>
      <c r="D33" s="559"/>
      <c r="E33" s="438"/>
      <c r="F33" s="438"/>
      <c r="G33" s="438"/>
      <c r="H33" s="438"/>
      <c r="I33" s="438"/>
      <c r="J33" s="438"/>
      <c r="K33" s="438"/>
      <c r="L33" s="438"/>
      <c r="M33" s="438"/>
      <c r="N33" s="438"/>
      <c r="O33" s="438"/>
      <c r="P33" s="438"/>
      <c r="Q33" s="438"/>
      <c r="R33" s="438"/>
      <c r="S33" s="438"/>
      <c r="T33" s="561"/>
      <c r="U33" s="511"/>
      <c r="V33" s="511"/>
      <c r="W33" s="511"/>
      <c r="X33" s="511"/>
      <c r="Y33" s="438"/>
      <c r="Z33" s="438"/>
      <c r="AA33" s="438"/>
      <c r="AB33" s="438"/>
      <c r="AC33" s="438"/>
      <c r="AD33" s="439"/>
    </row>
    <row r="34" spans="1:31" ht="25.5">
      <c r="A34" s="562"/>
      <c r="B34" s="576">
        <f>(W36-V36)*U36*0.000644</f>
        <v>96.337248000000002</v>
      </c>
      <c r="C34" s="577"/>
      <c r="D34" s="576">
        <f>(AA36-Z36)*Y36*0.000644</f>
        <v>0</v>
      </c>
      <c r="E34" s="438"/>
      <c r="F34" s="438">
        <v>20</v>
      </c>
      <c r="G34" s="438">
        <v>20</v>
      </c>
      <c r="H34" s="438">
        <v>20</v>
      </c>
      <c r="I34" s="438">
        <v>20</v>
      </c>
      <c r="J34" s="438">
        <v>20</v>
      </c>
      <c r="K34" s="438">
        <v>20</v>
      </c>
      <c r="L34" s="438">
        <v>20</v>
      </c>
      <c r="M34" s="438">
        <v>20</v>
      </c>
      <c r="N34" s="438">
        <v>20</v>
      </c>
      <c r="O34" s="438">
        <v>20</v>
      </c>
      <c r="P34" s="438">
        <v>20</v>
      </c>
      <c r="Q34" s="438">
        <v>20</v>
      </c>
      <c r="R34" s="438"/>
      <c r="S34" s="438"/>
      <c r="T34" s="1838" t="s">
        <v>704</v>
      </c>
      <c r="U34" s="1839" t="s">
        <v>705</v>
      </c>
      <c r="V34" s="1840" t="s">
        <v>466</v>
      </c>
      <c r="W34" s="1841" t="s">
        <v>706</v>
      </c>
      <c r="X34" s="511"/>
      <c r="Y34" s="438"/>
      <c r="Z34" s="438"/>
      <c r="AA34" s="438"/>
      <c r="AB34" s="438"/>
      <c r="AC34" s="438"/>
      <c r="AD34" s="439"/>
    </row>
    <row r="35" spans="1:31">
      <c r="A35" s="562"/>
      <c r="B35" s="563"/>
      <c r="C35" s="564"/>
      <c r="D35" s="563"/>
      <c r="E35" s="438"/>
      <c r="F35" s="438">
        <v>30</v>
      </c>
      <c r="G35" s="438">
        <v>30</v>
      </c>
      <c r="H35" s="438">
        <v>30</v>
      </c>
      <c r="I35" s="438">
        <v>30</v>
      </c>
      <c r="J35" s="438">
        <v>30</v>
      </c>
      <c r="K35" s="438">
        <v>30</v>
      </c>
      <c r="L35" s="438">
        <v>30</v>
      </c>
      <c r="M35" s="438">
        <v>30</v>
      </c>
      <c r="N35" s="438">
        <v>30</v>
      </c>
      <c r="O35" s="438">
        <v>30</v>
      </c>
      <c r="P35" s="438">
        <v>30</v>
      </c>
      <c r="Q35" s="438">
        <v>30</v>
      </c>
      <c r="R35" s="438"/>
      <c r="S35" s="438"/>
      <c r="T35" s="578" t="s">
        <v>707</v>
      </c>
      <c r="U35" s="579">
        <v>25.03</v>
      </c>
      <c r="V35" s="580">
        <v>750</v>
      </c>
      <c r="W35" s="581">
        <f>V35*U35</f>
        <v>18772.5</v>
      </c>
      <c r="X35" s="511"/>
      <c r="Y35" s="438"/>
      <c r="Z35" s="438"/>
      <c r="AA35" s="438"/>
      <c r="AB35" s="438"/>
      <c r="AC35" s="438"/>
      <c r="AD35" s="439"/>
    </row>
    <row r="36" spans="1:31" ht="13.5" thickBot="1">
      <c r="A36" s="489"/>
      <c r="B36" s="559">
        <f>0.6105*(EXP((17.27*W5)/(237.3+W5)))</f>
        <v>4.7524400448884041</v>
      </c>
      <c r="C36" s="560"/>
      <c r="D36" s="559">
        <f>0.6105*(EXP((17.27*AA5)/(237.3+AA5)))</f>
        <v>2.8080577414430432</v>
      </c>
      <c r="E36" s="438"/>
      <c r="F36" s="438">
        <v>100</v>
      </c>
      <c r="G36" s="438">
        <v>100</v>
      </c>
      <c r="H36" s="438">
        <v>100</v>
      </c>
      <c r="I36" s="438">
        <v>100</v>
      </c>
      <c r="J36" s="438">
        <v>100</v>
      </c>
      <c r="K36" s="438">
        <v>100</v>
      </c>
      <c r="L36" s="438">
        <v>100</v>
      </c>
      <c r="M36" s="438">
        <v>100</v>
      </c>
      <c r="N36" s="438">
        <v>100</v>
      </c>
      <c r="O36" s="438">
        <v>100</v>
      </c>
      <c r="P36" s="438">
        <v>100</v>
      </c>
      <c r="Q36" s="438">
        <v>100</v>
      </c>
      <c r="R36" s="438"/>
      <c r="S36" s="438"/>
      <c r="T36" s="582" t="s">
        <v>708</v>
      </c>
      <c r="U36" s="583">
        <v>55.2</v>
      </c>
      <c r="V36" s="584">
        <v>50</v>
      </c>
      <c r="W36" s="585">
        <f>V36*U36</f>
        <v>2760</v>
      </c>
      <c r="X36" s="511"/>
      <c r="Y36" s="438"/>
      <c r="Z36" s="438"/>
      <c r="AA36" s="438"/>
      <c r="AB36" s="438"/>
      <c r="AC36" s="438"/>
      <c r="AD36" s="439"/>
    </row>
    <row r="37" spans="1:31" ht="16.5" thickBot="1">
      <c r="A37" s="489"/>
      <c r="B37" s="559"/>
      <c r="C37" s="560"/>
      <c r="D37" s="559"/>
      <c r="E37" s="438"/>
      <c r="F37" s="586">
        <f>EXP(SUM(17.27*F34)/(SUM(237.3+F34)))*0.6105-((0.000644*F36)*(F35-F34))</f>
        <v>1.6931328027197212</v>
      </c>
      <c r="G37" s="586">
        <f t="shared" ref="G37:Q37" si="0">EXP(SUM(17.27*G34)/(SUM(237.3+G34)))*0.6105-((0.000644*G36)*(G35-G34))</f>
        <v>1.6931328027197212</v>
      </c>
      <c r="H37" s="586">
        <f t="shared" si="0"/>
        <v>1.6931328027197212</v>
      </c>
      <c r="I37" s="586">
        <f t="shared" si="0"/>
        <v>1.6931328027197212</v>
      </c>
      <c r="J37" s="586">
        <f t="shared" si="0"/>
        <v>1.6931328027197212</v>
      </c>
      <c r="K37" s="586">
        <f t="shared" si="0"/>
        <v>1.6931328027197212</v>
      </c>
      <c r="L37" s="586">
        <f t="shared" si="0"/>
        <v>1.6931328027197212</v>
      </c>
      <c r="M37" s="586">
        <f t="shared" si="0"/>
        <v>1.6931328027197212</v>
      </c>
      <c r="N37" s="586">
        <f t="shared" si="0"/>
        <v>1.6931328027197212</v>
      </c>
      <c r="O37" s="586">
        <f t="shared" si="0"/>
        <v>1.6931328027197212</v>
      </c>
      <c r="P37" s="586">
        <f t="shared" si="0"/>
        <v>1.6931328027197212</v>
      </c>
      <c r="Q37" s="586">
        <f t="shared" si="0"/>
        <v>1.6931328027197212</v>
      </c>
      <c r="R37" s="438"/>
      <c r="S37" s="438"/>
      <c r="T37" s="2845" t="s">
        <v>709</v>
      </c>
      <c r="U37" s="2846"/>
      <c r="V37" s="587">
        <f>V36+V35</f>
        <v>800</v>
      </c>
      <c r="W37" s="588">
        <f>(W35+W36)/V37</f>
        <v>26.915624999999999</v>
      </c>
      <c r="X37" s="589" t="s">
        <v>710</v>
      </c>
      <c r="Y37" s="438"/>
      <c r="Z37" s="438"/>
      <c r="AA37" s="438"/>
      <c r="AB37" s="438"/>
      <c r="AC37" s="438"/>
      <c r="AD37" s="439"/>
    </row>
    <row r="38" spans="1:31" ht="21" thickBot="1">
      <c r="A38" s="489"/>
      <c r="B38" s="559">
        <f>(B11/B36)*100</f>
        <v>21.022620928853023</v>
      </c>
      <c r="C38" s="560"/>
      <c r="D38" s="559">
        <f>(D11/D36)*100</f>
        <v>59.935215386383419</v>
      </c>
      <c r="E38" s="438"/>
      <c r="F38" s="586">
        <f>SUM((0.622*F37)/(F36-F37))</f>
        <v>1.071266568975562E-2</v>
      </c>
      <c r="G38" s="586">
        <f t="shared" ref="G38:Q38" si="1">SUM((0.622*G37)/(G36-G37))</f>
        <v>1.071266568975562E-2</v>
      </c>
      <c r="H38" s="586">
        <f t="shared" si="1"/>
        <v>1.071266568975562E-2</v>
      </c>
      <c r="I38" s="586">
        <f t="shared" si="1"/>
        <v>1.071266568975562E-2</v>
      </c>
      <c r="J38" s="586">
        <f t="shared" si="1"/>
        <v>1.071266568975562E-2</v>
      </c>
      <c r="K38" s="586">
        <f t="shared" si="1"/>
        <v>1.071266568975562E-2</v>
      </c>
      <c r="L38" s="586">
        <f t="shared" si="1"/>
        <v>1.071266568975562E-2</v>
      </c>
      <c r="M38" s="586">
        <f t="shared" si="1"/>
        <v>1.071266568975562E-2</v>
      </c>
      <c r="N38" s="586">
        <f t="shared" si="1"/>
        <v>1.071266568975562E-2</v>
      </c>
      <c r="O38" s="586">
        <f t="shared" si="1"/>
        <v>1.071266568975562E-2</v>
      </c>
      <c r="P38" s="586">
        <f t="shared" si="1"/>
        <v>1.071266568975562E-2</v>
      </c>
      <c r="Q38" s="586">
        <f t="shared" si="1"/>
        <v>1.071266568975562E-2</v>
      </c>
      <c r="R38" s="438"/>
      <c r="S38" s="438"/>
      <c r="T38" s="561"/>
      <c r="U38" s="511"/>
      <c r="V38" s="511"/>
      <c r="W38" s="2579">
        <f>(V24-V22)/(-V16/1000)/4.18</f>
        <v>17.999999999999865</v>
      </c>
      <c r="X38" s="590" t="s">
        <v>711</v>
      </c>
      <c r="Y38" s="591"/>
      <c r="Z38" s="591"/>
      <c r="AA38" s="592"/>
      <c r="AB38" s="438"/>
      <c r="AC38" s="438"/>
      <c r="AD38" s="439"/>
    </row>
    <row r="39" spans="1:31">
      <c r="A39" s="489"/>
      <c r="B39" s="559">
        <f>(17.27*V36)/(237.3+V36)</f>
        <v>3.005569091541942</v>
      </c>
      <c r="C39" s="560"/>
      <c r="D39" s="559">
        <f>(17.27*Z36)/(237.3+Z36)</f>
        <v>0</v>
      </c>
      <c r="E39" s="438"/>
      <c r="F39" s="586">
        <f t="shared" ref="F39:Q39" si="2">SUM((0.287*(273.15+F35))/(F36-F37))</f>
        <v>0.88502515114637903</v>
      </c>
      <c r="G39" s="586">
        <f t="shared" si="2"/>
        <v>0.88502515114637903</v>
      </c>
      <c r="H39" s="586">
        <f t="shared" si="2"/>
        <v>0.88502515114637903</v>
      </c>
      <c r="I39" s="586">
        <f t="shared" si="2"/>
        <v>0.88502515114637903</v>
      </c>
      <c r="J39" s="586">
        <f t="shared" si="2"/>
        <v>0.88502515114637903</v>
      </c>
      <c r="K39" s="586">
        <f t="shared" si="2"/>
        <v>0.88502515114637903</v>
      </c>
      <c r="L39" s="586">
        <f t="shared" si="2"/>
        <v>0.88502515114637903</v>
      </c>
      <c r="M39" s="586">
        <f t="shared" si="2"/>
        <v>0.88502515114637903</v>
      </c>
      <c r="N39" s="586">
        <f t="shared" si="2"/>
        <v>0.88502515114637903</v>
      </c>
      <c r="O39" s="586">
        <f t="shared" si="2"/>
        <v>0.88502515114637903</v>
      </c>
      <c r="P39" s="586">
        <f t="shared" si="2"/>
        <v>0.88502515114637903</v>
      </c>
      <c r="Q39" s="586">
        <f t="shared" si="2"/>
        <v>0.88502515114637903</v>
      </c>
      <c r="R39" s="438"/>
      <c r="S39" s="438"/>
      <c r="T39" s="438"/>
      <c r="U39" s="438"/>
      <c r="V39" s="438"/>
      <c r="W39" s="438"/>
      <c r="X39" s="438"/>
      <c r="Y39" s="438"/>
      <c r="Z39" s="438"/>
      <c r="AA39" s="438"/>
      <c r="AB39" s="438"/>
      <c r="AC39" s="438"/>
      <c r="AD39" s="439"/>
    </row>
    <row r="40" spans="1:31" ht="13.5" thickBot="1">
      <c r="A40" s="489"/>
      <c r="B40" s="559">
        <f>EXP(B39)*0.6105</f>
        <v>12.330700227442458</v>
      </c>
      <c r="C40" s="560"/>
      <c r="D40" s="559">
        <f>EXP(D39)*0.6105</f>
        <v>0.61050000000000004</v>
      </c>
      <c r="E40" s="438"/>
      <c r="F40" s="586">
        <f t="shared" ref="F40:Q40" si="3">SUM((1+F38)/F39)</f>
        <v>1.1420157544455913</v>
      </c>
      <c r="G40" s="586">
        <f t="shared" si="3"/>
        <v>1.1420157544455913</v>
      </c>
      <c r="H40" s="586">
        <f t="shared" si="3"/>
        <v>1.1420157544455913</v>
      </c>
      <c r="I40" s="586">
        <f t="shared" si="3"/>
        <v>1.1420157544455913</v>
      </c>
      <c r="J40" s="586">
        <f t="shared" si="3"/>
        <v>1.1420157544455913</v>
      </c>
      <c r="K40" s="586">
        <f t="shared" si="3"/>
        <v>1.1420157544455913</v>
      </c>
      <c r="L40" s="586">
        <f t="shared" si="3"/>
        <v>1.1420157544455913</v>
      </c>
      <c r="M40" s="586">
        <f t="shared" si="3"/>
        <v>1.1420157544455913</v>
      </c>
      <c r="N40" s="586">
        <f t="shared" si="3"/>
        <v>1.1420157544455913</v>
      </c>
      <c r="O40" s="586">
        <f t="shared" si="3"/>
        <v>1.1420157544455913</v>
      </c>
      <c r="P40" s="586">
        <f t="shared" si="3"/>
        <v>1.1420157544455913</v>
      </c>
      <c r="Q40" s="586">
        <f t="shared" si="3"/>
        <v>1.1420157544455913</v>
      </c>
      <c r="R40" s="438"/>
      <c r="S40" s="438"/>
      <c r="T40" s="561"/>
      <c r="U40" s="511"/>
      <c r="V40" s="511"/>
      <c r="W40" s="511"/>
      <c r="X40" s="511"/>
      <c r="Y40" s="438"/>
      <c r="Z40" s="438"/>
      <c r="AA40" s="438"/>
      <c r="AB40" s="438"/>
      <c r="AC40" s="438"/>
      <c r="AD40" s="439"/>
    </row>
    <row r="41" spans="1:31" ht="16.5" thickBot="1">
      <c r="A41" s="489"/>
      <c r="B41" s="559"/>
      <c r="C41" s="560"/>
      <c r="D41" s="559"/>
      <c r="E41" s="438"/>
      <c r="F41" s="438"/>
      <c r="G41" s="438"/>
      <c r="H41" s="438"/>
      <c r="I41" s="438"/>
      <c r="J41" s="438"/>
      <c r="K41" s="438"/>
      <c r="L41" s="438"/>
      <c r="M41" s="438"/>
      <c r="N41" s="438"/>
      <c r="O41" s="438"/>
      <c r="P41" s="438"/>
      <c r="Q41" s="438"/>
      <c r="R41" s="438"/>
      <c r="S41" s="438"/>
      <c r="T41" s="593" t="s">
        <v>712</v>
      </c>
      <c r="U41" s="594">
        <f>V26*(V24-Z24)</f>
        <v>9.9638165816980706</v>
      </c>
      <c r="V41" s="595" t="s">
        <v>713</v>
      </c>
      <c r="W41" s="511"/>
      <c r="X41" s="511"/>
      <c r="Y41" s="438"/>
      <c r="Z41" s="438"/>
      <c r="AA41" s="438"/>
      <c r="AB41" s="438"/>
      <c r="AC41" s="438"/>
      <c r="AD41" s="439"/>
    </row>
    <row r="42" spans="1:31">
      <c r="A42" s="489" t="s">
        <v>692</v>
      </c>
      <c r="B42" s="559">
        <f>B40-B34</f>
        <v>-84.006547772557539</v>
      </c>
      <c r="C42" s="560" t="s">
        <v>692</v>
      </c>
      <c r="D42" s="559">
        <f>D40-D34</f>
        <v>0.61050000000000004</v>
      </c>
      <c r="E42" s="438"/>
      <c r="F42" s="438"/>
      <c r="G42" s="438"/>
      <c r="H42" s="438"/>
      <c r="I42" s="438"/>
      <c r="J42" s="438"/>
      <c r="K42" s="438"/>
      <c r="L42" s="438"/>
      <c r="M42" s="438"/>
      <c r="N42" s="438"/>
      <c r="O42" s="438"/>
      <c r="P42" s="438"/>
      <c r="Q42" s="438"/>
      <c r="R42" s="438"/>
      <c r="S42" s="438"/>
      <c r="T42" s="561"/>
      <c r="U42" s="511"/>
      <c r="V42" s="511"/>
      <c r="W42" s="511"/>
      <c r="X42" s="511"/>
      <c r="Y42" s="438"/>
      <c r="Z42" s="438"/>
      <c r="AA42" s="438"/>
      <c r="AB42" s="438"/>
      <c r="AC42" s="438"/>
      <c r="AD42" s="439"/>
    </row>
    <row r="43" spans="1:31">
      <c r="A43" s="568"/>
      <c r="B43" s="569"/>
      <c r="C43" s="570"/>
      <c r="D43" s="569"/>
      <c r="E43" s="438"/>
      <c r="F43" s="438"/>
      <c r="G43" s="438"/>
      <c r="H43" s="438"/>
      <c r="I43" s="438"/>
      <c r="J43" s="438"/>
      <c r="K43" s="438"/>
      <c r="L43" s="438"/>
      <c r="M43" s="438"/>
      <c r="N43" s="438"/>
      <c r="O43" s="438"/>
      <c r="P43" s="438"/>
      <c r="Q43" s="438"/>
      <c r="R43" s="438"/>
      <c r="S43" s="438"/>
      <c r="T43" s="561"/>
      <c r="U43" s="511"/>
      <c r="V43" s="511"/>
      <c r="W43" s="511"/>
      <c r="X43" s="511"/>
      <c r="Y43" s="438"/>
      <c r="Z43" s="438"/>
      <c r="AA43" s="438"/>
      <c r="AB43" s="438"/>
      <c r="AC43" s="438"/>
      <c r="AD43" s="439"/>
    </row>
    <row r="44" spans="1:31" ht="13.5" thickBot="1">
      <c r="A44" s="596"/>
      <c r="B44" s="597"/>
      <c r="C44" s="598"/>
      <c r="D44" s="597"/>
      <c r="E44" s="448"/>
      <c r="F44" s="448"/>
      <c r="G44" s="448"/>
      <c r="H44" s="448"/>
      <c r="I44" s="448"/>
      <c r="J44" s="448"/>
      <c r="K44" s="448"/>
      <c r="L44" s="448"/>
      <c r="M44" s="448"/>
      <c r="N44" s="448"/>
      <c r="O44" s="448"/>
      <c r="P44" s="448"/>
      <c r="Q44" s="448"/>
      <c r="R44" s="448"/>
      <c r="S44" s="448"/>
      <c r="T44" s="448"/>
      <c r="U44" s="448"/>
      <c r="V44" s="448"/>
      <c r="W44" s="599"/>
      <c r="X44" s="449"/>
      <c r="Y44" s="449"/>
      <c r="Z44" s="449"/>
      <c r="AA44" s="449"/>
      <c r="AB44" s="448"/>
      <c r="AC44" s="448"/>
      <c r="AD44" s="450"/>
    </row>
    <row r="45" spans="1:31">
      <c r="A45" s="560"/>
      <c r="B45" s="559">
        <f>LN(B11/0.6105)</f>
        <v>0.49256402431707741</v>
      </c>
      <c r="C45" s="560"/>
      <c r="D45" s="559">
        <f>LN(D11/0.6105)</f>
        <v>1.0140640839061998</v>
      </c>
      <c r="I45" s="435"/>
      <c r="J45" s="435"/>
      <c r="K45" s="435"/>
      <c r="L45" s="435"/>
      <c r="M45" s="435"/>
      <c r="W45" s="566"/>
      <c r="X45" s="504"/>
      <c r="Y45" s="504"/>
      <c r="Z45" s="504"/>
      <c r="AA45" s="504"/>
    </row>
    <row r="46" spans="1:31" ht="13.5" thickBot="1">
      <c r="A46" s="560"/>
      <c r="B46" s="559"/>
      <c r="C46" s="560"/>
      <c r="D46" s="559"/>
      <c r="I46" s="435"/>
      <c r="J46" s="435"/>
      <c r="K46" s="435"/>
      <c r="L46" s="435"/>
      <c r="M46" s="435"/>
      <c r="W46" s="566"/>
      <c r="X46" s="504"/>
      <c r="Y46" s="504"/>
      <c r="Z46" s="504"/>
      <c r="AA46" s="504"/>
    </row>
    <row r="47" spans="1:31" ht="18">
      <c r="A47" s="560" t="s">
        <v>702</v>
      </c>
      <c r="B47" s="559">
        <f>(237.3*B45)/(17.27-B45)</f>
        <v>6.9668239616503538</v>
      </c>
      <c r="C47" s="560" t="s">
        <v>702</v>
      </c>
      <c r="D47" s="559">
        <f>(237.3*D45)/(17.27-D45)</f>
        <v>14.803048458914256</v>
      </c>
      <c r="I47" s="435"/>
      <c r="J47" s="435"/>
      <c r="K47" s="435"/>
      <c r="L47" s="435"/>
      <c r="M47" s="435"/>
      <c r="S47" s="684" t="s">
        <v>1728</v>
      </c>
      <c r="T47" s="507"/>
      <c r="U47" s="507"/>
      <c r="V47" s="507"/>
      <c r="W47" s="548"/>
      <c r="X47" s="508"/>
      <c r="Y47" s="508"/>
      <c r="Z47" s="508"/>
      <c r="AA47" s="508"/>
      <c r="AB47" s="507"/>
      <c r="AC47" s="507"/>
      <c r="AD47" s="507"/>
      <c r="AE47" s="509"/>
    </row>
    <row r="48" spans="1:31">
      <c r="A48" s="570"/>
      <c r="B48" s="569"/>
      <c r="C48" s="570"/>
      <c r="D48" s="569"/>
      <c r="I48" s="435"/>
      <c r="J48" s="435"/>
      <c r="K48" s="435"/>
      <c r="L48" s="435"/>
      <c r="M48" s="435"/>
      <c r="S48" s="489"/>
      <c r="T48" s="438"/>
      <c r="U48" s="438"/>
      <c r="V48" s="438"/>
      <c r="W48" s="561"/>
      <c r="X48" s="511"/>
      <c r="Y48" s="511"/>
      <c r="Z48" s="511"/>
      <c r="AA48" s="511"/>
      <c r="AB48" s="438"/>
      <c r="AC48" s="438"/>
      <c r="AD48" s="438"/>
      <c r="AE48" s="439"/>
    </row>
    <row r="49" spans="9:31" ht="13.5" thickBot="1">
      <c r="I49" s="435"/>
      <c r="J49" s="435"/>
      <c r="K49" s="435"/>
      <c r="L49" s="435"/>
      <c r="M49" s="435"/>
      <c r="S49" s="489"/>
      <c r="T49" s="438"/>
      <c r="U49" s="438"/>
      <c r="V49" s="438"/>
      <c r="W49" s="561"/>
      <c r="X49" s="511"/>
      <c r="Y49" s="511"/>
      <c r="Z49" s="511"/>
      <c r="AA49" s="511"/>
      <c r="AB49" s="438"/>
      <c r="AC49" s="438"/>
      <c r="AD49" s="438"/>
      <c r="AE49" s="439"/>
    </row>
    <row r="50" spans="9:31" ht="13.5" thickBot="1">
      <c r="I50" s="435"/>
      <c r="J50" s="435"/>
      <c r="K50" s="435"/>
      <c r="L50" s="435"/>
      <c r="M50" s="435"/>
      <c r="S50" s="489"/>
      <c r="T50" s="438"/>
      <c r="U50" s="438"/>
      <c r="V50" s="438"/>
      <c r="W50" s="438"/>
      <c r="X50" s="438"/>
      <c r="Y50" s="438"/>
      <c r="Z50" s="438"/>
      <c r="AA50" s="600" t="s">
        <v>714</v>
      </c>
      <c r="AB50" s="438"/>
      <c r="AC50" s="438"/>
      <c r="AD50" s="438"/>
      <c r="AE50" s="439"/>
    </row>
    <row r="51" spans="9:31" ht="39" thickBot="1">
      <c r="I51" s="435"/>
      <c r="J51" s="435"/>
      <c r="K51" s="435"/>
      <c r="L51" s="435"/>
      <c r="M51" s="435"/>
      <c r="S51" s="489"/>
      <c r="T51" s="2847" t="s">
        <v>715</v>
      </c>
      <c r="U51" s="2848"/>
      <c r="V51" s="2849"/>
      <c r="W51" s="438"/>
      <c r="X51" s="438"/>
      <c r="Y51" s="438"/>
      <c r="Z51" s="438"/>
      <c r="AA51" s="601">
        <v>87.5</v>
      </c>
      <c r="AB51" s="602" t="s">
        <v>716</v>
      </c>
      <c r="AC51" s="603" t="s">
        <v>717</v>
      </c>
      <c r="AD51" s="604" t="s">
        <v>718</v>
      </c>
      <c r="AE51" s="439"/>
    </row>
    <row r="52" spans="9:31" ht="18.75" thickBot="1">
      <c r="I52" s="435"/>
      <c r="J52" s="435"/>
      <c r="K52" s="435"/>
      <c r="L52" s="435"/>
      <c r="M52" s="435"/>
      <c r="S52" s="489"/>
      <c r="T52" s="605" t="s">
        <v>719</v>
      </c>
      <c r="U52" s="606">
        <v>29.5</v>
      </c>
      <c r="V52" s="607" t="s">
        <v>575</v>
      </c>
      <c r="W52" s="438"/>
      <c r="X52" s="2851" t="s">
        <v>720</v>
      </c>
      <c r="Y52" s="2852"/>
      <c r="Z52" s="438"/>
      <c r="AA52" s="511"/>
      <c r="AB52" s="608">
        <v>44</v>
      </c>
      <c r="AC52" s="609">
        <v>1320</v>
      </c>
      <c r="AD52" s="610">
        <f t="shared" ref="AD52:AD78" si="4">$AA$51+((AC52/1000))*9.79</f>
        <v>100.4228</v>
      </c>
      <c r="AE52" s="607" t="s">
        <v>721</v>
      </c>
    </row>
    <row r="53" spans="9:31">
      <c r="I53" s="435"/>
      <c r="J53" s="435"/>
      <c r="K53" s="435"/>
      <c r="L53" s="435"/>
      <c r="M53" s="435"/>
      <c r="S53" s="489"/>
      <c r="T53" s="611" t="s">
        <v>722</v>
      </c>
      <c r="U53" s="443">
        <v>31</v>
      </c>
      <c r="V53" s="612" t="s">
        <v>575</v>
      </c>
      <c r="W53" s="438"/>
      <c r="X53" s="605" t="s">
        <v>723</v>
      </c>
      <c r="Y53" s="2569">
        <f>U61</f>
        <v>87.02753944620757</v>
      </c>
      <c r="Z53" s="607" t="s">
        <v>724</v>
      </c>
      <c r="AA53" s="511"/>
      <c r="AB53" s="613">
        <v>47</v>
      </c>
      <c r="AC53" s="614">
        <v>1410</v>
      </c>
      <c r="AD53" s="615">
        <f t="shared" si="4"/>
        <v>101.3039</v>
      </c>
      <c r="AE53" s="612" t="s">
        <v>721</v>
      </c>
    </row>
    <row r="54" spans="9:31">
      <c r="I54" s="435"/>
      <c r="J54" s="435"/>
      <c r="K54" s="435"/>
      <c r="L54" s="435"/>
      <c r="M54" s="435"/>
      <c r="S54" s="489"/>
      <c r="T54" s="611" t="s">
        <v>689</v>
      </c>
      <c r="U54" s="443">
        <v>112.7</v>
      </c>
      <c r="V54" s="612" t="s">
        <v>721</v>
      </c>
      <c r="W54" s="438"/>
      <c r="X54" s="611" t="s">
        <v>725</v>
      </c>
      <c r="Y54" s="2570">
        <f>U77</f>
        <v>63.710276555389484</v>
      </c>
      <c r="Z54" s="612" t="s">
        <v>724</v>
      </c>
      <c r="AA54" s="511"/>
      <c r="AB54" s="613">
        <v>50</v>
      </c>
      <c r="AC54" s="614">
        <v>1500</v>
      </c>
      <c r="AD54" s="615">
        <f t="shared" si="4"/>
        <v>102.185</v>
      </c>
      <c r="AE54" s="612" t="s">
        <v>721</v>
      </c>
    </row>
    <row r="55" spans="9:31">
      <c r="I55" s="435"/>
      <c r="J55" s="435"/>
      <c r="K55" s="435"/>
      <c r="L55" s="435"/>
      <c r="M55" s="435"/>
      <c r="S55" s="489"/>
      <c r="T55" s="611" t="s">
        <v>726</v>
      </c>
      <c r="U55" s="2565">
        <f>EXP(SUM(17.27*U52)/(SUM(237.3+U52)))*0.6105-((0.000644*U54)*(U53-U52))</f>
        <v>4.0119922765180283</v>
      </c>
      <c r="V55" s="612" t="s">
        <v>721</v>
      </c>
      <c r="W55" s="438"/>
      <c r="X55" s="611" t="s">
        <v>727</v>
      </c>
      <c r="Y55" s="2183">
        <f>U59</f>
        <v>1.2737098123974475</v>
      </c>
      <c r="Z55" s="612" t="s">
        <v>728</v>
      </c>
      <c r="AA55" s="511"/>
      <c r="AB55" s="613">
        <v>53</v>
      </c>
      <c r="AC55" s="614">
        <v>1590</v>
      </c>
      <c r="AD55" s="615">
        <f t="shared" si="4"/>
        <v>103.06610000000001</v>
      </c>
      <c r="AE55" s="612" t="s">
        <v>721</v>
      </c>
    </row>
    <row r="56" spans="9:31">
      <c r="I56" s="435"/>
      <c r="J56" s="435"/>
      <c r="K56" s="435"/>
      <c r="L56" s="435"/>
      <c r="M56" s="435"/>
      <c r="S56" s="489"/>
      <c r="T56" s="617" t="s">
        <v>729</v>
      </c>
      <c r="U56" s="2565">
        <f>SUM((0.622*U55)/(U54-U55))</f>
        <v>2.2959839344401482E-2</v>
      </c>
      <c r="V56" s="612" t="s">
        <v>730</v>
      </c>
      <c r="W56" s="438"/>
      <c r="X56" s="611" t="s">
        <v>731</v>
      </c>
      <c r="Y56" s="443">
        <v>1170</v>
      </c>
      <c r="Z56" s="612" t="s">
        <v>732</v>
      </c>
      <c r="AA56" s="511"/>
      <c r="AB56" s="613">
        <v>56</v>
      </c>
      <c r="AC56" s="614">
        <v>1680</v>
      </c>
      <c r="AD56" s="615">
        <f t="shared" si="4"/>
        <v>103.9472</v>
      </c>
      <c r="AE56" s="612" t="s">
        <v>721</v>
      </c>
    </row>
    <row r="57" spans="9:31" ht="26.25">
      <c r="I57" s="435"/>
      <c r="J57" s="435"/>
      <c r="K57" s="435"/>
      <c r="L57" s="435"/>
      <c r="M57" s="435"/>
      <c r="S57" s="489"/>
      <c r="T57" s="617" t="s">
        <v>733</v>
      </c>
      <c r="U57" s="2566">
        <f>U56*1000</f>
        <v>22.959839344401484</v>
      </c>
      <c r="V57" s="612" t="s">
        <v>730</v>
      </c>
      <c r="W57" s="438"/>
      <c r="X57" s="611" t="s">
        <v>734</v>
      </c>
      <c r="Y57" s="2571">
        <f>(Y53-Y54)*(Y56*Y55)</f>
        <v>34748.329054474467</v>
      </c>
      <c r="Z57" s="612" t="s">
        <v>713</v>
      </c>
      <c r="AA57" s="511"/>
      <c r="AB57" s="613">
        <v>59</v>
      </c>
      <c r="AC57" s="614">
        <v>1770</v>
      </c>
      <c r="AD57" s="615">
        <f t="shared" si="4"/>
        <v>104.8283</v>
      </c>
      <c r="AE57" s="612" t="s">
        <v>721</v>
      </c>
    </row>
    <row r="58" spans="9:31" ht="13.5" thickBot="1">
      <c r="I58" s="435"/>
      <c r="J58" s="435"/>
      <c r="K58" s="435"/>
      <c r="L58" s="435"/>
      <c r="M58" s="435"/>
      <c r="S58" s="489"/>
      <c r="T58" s="611" t="s">
        <v>735</v>
      </c>
      <c r="U58" s="2565">
        <f>SUM((0.287*(273.15+U53))/(U54-U55))</f>
        <v>0.80313414357618051</v>
      </c>
      <c r="V58" s="612" t="s">
        <v>736</v>
      </c>
      <c r="W58" s="438"/>
      <c r="X58" s="618" t="s">
        <v>737</v>
      </c>
      <c r="Y58" s="2568">
        <f>Y56*U59</f>
        <v>1490.2404805050137</v>
      </c>
      <c r="Z58" s="619" t="s">
        <v>595</v>
      </c>
      <c r="AA58" s="511"/>
      <c r="AB58" s="613">
        <v>62</v>
      </c>
      <c r="AC58" s="614">
        <v>1860</v>
      </c>
      <c r="AD58" s="615">
        <f t="shared" si="4"/>
        <v>105.7094</v>
      </c>
      <c r="AE58" s="612" t="s">
        <v>721</v>
      </c>
    </row>
    <row r="59" spans="9:31">
      <c r="I59" s="435"/>
      <c r="J59" s="435"/>
      <c r="K59" s="435"/>
      <c r="L59" s="435"/>
      <c r="M59" s="435"/>
      <c r="S59" s="489"/>
      <c r="T59" s="611" t="s">
        <v>738</v>
      </c>
      <c r="U59" s="2565">
        <f>SUM(1+U56)/U58</f>
        <v>1.2737098123974475</v>
      </c>
      <c r="V59" s="612" t="s">
        <v>728</v>
      </c>
      <c r="W59" s="438"/>
      <c r="X59" s="438"/>
      <c r="Y59" s="438"/>
      <c r="Z59" s="438"/>
      <c r="AA59" s="511"/>
      <c r="AB59" s="620" t="s">
        <v>739</v>
      </c>
      <c r="AC59" s="621">
        <v>1950</v>
      </c>
      <c r="AD59" s="615">
        <f t="shared" si="4"/>
        <v>106.59049999999999</v>
      </c>
      <c r="AE59" s="612" t="s">
        <v>721</v>
      </c>
    </row>
    <row r="60" spans="9:31" ht="13.5" thickBot="1">
      <c r="I60" s="435"/>
      <c r="J60" s="435"/>
      <c r="K60" s="435"/>
      <c r="L60" s="435"/>
      <c r="M60" s="435"/>
      <c r="S60" s="489"/>
      <c r="T60" s="611" t="s">
        <v>740</v>
      </c>
      <c r="U60" s="2565">
        <f>(1.005*U53)+SUM((U56*((1.8*U53)+2501)))</f>
        <v>89.85871723576571</v>
      </c>
      <c r="V60" s="612" t="s">
        <v>724</v>
      </c>
      <c r="W60" s="438"/>
      <c r="X60" s="438"/>
      <c r="Y60" s="438"/>
      <c r="Z60" s="438"/>
      <c r="AA60" s="511"/>
      <c r="AB60" s="613">
        <v>68</v>
      </c>
      <c r="AC60" s="614">
        <v>2040</v>
      </c>
      <c r="AD60" s="622">
        <f t="shared" si="4"/>
        <v>107.4716</v>
      </c>
      <c r="AE60" s="612" t="s">
        <v>721</v>
      </c>
    </row>
    <row r="61" spans="9:31" ht="16.5" thickBot="1">
      <c r="I61" s="435"/>
      <c r="J61" s="435"/>
      <c r="K61" s="435"/>
      <c r="L61" s="435"/>
      <c r="M61" s="435"/>
      <c r="S61" s="489"/>
      <c r="T61" s="611" t="s">
        <v>741</v>
      </c>
      <c r="U61" s="2565">
        <f>SUM(U60-(U56*(4.18*U52)))</f>
        <v>87.02753944620757</v>
      </c>
      <c r="V61" s="612" t="s">
        <v>724</v>
      </c>
      <c r="W61" s="438"/>
      <c r="X61" s="1342" t="s">
        <v>1377</v>
      </c>
      <c r="Y61" s="2572">
        <v>15</v>
      </c>
      <c r="Z61" s="629" t="s">
        <v>713</v>
      </c>
      <c r="AA61" s="511"/>
      <c r="AB61" s="613" t="s">
        <v>742</v>
      </c>
      <c r="AC61" s="614">
        <v>2130</v>
      </c>
      <c r="AD61" s="622">
        <f t="shared" si="4"/>
        <v>108.3527</v>
      </c>
      <c r="AE61" s="612" t="s">
        <v>721</v>
      </c>
    </row>
    <row r="62" spans="9:31" ht="27" thickBot="1">
      <c r="I62" s="435"/>
      <c r="J62" s="435"/>
      <c r="K62" s="435"/>
      <c r="L62" s="435"/>
      <c r="M62" s="435"/>
      <c r="S62" s="489"/>
      <c r="T62" s="611" t="s">
        <v>743</v>
      </c>
      <c r="U62" s="2567">
        <f>SUM(U55/((EXP(SUM(17.27*U53)/(SUM(237.3+U53))))*0.6105))*100</f>
        <v>89.346273757534775</v>
      </c>
      <c r="V62" s="623" t="s">
        <v>211</v>
      </c>
      <c r="W62" s="438"/>
      <c r="X62" s="1340" t="s">
        <v>1378</v>
      </c>
      <c r="Y62" s="2573">
        <f>Y61+Y57</f>
        <v>34763.329054474467</v>
      </c>
      <c r="Z62" s="1341" t="s">
        <v>713</v>
      </c>
      <c r="AA62" s="511"/>
      <c r="AB62" s="613" t="s">
        <v>746</v>
      </c>
      <c r="AC62" s="614">
        <v>2220</v>
      </c>
      <c r="AD62" s="622">
        <f t="shared" si="4"/>
        <v>109.2338</v>
      </c>
      <c r="AE62" s="612" t="s">
        <v>721</v>
      </c>
    </row>
    <row r="63" spans="9:31" ht="13.5" thickBot="1">
      <c r="I63" s="435"/>
      <c r="J63" s="435"/>
      <c r="K63" s="435"/>
      <c r="L63" s="435"/>
      <c r="M63" s="435"/>
      <c r="S63" s="489"/>
      <c r="T63" s="618" t="s">
        <v>747</v>
      </c>
      <c r="U63" s="2568">
        <f>SUM(237.3*(LN(U55/0.6105)))/SUM(17.27-(LN(U55/6105)))</f>
        <v>18.163583604156162</v>
      </c>
      <c r="V63" s="619" t="s">
        <v>575</v>
      </c>
      <c r="W63" s="438"/>
      <c r="X63" s="561"/>
      <c r="Y63" s="438"/>
      <c r="Z63" s="438"/>
      <c r="AA63" s="511"/>
      <c r="AB63" s="613" t="s">
        <v>748</v>
      </c>
      <c r="AC63" s="614">
        <v>2310</v>
      </c>
      <c r="AD63" s="622">
        <f t="shared" si="4"/>
        <v>110.11490000000001</v>
      </c>
      <c r="AE63" s="612" t="s">
        <v>721</v>
      </c>
    </row>
    <row r="64" spans="9:31" ht="13.5" thickBot="1">
      <c r="I64" s="435"/>
      <c r="J64" s="435"/>
      <c r="K64" s="435"/>
      <c r="L64" s="435"/>
      <c r="M64" s="435"/>
      <c r="S64" s="489"/>
      <c r="T64" s="438"/>
      <c r="U64" s="438"/>
      <c r="V64" s="438"/>
      <c r="W64" s="438"/>
      <c r="X64" s="438"/>
      <c r="Y64" s="438"/>
      <c r="Z64" s="438"/>
      <c r="AA64" s="511"/>
      <c r="AB64" s="613" t="s">
        <v>749</v>
      </c>
      <c r="AC64" s="614">
        <v>2604</v>
      </c>
      <c r="AD64" s="622">
        <f t="shared" si="4"/>
        <v>112.99316</v>
      </c>
      <c r="AE64" s="612" t="s">
        <v>721</v>
      </c>
    </row>
    <row r="65" spans="9:32" ht="13.5" thickBot="1">
      <c r="I65" s="435"/>
      <c r="J65" s="435"/>
      <c r="K65" s="435"/>
      <c r="L65" s="435"/>
      <c r="M65" s="435"/>
      <c r="S65" s="489"/>
      <c r="T65" s="438"/>
      <c r="U65" s="438"/>
      <c r="V65" s="438"/>
      <c r="W65" s="438"/>
      <c r="X65" s="624" t="s">
        <v>744</v>
      </c>
      <c r="Y65" s="625">
        <f>U56*Y58</f>
        <v>34.215682016918784</v>
      </c>
      <c r="Z65" s="626" t="s">
        <v>745</v>
      </c>
      <c r="AA65" s="511"/>
      <c r="AB65" s="613" t="s">
        <v>751</v>
      </c>
      <c r="AC65" s="614">
        <v>2699</v>
      </c>
      <c r="AD65" s="622">
        <f t="shared" si="4"/>
        <v>113.92321</v>
      </c>
      <c r="AE65" s="612" t="s">
        <v>721</v>
      </c>
    </row>
    <row r="66" spans="9:32" ht="13.5" thickBot="1">
      <c r="I66" s="435"/>
      <c r="J66" s="435"/>
      <c r="K66" s="435"/>
      <c r="L66" s="435"/>
      <c r="M66" s="435"/>
      <c r="S66" s="489"/>
      <c r="T66" s="438"/>
      <c r="U66" s="438"/>
      <c r="V66" s="438"/>
      <c r="W66" s="438"/>
      <c r="X66" s="438"/>
      <c r="Y66" s="438"/>
      <c r="Z66" s="438"/>
      <c r="AA66" s="511"/>
      <c r="AB66" s="613" t="s">
        <v>754</v>
      </c>
      <c r="AC66" s="614">
        <v>2798</v>
      </c>
      <c r="AD66" s="622">
        <f t="shared" si="4"/>
        <v>114.89242</v>
      </c>
      <c r="AE66" s="612" t="s">
        <v>721</v>
      </c>
    </row>
    <row r="67" spans="9:32" ht="24" thickBot="1">
      <c r="I67" s="435"/>
      <c r="J67" s="435"/>
      <c r="K67" s="435"/>
      <c r="L67" s="435"/>
      <c r="M67" s="435"/>
      <c r="S67" s="489"/>
      <c r="T67" s="2829" t="s">
        <v>755</v>
      </c>
      <c r="U67" s="2830"/>
      <c r="V67" s="2831"/>
      <c r="W67" s="438"/>
      <c r="X67" s="438"/>
      <c r="Y67" s="438"/>
      <c r="Z67" s="438"/>
      <c r="AA67" s="511"/>
      <c r="AB67" s="613" t="s">
        <v>756</v>
      </c>
      <c r="AC67" s="614">
        <v>2904</v>
      </c>
      <c r="AD67" s="622">
        <f t="shared" si="4"/>
        <v>115.93016</v>
      </c>
      <c r="AE67" s="612" t="s">
        <v>721</v>
      </c>
    </row>
    <row r="68" spans="9:32" ht="15.75" thickBot="1">
      <c r="I68" s="435"/>
      <c r="J68" s="435"/>
      <c r="K68" s="435"/>
      <c r="L68" s="435"/>
      <c r="M68" s="435"/>
      <c r="S68" s="489"/>
      <c r="T68" s="605" t="s">
        <v>719</v>
      </c>
      <c r="U68" s="606">
        <v>23.5</v>
      </c>
      <c r="V68" s="607">
        <v>27.4</v>
      </c>
      <c r="W68" s="438"/>
      <c r="X68" s="627" t="s">
        <v>750</v>
      </c>
      <c r="Y68" s="628">
        <v>14</v>
      </c>
      <c r="Z68" s="629" t="s">
        <v>575</v>
      </c>
      <c r="AA68" s="511"/>
      <c r="AB68" s="613" t="s">
        <v>758</v>
      </c>
      <c r="AC68" s="614">
        <v>2974</v>
      </c>
      <c r="AD68" s="622">
        <f t="shared" si="4"/>
        <v>116.61546</v>
      </c>
      <c r="AE68" s="612" t="s">
        <v>721</v>
      </c>
    </row>
    <row r="69" spans="9:32" ht="27" thickBot="1">
      <c r="I69" s="435"/>
      <c r="J69" s="435"/>
      <c r="K69" s="435"/>
      <c r="L69" s="435"/>
      <c r="M69" s="435"/>
      <c r="S69" s="489"/>
      <c r="T69" s="611" t="s">
        <v>722</v>
      </c>
      <c r="U69" s="443">
        <v>27</v>
      </c>
      <c r="V69" s="612">
        <v>27.4</v>
      </c>
      <c r="W69" s="438"/>
      <c r="X69" s="630" t="s">
        <v>752</v>
      </c>
      <c r="Y69" s="2573">
        <f>Y57/(4.187*Y68)</f>
        <v>592.7928120112332</v>
      </c>
      <c r="Z69" s="631" t="s">
        <v>753</v>
      </c>
      <c r="AA69" s="511"/>
      <c r="AB69" s="613" t="s">
        <v>759</v>
      </c>
      <c r="AC69" s="614">
        <v>3013</v>
      </c>
      <c r="AD69" s="622">
        <f t="shared" si="4"/>
        <v>116.99727</v>
      </c>
      <c r="AE69" s="612" t="s">
        <v>721</v>
      </c>
      <c r="AF69" s="793">
        <f>AD69-AD65</f>
        <v>3.0740600000000029</v>
      </c>
    </row>
    <row r="70" spans="9:32">
      <c r="I70" s="435"/>
      <c r="J70" s="435"/>
      <c r="K70" s="435"/>
      <c r="L70" s="435"/>
      <c r="M70" s="435"/>
      <c r="S70" s="489"/>
      <c r="T70" s="611" t="s">
        <v>689</v>
      </c>
      <c r="U70" s="443">
        <v>112.7</v>
      </c>
      <c r="V70" s="612" t="s">
        <v>721</v>
      </c>
      <c r="W70" s="438"/>
      <c r="X70" s="438"/>
      <c r="Y70" s="438"/>
      <c r="Z70" s="438"/>
      <c r="AA70" s="511"/>
      <c r="AB70" s="613" t="s">
        <v>760</v>
      </c>
      <c r="AC70" s="614">
        <v>3052</v>
      </c>
      <c r="AD70" s="622">
        <f t="shared" si="4"/>
        <v>117.37908</v>
      </c>
      <c r="AE70" s="612" t="s">
        <v>721</v>
      </c>
    </row>
    <row r="71" spans="9:32" ht="16.5" thickBot="1">
      <c r="I71" s="435"/>
      <c r="J71" s="435"/>
      <c r="K71" s="435"/>
      <c r="L71" s="435"/>
      <c r="M71" s="435"/>
      <c r="S71" s="489"/>
      <c r="T71" s="611" t="s">
        <v>726</v>
      </c>
      <c r="U71" s="2566">
        <f>EXP(SUM(17.27*U68)/(SUM(237.3+U68)))*0.6105-((0.000644*U70)*(U69-U68))</f>
        <v>2.6400828065175803</v>
      </c>
      <c r="V71" s="612" t="s">
        <v>721</v>
      </c>
      <c r="W71" s="438"/>
      <c r="X71" s="632" t="s">
        <v>716</v>
      </c>
      <c r="Y71" s="632" t="s">
        <v>757</v>
      </c>
      <c r="Z71" s="438"/>
      <c r="AA71" s="511"/>
      <c r="AB71" s="613" t="s">
        <v>761</v>
      </c>
      <c r="AC71" s="614">
        <v>3091</v>
      </c>
      <c r="AD71" s="622">
        <f t="shared" si="4"/>
        <v>117.76089</v>
      </c>
      <c r="AE71" s="612" t="s">
        <v>721</v>
      </c>
    </row>
    <row r="72" spans="9:32" ht="16.5" thickTop="1">
      <c r="I72" s="435"/>
      <c r="J72" s="435"/>
      <c r="K72" s="435"/>
      <c r="L72" s="435"/>
      <c r="M72" s="435"/>
      <c r="S72" s="489"/>
      <c r="T72" s="617" t="s">
        <v>729</v>
      </c>
      <c r="U72" s="2566">
        <f>SUM((0.622*U71)/(U70-U71))</f>
        <v>1.4920341097178106E-2</v>
      </c>
      <c r="V72" s="612" t="s">
        <v>693</v>
      </c>
      <c r="W72" s="438"/>
      <c r="X72" s="633">
        <v>44</v>
      </c>
      <c r="Y72" s="634">
        <v>99.4</v>
      </c>
      <c r="Z72" s="438"/>
      <c r="AA72" s="511"/>
      <c r="AB72" s="613" t="s">
        <v>762</v>
      </c>
      <c r="AC72" s="614">
        <v>3130</v>
      </c>
      <c r="AD72" s="622">
        <f t="shared" si="4"/>
        <v>118.14269999999999</v>
      </c>
      <c r="AE72" s="612" t="s">
        <v>721</v>
      </c>
    </row>
    <row r="73" spans="9:32" ht="15.75">
      <c r="I73" s="435"/>
      <c r="J73" s="435"/>
      <c r="K73" s="435"/>
      <c r="L73" s="435"/>
      <c r="M73" s="435"/>
      <c r="S73" s="489"/>
      <c r="T73" s="617" t="s">
        <v>733</v>
      </c>
      <c r="U73" s="2566">
        <f>U72*1000</f>
        <v>14.920341097178106</v>
      </c>
      <c r="V73" s="612" t="s">
        <v>730</v>
      </c>
      <c r="W73" s="438"/>
      <c r="X73" s="635">
        <v>47</v>
      </c>
      <c r="Y73" s="636">
        <v>100.2</v>
      </c>
      <c r="Z73" s="438"/>
      <c r="AA73" s="511"/>
      <c r="AB73" s="613" t="s">
        <v>763</v>
      </c>
      <c r="AC73" s="614">
        <v>3211</v>
      </c>
      <c r="AD73" s="622">
        <f t="shared" si="4"/>
        <v>118.93568999999999</v>
      </c>
      <c r="AE73" s="612" t="s">
        <v>721</v>
      </c>
    </row>
    <row r="74" spans="9:32" ht="15.75">
      <c r="I74" s="435"/>
      <c r="J74" s="435"/>
      <c r="K74" s="435"/>
      <c r="L74" s="435"/>
      <c r="M74" s="435"/>
      <c r="S74" s="489"/>
      <c r="T74" s="611" t="s">
        <v>735</v>
      </c>
      <c r="U74" s="2566">
        <f>SUM((0.287*(273.15+U69))/(U70-U71))</f>
        <v>0.78269230248976829</v>
      </c>
      <c r="V74" s="612" t="s">
        <v>736</v>
      </c>
      <c r="W74" s="438"/>
      <c r="X74" s="635">
        <v>50</v>
      </c>
      <c r="Y74" s="636">
        <v>101</v>
      </c>
      <c r="Z74" s="438"/>
      <c r="AA74" s="511"/>
      <c r="AB74" s="613" t="s">
        <v>764</v>
      </c>
      <c r="AC74" s="614">
        <v>3253</v>
      </c>
      <c r="AD74" s="622">
        <f t="shared" si="4"/>
        <v>119.34687</v>
      </c>
      <c r="AE74" s="612" t="s">
        <v>721</v>
      </c>
    </row>
    <row r="75" spans="9:32" ht="15.75">
      <c r="I75" s="435"/>
      <c r="J75" s="435"/>
      <c r="K75" s="435"/>
      <c r="L75" s="435"/>
      <c r="M75" s="435"/>
      <c r="S75" s="489"/>
      <c r="T75" s="611" t="s">
        <v>738</v>
      </c>
      <c r="U75" s="2566">
        <f>SUM(1+U72)/U74</f>
        <v>1.2967041299226851</v>
      </c>
      <c r="V75" s="612" t="s">
        <v>728</v>
      </c>
      <c r="W75" s="438"/>
      <c r="X75" s="635">
        <v>53</v>
      </c>
      <c r="Y75" s="636">
        <v>101.8</v>
      </c>
      <c r="Z75" s="438"/>
      <c r="AA75" s="511"/>
      <c r="AB75" s="613" t="s">
        <v>765</v>
      </c>
      <c r="AC75" s="614">
        <v>3295</v>
      </c>
      <c r="AD75" s="622">
        <f t="shared" si="4"/>
        <v>119.75805</v>
      </c>
      <c r="AE75" s="612" t="s">
        <v>721</v>
      </c>
    </row>
    <row r="76" spans="9:32" ht="15.75">
      <c r="I76" s="435"/>
      <c r="J76" s="435"/>
      <c r="K76" s="435"/>
      <c r="L76" s="435"/>
      <c r="M76" s="435"/>
      <c r="S76" s="489"/>
      <c r="T76" s="611" t="s">
        <v>740</v>
      </c>
      <c r="U76" s="2566">
        <f>(1.005*U69)+SUM((U72*((1.8*U69)+2501)))</f>
        <v>65.175901661365288</v>
      </c>
      <c r="V76" s="612" t="s">
        <v>724</v>
      </c>
      <c r="W76" s="438"/>
      <c r="X76" s="635">
        <v>56</v>
      </c>
      <c r="Y76" s="636">
        <v>102.6</v>
      </c>
      <c r="Z76" s="438"/>
      <c r="AA76" s="511"/>
      <c r="AB76" s="613" t="s">
        <v>766</v>
      </c>
      <c r="AC76" s="614">
        <v>3372</v>
      </c>
      <c r="AD76" s="622">
        <f t="shared" si="4"/>
        <v>120.51187999999999</v>
      </c>
      <c r="AE76" s="612" t="s">
        <v>721</v>
      </c>
    </row>
    <row r="77" spans="9:32" ht="15.75">
      <c r="I77" s="435"/>
      <c r="J77" s="435"/>
      <c r="K77" s="435"/>
      <c r="L77" s="435"/>
      <c r="M77" s="435"/>
      <c r="S77" s="489"/>
      <c r="T77" s="611" t="s">
        <v>741</v>
      </c>
      <c r="U77" s="2566">
        <f>SUM(U76-(U72*(4.18*U68)))</f>
        <v>63.710276555389484</v>
      </c>
      <c r="V77" s="612" t="s">
        <v>724</v>
      </c>
      <c r="W77" s="438"/>
      <c r="X77" s="635">
        <v>59</v>
      </c>
      <c r="Y77" s="636">
        <v>103.4</v>
      </c>
      <c r="Z77" s="438"/>
      <c r="AA77" s="511"/>
      <c r="AB77" s="613" t="s">
        <v>767</v>
      </c>
      <c r="AC77" s="614">
        <v>3457</v>
      </c>
      <c r="AD77" s="622">
        <f t="shared" si="4"/>
        <v>121.34403</v>
      </c>
      <c r="AE77" s="612" t="s">
        <v>721</v>
      </c>
    </row>
    <row r="78" spans="9:32" ht="16.5" thickBot="1">
      <c r="I78" s="435"/>
      <c r="J78" s="435"/>
      <c r="K78" s="435"/>
      <c r="L78" s="435"/>
      <c r="M78" s="435"/>
      <c r="S78" s="489"/>
      <c r="T78" s="611" t="s">
        <v>743</v>
      </c>
      <c r="U78" s="2566">
        <f>SUM(U71/((EXP(SUM(17.27*U69)/(SUM(237.3+U69))))*0.6105))*100</f>
        <v>74.084940405590515</v>
      </c>
      <c r="V78" s="623" t="s">
        <v>211</v>
      </c>
      <c r="W78" s="438"/>
      <c r="X78" s="635">
        <v>62</v>
      </c>
      <c r="Y78" s="636">
        <v>104.2</v>
      </c>
      <c r="Z78" s="438"/>
      <c r="AA78" s="511"/>
      <c r="AB78" s="637" t="s">
        <v>768</v>
      </c>
      <c r="AC78" s="638">
        <v>3499</v>
      </c>
      <c r="AD78" s="639">
        <f t="shared" si="4"/>
        <v>121.75521000000001</v>
      </c>
      <c r="AE78" s="619" t="s">
        <v>721</v>
      </c>
    </row>
    <row r="79" spans="9:32" ht="16.5" thickBot="1">
      <c r="I79" s="435"/>
      <c r="J79" s="435"/>
      <c r="K79" s="435"/>
      <c r="L79" s="435"/>
      <c r="M79" s="435"/>
      <c r="S79" s="489"/>
      <c r="T79" s="618" t="s">
        <v>747</v>
      </c>
      <c r="U79" s="2574">
        <f>SUM(237.3*(LN(U71/0.6105)))/SUM(17.27-(LN(U71/6105)))</f>
        <v>13.890095583948133</v>
      </c>
      <c r="V79" s="619" t="s">
        <v>575</v>
      </c>
      <c r="W79" s="438"/>
      <c r="X79" s="635">
        <v>64</v>
      </c>
      <c r="Y79" s="636">
        <v>105</v>
      </c>
      <c r="Z79" s="438"/>
      <c r="AA79" s="511"/>
      <c r="AB79" s="438"/>
      <c r="AC79" s="438"/>
      <c r="AD79" s="511"/>
      <c r="AE79" s="439"/>
    </row>
    <row r="80" spans="9:32" ht="15.75">
      <c r="I80" s="435"/>
      <c r="J80" s="435"/>
      <c r="K80" s="435"/>
      <c r="L80" s="435"/>
      <c r="M80" s="435"/>
      <c r="S80" s="489"/>
      <c r="T80" s="438"/>
      <c r="U80" s="438"/>
      <c r="V80" s="438"/>
      <c r="W80" s="438"/>
      <c r="X80" s="635">
        <v>68</v>
      </c>
      <c r="Y80" s="636">
        <v>106</v>
      </c>
      <c r="Z80" s="438"/>
      <c r="AA80" s="511"/>
      <c r="AB80" s="438"/>
      <c r="AC80" s="438"/>
      <c r="AD80" s="511"/>
      <c r="AE80" s="439"/>
    </row>
    <row r="81" spans="9:54" ht="15.75">
      <c r="I81" s="435"/>
      <c r="J81" s="435"/>
      <c r="K81" s="435"/>
      <c r="L81" s="435"/>
      <c r="M81" s="435"/>
      <c r="S81" s="489"/>
      <c r="T81" s="438"/>
      <c r="U81" s="438"/>
      <c r="V81" s="438"/>
      <c r="W81" s="438"/>
      <c r="X81" s="635">
        <v>70</v>
      </c>
      <c r="Y81" s="636">
        <v>107.5</v>
      </c>
      <c r="Z81" s="438"/>
      <c r="AA81" s="511"/>
      <c r="AB81" s="438"/>
      <c r="AC81" s="438"/>
      <c r="AD81" s="511"/>
      <c r="AE81" s="439"/>
    </row>
    <row r="82" spans="9:54" ht="16.5" thickBot="1">
      <c r="I82" s="435"/>
      <c r="J82" s="435"/>
      <c r="K82" s="435"/>
      <c r="L82" s="435"/>
      <c r="M82" s="435"/>
      <c r="S82" s="489"/>
      <c r="T82" s="438"/>
      <c r="U82" s="438"/>
      <c r="V82" s="438"/>
      <c r="W82" s="438"/>
      <c r="X82" s="635">
        <v>73</v>
      </c>
      <c r="Y82" s="636">
        <v>108.3</v>
      </c>
      <c r="Z82" s="438"/>
      <c r="AA82" s="511"/>
      <c r="AB82" s="438"/>
      <c r="AC82" s="438"/>
      <c r="AD82" s="511"/>
      <c r="AE82" s="439"/>
    </row>
    <row r="83" spans="9:54" ht="13.5" thickBot="1">
      <c r="I83" s="435"/>
      <c r="J83" s="435"/>
      <c r="K83" s="435"/>
      <c r="L83" s="435"/>
      <c r="M83" s="435"/>
      <c r="S83" s="489"/>
      <c r="T83" s="2832" t="s">
        <v>769</v>
      </c>
      <c r="U83" s="2833"/>
      <c r="V83" s="438"/>
      <c r="W83" s="438"/>
      <c r="X83" s="438"/>
      <c r="Y83" s="438"/>
      <c r="Z83" s="438"/>
      <c r="AA83" s="511"/>
      <c r="AB83" s="438"/>
      <c r="AC83" s="438"/>
      <c r="AD83" s="511"/>
      <c r="AE83" s="439"/>
    </row>
    <row r="84" spans="9:54">
      <c r="I84" s="435"/>
      <c r="J84" s="435"/>
      <c r="K84" s="435"/>
      <c r="L84" s="435"/>
      <c r="M84" s="435"/>
      <c r="S84" s="489"/>
      <c r="T84" s="605" t="s">
        <v>770</v>
      </c>
      <c r="U84" s="606">
        <f>Y56</f>
        <v>1170</v>
      </c>
      <c r="V84" s="607" t="s">
        <v>732</v>
      </c>
      <c r="W84" s="438"/>
      <c r="X84" s="438"/>
      <c r="Y84" s="438"/>
      <c r="Z84" s="438"/>
      <c r="AA84" s="511"/>
      <c r="AB84" s="438"/>
      <c r="AC84" s="438"/>
      <c r="AD84" s="511"/>
      <c r="AE84" s="439"/>
    </row>
    <row r="85" spans="9:54" ht="13.5" thickBot="1">
      <c r="I85" s="435"/>
      <c r="J85" s="435"/>
      <c r="K85" s="435"/>
      <c r="L85" s="435"/>
      <c r="M85" s="435"/>
      <c r="S85" s="489"/>
      <c r="T85" s="618" t="s">
        <v>771</v>
      </c>
      <c r="U85" s="2568">
        <f>U84*U59</f>
        <v>1490.2404805050137</v>
      </c>
      <c r="V85" s="619" t="s">
        <v>595</v>
      </c>
      <c r="W85" s="438"/>
      <c r="X85" s="438"/>
      <c r="Y85" s="438"/>
      <c r="Z85" s="438"/>
      <c r="AA85" s="511"/>
      <c r="AB85" s="438"/>
      <c r="AC85" s="438"/>
      <c r="AD85" s="511"/>
      <c r="AE85" s="439"/>
    </row>
    <row r="86" spans="9:54" ht="13.5" thickBot="1">
      <c r="I86" s="435"/>
      <c r="J86" s="435"/>
      <c r="K86" s="435"/>
      <c r="L86" s="435"/>
      <c r="M86" s="435"/>
      <c r="S86" s="488"/>
      <c r="T86" s="448"/>
      <c r="U86" s="448"/>
      <c r="V86" s="448"/>
      <c r="W86" s="448"/>
      <c r="X86" s="448"/>
      <c r="Y86" s="448"/>
      <c r="Z86" s="448"/>
      <c r="AA86" s="448"/>
      <c r="AB86" s="448"/>
      <c r="AC86" s="448"/>
      <c r="AD86" s="449"/>
      <c r="AE86" s="450"/>
    </row>
    <row r="87" spans="9:54">
      <c r="I87" s="435"/>
      <c r="J87" s="435"/>
      <c r="K87" s="435"/>
      <c r="L87" s="435"/>
      <c r="M87" s="435"/>
      <c r="AB87" s="566"/>
      <c r="AC87" s="504"/>
      <c r="AD87" s="504"/>
    </row>
    <row r="88" spans="9:54">
      <c r="I88" s="435"/>
      <c r="J88" s="435"/>
      <c r="K88" s="435"/>
      <c r="L88" s="435"/>
      <c r="M88" s="435"/>
      <c r="AB88" s="566"/>
      <c r="AC88" s="504"/>
      <c r="AD88" s="504"/>
    </row>
    <row r="89" spans="9:54" ht="27">
      <c r="I89" s="435"/>
      <c r="J89" s="435"/>
      <c r="K89" s="435"/>
      <c r="L89" s="435"/>
      <c r="M89" s="435"/>
      <c r="S89" s="1817" t="s">
        <v>1639</v>
      </c>
      <c r="AB89" s="566"/>
      <c r="AC89" s="504"/>
      <c r="AD89" s="504"/>
    </row>
    <row r="90" spans="9:54">
      <c r="I90" s="435"/>
      <c r="J90" s="435"/>
      <c r="K90" s="435"/>
      <c r="L90" s="435"/>
      <c r="M90" s="435"/>
      <c r="AB90" s="566"/>
      <c r="AC90" s="504"/>
      <c r="AD90" s="504"/>
    </row>
    <row r="91" spans="9:54" ht="21.75" thickBot="1">
      <c r="I91" s="435"/>
      <c r="J91" s="435"/>
      <c r="K91" s="435"/>
      <c r="L91" s="435"/>
      <c r="M91" s="435"/>
      <c r="S91" s="1799">
        <f ca="1">NOW()</f>
        <v>44146.830988657406</v>
      </c>
      <c r="T91" s="2872" t="s">
        <v>1640</v>
      </c>
      <c r="U91" s="2872"/>
      <c r="V91" s="1800">
        <v>90</v>
      </c>
      <c r="W91" s="1801" t="s">
        <v>1641</v>
      </c>
      <c r="X91" s="1800"/>
      <c r="Y91" s="1818"/>
      <c r="Z91" s="1818"/>
      <c r="AA91" s="1818"/>
      <c r="AB91" s="1818"/>
      <c r="AC91" s="1818"/>
      <c r="AD91" s="1818"/>
      <c r="AE91" s="1818"/>
      <c r="AF91" s="1818"/>
      <c r="AG91" s="1818"/>
      <c r="AH91" s="1818"/>
      <c r="AI91" s="1818"/>
      <c r="AJ91" s="1818"/>
      <c r="AK91" s="1818"/>
      <c r="AL91" s="1818"/>
      <c r="AM91" s="1818"/>
      <c r="AN91" s="2859" t="s">
        <v>1642</v>
      </c>
      <c r="AO91" s="2860"/>
      <c r="AP91" s="2860"/>
      <c r="AQ91" s="2860"/>
      <c r="AR91" s="2860"/>
      <c r="AS91" s="2860"/>
      <c r="AT91" s="2860"/>
      <c r="AU91" s="2861"/>
      <c r="AV91" s="2862" t="s">
        <v>1643</v>
      </c>
      <c r="AW91" s="2862"/>
      <c r="AX91" s="2862"/>
      <c r="AY91" s="2862"/>
      <c r="AZ91" s="2862"/>
      <c r="BA91" s="2862"/>
      <c r="BB91" s="2862"/>
    </row>
    <row r="92" spans="9:54" ht="21" customHeight="1" thickTop="1">
      <c r="I92" s="435"/>
      <c r="J92" s="435"/>
      <c r="K92" s="435"/>
      <c r="L92" s="435"/>
      <c r="M92" s="435"/>
      <c r="S92" s="2882" t="s">
        <v>1644</v>
      </c>
      <c r="T92" s="2884" t="s">
        <v>1645</v>
      </c>
      <c r="U92" s="2884" t="s">
        <v>1646</v>
      </c>
      <c r="V92" s="2886" t="s">
        <v>1647</v>
      </c>
      <c r="W92" s="2853" t="s">
        <v>1648</v>
      </c>
      <c r="X92" s="2853" t="s">
        <v>1649</v>
      </c>
      <c r="Y92" s="2853" t="s">
        <v>1650</v>
      </c>
      <c r="Z92" s="1802" t="s">
        <v>689</v>
      </c>
      <c r="AA92" s="2855" t="s">
        <v>715</v>
      </c>
      <c r="AB92" s="2855"/>
      <c r="AC92" s="2856" t="s">
        <v>1651</v>
      </c>
      <c r="AD92" s="2856"/>
      <c r="AE92" s="2857" t="s">
        <v>1652</v>
      </c>
      <c r="AF92" s="2863" t="s">
        <v>1653</v>
      </c>
      <c r="AG92" s="2866" t="s">
        <v>1654</v>
      </c>
      <c r="AH92" s="2857" t="s">
        <v>1655</v>
      </c>
      <c r="AI92" s="2857" t="s">
        <v>1656</v>
      </c>
      <c r="AJ92" s="2857" t="s">
        <v>1657</v>
      </c>
      <c r="AK92" s="2866" t="s">
        <v>1658</v>
      </c>
      <c r="AL92" s="2868" t="s">
        <v>1659</v>
      </c>
      <c r="AM92" s="2870" t="s">
        <v>1660</v>
      </c>
      <c r="AN92" s="2865"/>
      <c r="AO92" s="2850" t="s">
        <v>198</v>
      </c>
      <c r="AP92" s="2850"/>
      <c r="AQ92" s="2850" t="s">
        <v>1661</v>
      </c>
      <c r="AR92" s="2850" t="s">
        <v>204</v>
      </c>
      <c r="AS92" s="2850" t="s">
        <v>214</v>
      </c>
      <c r="AT92" s="2850" t="s">
        <v>700</v>
      </c>
      <c r="AU92" s="2850" t="s">
        <v>216</v>
      </c>
      <c r="AV92" s="2850"/>
      <c r="AW92" s="2850" t="s">
        <v>198</v>
      </c>
      <c r="AX92" s="2850"/>
      <c r="AY92" s="2850" t="s">
        <v>1661</v>
      </c>
      <c r="AZ92" s="2850" t="s">
        <v>204</v>
      </c>
      <c r="BA92" s="2850" t="s">
        <v>214</v>
      </c>
      <c r="BB92" s="2850" t="s">
        <v>700</v>
      </c>
    </row>
    <row r="93" spans="9:54" ht="21" customHeight="1" thickBot="1">
      <c r="I93" s="435"/>
      <c r="J93" s="435"/>
      <c r="K93" s="435"/>
      <c r="L93" s="435"/>
      <c r="M93" s="435"/>
      <c r="S93" s="2883"/>
      <c r="T93" s="2885"/>
      <c r="U93" s="2885"/>
      <c r="V93" s="2887"/>
      <c r="W93" s="2854"/>
      <c r="X93" s="2854"/>
      <c r="Y93" s="2854"/>
      <c r="Z93" s="1803" t="s">
        <v>192</v>
      </c>
      <c r="AA93" s="1820" t="s">
        <v>1662</v>
      </c>
      <c r="AB93" s="1820" t="s">
        <v>1663</v>
      </c>
      <c r="AC93" s="1819" t="s">
        <v>1662</v>
      </c>
      <c r="AD93" s="1819" t="s">
        <v>1663</v>
      </c>
      <c r="AE93" s="2858"/>
      <c r="AF93" s="2864"/>
      <c r="AG93" s="2867"/>
      <c r="AH93" s="2858"/>
      <c r="AI93" s="2858"/>
      <c r="AJ93" s="2858"/>
      <c r="AK93" s="2867" t="s">
        <v>1664</v>
      </c>
      <c r="AL93" s="2869"/>
      <c r="AM93" s="2871"/>
      <c r="AN93" s="2865"/>
      <c r="AO93" s="2850"/>
      <c r="AP93" s="2850"/>
      <c r="AQ93" s="2850"/>
      <c r="AR93" s="2850"/>
      <c r="AS93" s="2850"/>
      <c r="AT93" s="2850"/>
      <c r="AU93" s="2850"/>
      <c r="AV93" s="2850"/>
      <c r="AW93" s="2850"/>
      <c r="AX93" s="2850"/>
      <c r="AY93" s="2850"/>
      <c r="AZ93" s="2850"/>
      <c r="BA93" s="2850"/>
      <c r="BB93" s="2850"/>
    </row>
    <row r="94" spans="9:54" ht="13.5" thickBot="1">
      <c r="I94" s="435"/>
      <c r="J94" s="435"/>
      <c r="K94" s="435"/>
      <c r="L94" s="435"/>
      <c r="M94" s="435"/>
      <c r="S94" s="2879" t="s">
        <v>1665</v>
      </c>
      <c r="T94" s="2880"/>
      <c r="U94" s="2880"/>
      <c r="V94" s="2880"/>
      <c r="W94" s="2881"/>
      <c r="X94" s="1804"/>
      <c r="Y94" s="1804"/>
      <c r="Z94" s="1805"/>
      <c r="AA94" s="1805"/>
      <c r="AB94" s="1806"/>
      <c r="AC94" s="1806"/>
      <c r="AD94" s="1806"/>
      <c r="AE94" s="1807"/>
      <c r="AF94" s="1808"/>
      <c r="AG94" s="1809" t="str">
        <f>IFERROR(AK94*4.187*(AI94-AH94),"")</f>
        <v/>
      </c>
      <c r="AH94" s="1807"/>
      <c r="AI94" s="1807"/>
      <c r="AJ94" s="1807"/>
      <c r="AK94" s="1809" t="str">
        <f>IFERROR(((+AF94/(4.187*(AI94-AH94)))),"")</f>
        <v/>
      </c>
      <c r="AL94" s="1810" t="str">
        <f>IFERROR((+(AI94-AH94)/(AA94-AH94)*100),"")</f>
        <v/>
      </c>
      <c r="AM94" s="1811"/>
      <c r="AN94" s="1812"/>
      <c r="AO94" s="1813"/>
      <c r="AP94" s="1814"/>
      <c r="AQ94" s="1813"/>
      <c r="AR94" s="1813"/>
      <c r="AS94" s="1815"/>
      <c r="AT94" s="1815"/>
      <c r="AU94" s="1815"/>
      <c r="AV94" s="1813"/>
      <c r="AW94" s="1813"/>
      <c r="AX94" s="1814"/>
      <c r="AY94" s="1813"/>
      <c r="AZ94" s="1813"/>
      <c r="BA94" s="1815"/>
      <c r="BB94" s="1815"/>
    </row>
    <row r="95" spans="9:54" ht="15.75">
      <c r="S95" s="1816">
        <f>IF(ISBLANK(V95),"",(V95+V91))</f>
        <v>41963</v>
      </c>
      <c r="T95" s="1822" t="s">
        <v>1666</v>
      </c>
      <c r="U95" s="1822" t="s">
        <v>1670</v>
      </c>
      <c r="V95" s="1823">
        <v>41873</v>
      </c>
      <c r="W95" s="1824" t="s">
        <v>1668</v>
      </c>
      <c r="X95" s="1825" t="s">
        <v>1667</v>
      </c>
      <c r="Y95" s="1825" t="s">
        <v>1669</v>
      </c>
      <c r="Z95" s="1826">
        <v>123.65</v>
      </c>
      <c r="AA95" s="1826">
        <v>28.4</v>
      </c>
      <c r="AB95" s="1827">
        <v>32</v>
      </c>
      <c r="AC95" s="1827">
        <v>26.5</v>
      </c>
      <c r="AD95" s="1827">
        <v>26.5</v>
      </c>
      <c r="AE95" s="1828">
        <v>8.6999999999999993</v>
      </c>
      <c r="AF95" s="1835">
        <f>AU95*(AT95-BB95)</f>
        <v>84.929273844611473</v>
      </c>
      <c r="AG95" s="1834">
        <f>IFERROR(AK95*4.187*(AI95-AH95),"")</f>
        <v>84.929273844611458</v>
      </c>
      <c r="AH95" s="1828">
        <v>22.3</v>
      </c>
      <c r="AI95" s="1828">
        <v>25.9</v>
      </c>
      <c r="AJ95" s="1827"/>
      <c r="AK95" s="1836">
        <f>IFERROR(((+AF95/(4.187*(AI95-AH95)))),"")</f>
        <v>5.6344554470591186</v>
      </c>
      <c r="AL95" s="1837">
        <f>IFERROR((+(AI95-AH95)/(AA95-AH95)*100),"")</f>
        <v>59.016393442622942</v>
      </c>
      <c r="AM95" s="1829"/>
      <c r="AN95" s="1830">
        <f>(0.6105*(EXP(17.27*AA95/(237.3+AA95))))</f>
        <v>3.8669634887701587</v>
      </c>
      <c r="AO95" s="1831">
        <f>(AN95-(0.000644*Z95*(AB95-AA95)))</f>
        <v>3.5802933287701584</v>
      </c>
      <c r="AP95" s="1832">
        <f>((0.622*AO95)/(Z95-AO95))</f>
        <v>1.8547079960749505E-2</v>
      </c>
      <c r="AQ95" s="1831">
        <f>((0.287045*(273.15+AB95))/(Z95-AO95))</f>
        <v>0.72950775160832504</v>
      </c>
      <c r="AR95" s="1831">
        <f>((1)/AQ95)</f>
        <v>1.370787353246526</v>
      </c>
      <c r="AS95" s="1833">
        <f>((1.005*AB95)+AP95*(1.8*AB95+2501))</f>
        <v>79.614558787573685</v>
      </c>
      <c r="AT95" s="1833">
        <f>(AS95-(AP95*(4.187*AA95)))</f>
        <v>77.409110671776986</v>
      </c>
      <c r="AU95" s="1833">
        <f>+AR95*AE95</f>
        <v>11.925849973244775</v>
      </c>
      <c r="AV95" s="1831">
        <f>(0.6105*(EXP(17.27*AC95/(237.3+AC95))))</f>
        <v>3.4603819254192407</v>
      </c>
      <c r="AW95" s="1831">
        <f>(AV95-(0.000644*Z95*(AD95-AC95)))</f>
        <v>3.4603819254192407</v>
      </c>
      <c r="AX95" s="1832">
        <f>((0.622*AW95)/(Z95-AW95))</f>
        <v>1.7908015618080874E-2</v>
      </c>
      <c r="AY95" s="1831">
        <f>((0.287045*(273.15+AD95))/(Z95-AW95))</f>
        <v>0.71564445937940069</v>
      </c>
      <c r="AZ95" s="1831">
        <f>((1)/AY95)</f>
        <v>1.3973419159385227</v>
      </c>
      <c r="BA95" s="1833">
        <f>((1.005*AD95)+AX95*(1.8*AD95+2501))</f>
        <v>72.274659405802723</v>
      </c>
      <c r="BB95" s="1833">
        <f>(BA95-(AX95*(4.187*AC95)))</f>
        <v>70.28766657889075</v>
      </c>
    </row>
    <row r="98" spans="19:24" ht="27">
      <c r="S98" s="1817" t="s">
        <v>2071</v>
      </c>
    </row>
    <row r="99" spans="19:24" ht="13.5" thickBot="1"/>
    <row r="100" spans="19:24" ht="13.9" customHeight="1" thickBot="1">
      <c r="T100" s="2334" t="s">
        <v>1653</v>
      </c>
      <c r="U100" s="2342">
        <v>1600</v>
      </c>
      <c r="V100" s="2338" t="s">
        <v>218</v>
      </c>
      <c r="W100" s="2877" t="s">
        <v>2076</v>
      </c>
      <c r="X100" s="2878"/>
    </row>
    <row r="101" spans="19:24" ht="13.15" customHeight="1">
      <c r="T101" s="2335" t="s">
        <v>2072</v>
      </c>
      <c r="U101" s="2343">
        <v>14</v>
      </c>
      <c r="V101" s="2339" t="s">
        <v>575</v>
      </c>
      <c r="W101" s="2873">
        <f>U102-U101</f>
        <v>9</v>
      </c>
      <c r="X101" s="2875" t="s">
        <v>575</v>
      </c>
    </row>
    <row r="102" spans="19:24" ht="13.5" thickBot="1">
      <c r="T102" s="2336" t="s">
        <v>2073</v>
      </c>
      <c r="U102" s="2344">
        <v>23</v>
      </c>
      <c r="V102" s="2340" t="s">
        <v>575</v>
      </c>
      <c r="W102" s="2874"/>
      <c r="X102" s="2876"/>
    </row>
    <row r="103" spans="19:24" ht="13.5" thickBot="1">
      <c r="T103" s="2337" t="s">
        <v>2074</v>
      </c>
      <c r="U103" s="2345">
        <v>0.65</v>
      </c>
      <c r="V103" s="2341"/>
    </row>
    <row r="104" spans="19:24" ht="16.5" thickBot="1">
      <c r="T104" s="2347" t="s">
        <v>1658</v>
      </c>
      <c r="U104" s="2348">
        <f>IFERROR(((+U100/(4.187*(U102-U101)))),"")</f>
        <v>42.459464480004243</v>
      </c>
      <c r="V104" s="2349" t="s">
        <v>753</v>
      </c>
    </row>
    <row r="105" spans="19:24" ht="16.5" thickBot="1">
      <c r="T105" s="2347" t="s">
        <v>2075</v>
      </c>
      <c r="U105" s="2348">
        <f>U104+((100%-U103)*U104)</f>
        <v>57.320277048005728</v>
      </c>
      <c r="V105" s="2349" t="s">
        <v>753</v>
      </c>
    </row>
  </sheetData>
  <sheetProtection formatCells="0" formatColumns="0" formatRows="0" insertColumns="0" insertRows="0" insertHyperlinks="0" deleteColumns="0" deleteRows="0" sort="0"/>
  <mergeCells count="50">
    <mergeCell ref="T91:U91"/>
    <mergeCell ref="W101:W102"/>
    <mergeCell ref="X101:X102"/>
    <mergeCell ref="W100:X100"/>
    <mergeCell ref="S94:W94"/>
    <mergeCell ref="S92:S93"/>
    <mergeCell ref="T92:T93"/>
    <mergeCell ref="U92:U93"/>
    <mergeCell ref="V92:V93"/>
    <mergeCell ref="W92:W93"/>
    <mergeCell ref="AG92:AG93"/>
    <mergeCell ref="AH92:AH93"/>
    <mergeCell ref="AX92:AX93"/>
    <mergeCell ref="AI92:AI93"/>
    <mergeCell ref="AJ92:AJ93"/>
    <mergeCell ref="AK92:AK93"/>
    <mergeCell ref="AL92:AL93"/>
    <mergeCell ref="AM92:AM93"/>
    <mergeCell ref="BA92:BA93"/>
    <mergeCell ref="AN92:AN93"/>
    <mergeCell ref="AO92:AO93"/>
    <mergeCell ref="AP92:AP93"/>
    <mergeCell ref="AQ92:AQ93"/>
    <mergeCell ref="AR92:AR93"/>
    <mergeCell ref="AS92:AS93"/>
    <mergeCell ref="BB92:BB93"/>
    <mergeCell ref="X52:Y52"/>
    <mergeCell ref="X92:X93"/>
    <mergeCell ref="Y92:Y93"/>
    <mergeCell ref="AA92:AB92"/>
    <mergeCell ref="AC92:AD92"/>
    <mergeCell ref="AE92:AE93"/>
    <mergeCell ref="AT92:AT93"/>
    <mergeCell ref="AU92:AU93"/>
    <mergeCell ref="AV92:AV93"/>
    <mergeCell ref="AW92:AW93"/>
    <mergeCell ref="AN91:AU91"/>
    <mergeCell ref="AV91:BB91"/>
    <mergeCell ref="AY92:AY93"/>
    <mergeCell ref="AF92:AF93"/>
    <mergeCell ref="AZ92:AZ93"/>
    <mergeCell ref="AA1:AC1"/>
    <mergeCell ref="T67:V67"/>
    <mergeCell ref="T83:U83"/>
    <mergeCell ref="U3:X3"/>
    <mergeCell ref="Y3:AB3"/>
    <mergeCell ref="T12:W12"/>
    <mergeCell ref="X12:AA12"/>
    <mergeCell ref="T37:U37"/>
    <mergeCell ref="T51:V51"/>
  </mergeCells>
  <conditionalFormatting sqref="AG92:AG95">
    <cfRule type="cellIs" dxfId="23" priority="4" operator="equal">
      <formula>0</formula>
    </cfRule>
  </conditionalFormatting>
  <conditionalFormatting sqref="AF92:AF95">
    <cfRule type="cellIs" dxfId="22" priority="3" operator="equal">
      <formula>0</formula>
    </cfRule>
  </conditionalFormatting>
  <conditionalFormatting sqref="S95">
    <cfRule type="cellIs" dxfId="21" priority="2" operator="lessThan">
      <formula>$A$1</formula>
    </cfRule>
  </conditionalFormatting>
  <conditionalFormatting sqref="T100:T101">
    <cfRule type="cellIs" dxfId="20" priority="1" operator="equal">
      <formula>0</formula>
    </cfRule>
  </conditionalFormatting>
  <dataValidations count="2">
    <dataValidation errorStyle="warning" allowBlank="1" showInputMessage="1" errorTitle="Calculation!!" error="Do not enter Data!!" promptTitle="Calculation!!" prompt="Do not enter data!!" sqref="V14 JR14 TN14 ADJ14 ANF14 AXB14 BGX14 BQT14 CAP14 CKL14 CUH14 DED14 DNZ14 DXV14 EHR14 ERN14 FBJ14 FLF14 FVB14 GEX14 GOT14 GYP14 HIL14 HSH14 ICD14 ILZ14 IVV14 JFR14 JPN14 JZJ14 KJF14 KTB14 LCX14 LMT14 LWP14 MGL14 MQH14 NAD14 NJZ14 NTV14 ODR14 ONN14 OXJ14 PHF14 PRB14 QAX14 QKT14 QUP14 REL14 ROH14 RYD14 SHZ14 SRV14 TBR14 TLN14 TVJ14 UFF14 UPB14 UYX14 VIT14 VSP14 WCL14 WMH14 WWD14 V65550 JR65550 TN65550 ADJ65550 ANF65550 AXB65550 BGX65550 BQT65550 CAP65550 CKL65550 CUH65550 DED65550 DNZ65550 DXV65550 EHR65550 ERN65550 FBJ65550 FLF65550 FVB65550 GEX65550 GOT65550 GYP65550 HIL65550 HSH65550 ICD65550 ILZ65550 IVV65550 JFR65550 JPN65550 JZJ65550 KJF65550 KTB65550 LCX65550 LMT65550 LWP65550 MGL65550 MQH65550 NAD65550 NJZ65550 NTV65550 ODR65550 ONN65550 OXJ65550 PHF65550 PRB65550 QAX65550 QKT65550 QUP65550 REL65550 ROH65550 RYD65550 SHZ65550 SRV65550 TBR65550 TLN65550 TVJ65550 UFF65550 UPB65550 UYX65550 VIT65550 VSP65550 WCL65550 WMH65550 WWD65550 V131086 JR131086 TN131086 ADJ131086 ANF131086 AXB131086 BGX131086 BQT131086 CAP131086 CKL131086 CUH131086 DED131086 DNZ131086 DXV131086 EHR131086 ERN131086 FBJ131086 FLF131086 FVB131086 GEX131086 GOT131086 GYP131086 HIL131086 HSH131086 ICD131086 ILZ131086 IVV131086 JFR131086 JPN131086 JZJ131086 KJF131086 KTB131086 LCX131086 LMT131086 LWP131086 MGL131086 MQH131086 NAD131086 NJZ131086 NTV131086 ODR131086 ONN131086 OXJ131086 PHF131086 PRB131086 QAX131086 QKT131086 QUP131086 REL131086 ROH131086 RYD131086 SHZ131086 SRV131086 TBR131086 TLN131086 TVJ131086 UFF131086 UPB131086 UYX131086 VIT131086 VSP131086 WCL131086 WMH131086 WWD131086 V196622 JR196622 TN196622 ADJ196622 ANF196622 AXB196622 BGX196622 BQT196622 CAP196622 CKL196622 CUH196622 DED196622 DNZ196622 DXV196622 EHR196622 ERN196622 FBJ196622 FLF196622 FVB196622 GEX196622 GOT196622 GYP196622 HIL196622 HSH196622 ICD196622 ILZ196622 IVV196622 JFR196622 JPN196622 JZJ196622 KJF196622 KTB196622 LCX196622 LMT196622 LWP196622 MGL196622 MQH196622 NAD196622 NJZ196622 NTV196622 ODR196622 ONN196622 OXJ196622 PHF196622 PRB196622 QAX196622 QKT196622 QUP196622 REL196622 ROH196622 RYD196622 SHZ196622 SRV196622 TBR196622 TLN196622 TVJ196622 UFF196622 UPB196622 UYX196622 VIT196622 VSP196622 WCL196622 WMH196622 WWD196622 V262158 JR262158 TN262158 ADJ262158 ANF262158 AXB262158 BGX262158 BQT262158 CAP262158 CKL262158 CUH262158 DED262158 DNZ262158 DXV262158 EHR262158 ERN262158 FBJ262158 FLF262158 FVB262158 GEX262158 GOT262158 GYP262158 HIL262158 HSH262158 ICD262158 ILZ262158 IVV262158 JFR262158 JPN262158 JZJ262158 KJF262158 KTB262158 LCX262158 LMT262158 LWP262158 MGL262158 MQH262158 NAD262158 NJZ262158 NTV262158 ODR262158 ONN262158 OXJ262158 PHF262158 PRB262158 QAX262158 QKT262158 QUP262158 REL262158 ROH262158 RYD262158 SHZ262158 SRV262158 TBR262158 TLN262158 TVJ262158 UFF262158 UPB262158 UYX262158 VIT262158 VSP262158 WCL262158 WMH262158 WWD262158 V327694 JR327694 TN327694 ADJ327694 ANF327694 AXB327694 BGX327694 BQT327694 CAP327694 CKL327694 CUH327694 DED327694 DNZ327694 DXV327694 EHR327694 ERN327694 FBJ327694 FLF327694 FVB327694 GEX327694 GOT327694 GYP327694 HIL327694 HSH327694 ICD327694 ILZ327694 IVV327694 JFR327694 JPN327694 JZJ327694 KJF327694 KTB327694 LCX327694 LMT327694 LWP327694 MGL327694 MQH327694 NAD327694 NJZ327694 NTV327694 ODR327694 ONN327694 OXJ327694 PHF327694 PRB327694 QAX327694 QKT327694 QUP327694 REL327694 ROH327694 RYD327694 SHZ327694 SRV327694 TBR327694 TLN327694 TVJ327694 UFF327694 UPB327694 UYX327694 VIT327694 VSP327694 WCL327694 WMH327694 WWD327694 V393230 JR393230 TN393230 ADJ393230 ANF393230 AXB393230 BGX393230 BQT393230 CAP393230 CKL393230 CUH393230 DED393230 DNZ393230 DXV393230 EHR393230 ERN393230 FBJ393230 FLF393230 FVB393230 GEX393230 GOT393230 GYP393230 HIL393230 HSH393230 ICD393230 ILZ393230 IVV393230 JFR393230 JPN393230 JZJ393230 KJF393230 KTB393230 LCX393230 LMT393230 LWP393230 MGL393230 MQH393230 NAD393230 NJZ393230 NTV393230 ODR393230 ONN393230 OXJ393230 PHF393230 PRB393230 QAX393230 QKT393230 QUP393230 REL393230 ROH393230 RYD393230 SHZ393230 SRV393230 TBR393230 TLN393230 TVJ393230 UFF393230 UPB393230 UYX393230 VIT393230 VSP393230 WCL393230 WMH393230 WWD393230 V458766 JR458766 TN458766 ADJ458766 ANF458766 AXB458766 BGX458766 BQT458766 CAP458766 CKL458766 CUH458766 DED458766 DNZ458766 DXV458766 EHR458766 ERN458766 FBJ458766 FLF458766 FVB458766 GEX458766 GOT458766 GYP458766 HIL458766 HSH458766 ICD458766 ILZ458766 IVV458766 JFR458766 JPN458766 JZJ458766 KJF458766 KTB458766 LCX458766 LMT458766 LWP458766 MGL458766 MQH458766 NAD458766 NJZ458766 NTV458766 ODR458766 ONN458766 OXJ458766 PHF458766 PRB458766 QAX458766 QKT458766 QUP458766 REL458766 ROH458766 RYD458766 SHZ458766 SRV458766 TBR458766 TLN458766 TVJ458766 UFF458766 UPB458766 UYX458766 VIT458766 VSP458766 WCL458766 WMH458766 WWD458766 V524302 JR524302 TN524302 ADJ524302 ANF524302 AXB524302 BGX524302 BQT524302 CAP524302 CKL524302 CUH524302 DED524302 DNZ524302 DXV524302 EHR524302 ERN524302 FBJ524302 FLF524302 FVB524302 GEX524302 GOT524302 GYP524302 HIL524302 HSH524302 ICD524302 ILZ524302 IVV524302 JFR524302 JPN524302 JZJ524302 KJF524302 KTB524302 LCX524302 LMT524302 LWP524302 MGL524302 MQH524302 NAD524302 NJZ524302 NTV524302 ODR524302 ONN524302 OXJ524302 PHF524302 PRB524302 QAX524302 QKT524302 QUP524302 REL524302 ROH524302 RYD524302 SHZ524302 SRV524302 TBR524302 TLN524302 TVJ524302 UFF524302 UPB524302 UYX524302 VIT524302 VSP524302 WCL524302 WMH524302 WWD524302 V589838 JR589838 TN589838 ADJ589838 ANF589838 AXB589838 BGX589838 BQT589838 CAP589838 CKL589838 CUH589838 DED589838 DNZ589838 DXV589838 EHR589838 ERN589838 FBJ589838 FLF589838 FVB589838 GEX589838 GOT589838 GYP589838 HIL589838 HSH589838 ICD589838 ILZ589838 IVV589838 JFR589838 JPN589838 JZJ589838 KJF589838 KTB589838 LCX589838 LMT589838 LWP589838 MGL589838 MQH589838 NAD589838 NJZ589838 NTV589838 ODR589838 ONN589838 OXJ589838 PHF589838 PRB589838 QAX589838 QKT589838 QUP589838 REL589838 ROH589838 RYD589838 SHZ589838 SRV589838 TBR589838 TLN589838 TVJ589838 UFF589838 UPB589838 UYX589838 VIT589838 VSP589838 WCL589838 WMH589838 WWD589838 V655374 JR655374 TN655374 ADJ655374 ANF655374 AXB655374 BGX655374 BQT655374 CAP655374 CKL655374 CUH655374 DED655374 DNZ655374 DXV655374 EHR655374 ERN655374 FBJ655374 FLF655374 FVB655374 GEX655374 GOT655374 GYP655374 HIL655374 HSH655374 ICD655374 ILZ655374 IVV655374 JFR655374 JPN655374 JZJ655374 KJF655374 KTB655374 LCX655374 LMT655374 LWP655374 MGL655374 MQH655374 NAD655374 NJZ655374 NTV655374 ODR655374 ONN655374 OXJ655374 PHF655374 PRB655374 QAX655374 QKT655374 QUP655374 REL655374 ROH655374 RYD655374 SHZ655374 SRV655374 TBR655374 TLN655374 TVJ655374 UFF655374 UPB655374 UYX655374 VIT655374 VSP655374 WCL655374 WMH655374 WWD655374 V720910 JR720910 TN720910 ADJ720910 ANF720910 AXB720910 BGX720910 BQT720910 CAP720910 CKL720910 CUH720910 DED720910 DNZ720910 DXV720910 EHR720910 ERN720910 FBJ720910 FLF720910 FVB720910 GEX720910 GOT720910 GYP720910 HIL720910 HSH720910 ICD720910 ILZ720910 IVV720910 JFR720910 JPN720910 JZJ720910 KJF720910 KTB720910 LCX720910 LMT720910 LWP720910 MGL720910 MQH720910 NAD720910 NJZ720910 NTV720910 ODR720910 ONN720910 OXJ720910 PHF720910 PRB720910 QAX720910 QKT720910 QUP720910 REL720910 ROH720910 RYD720910 SHZ720910 SRV720910 TBR720910 TLN720910 TVJ720910 UFF720910 UPB720910 UYX720910 VIT720910 VSP720910 WCL720910 WMH720910 WWD720910 V786446 JR786446 TN786446 ADJ786446 ANF786446 AXB786446 BGX786446 BQT786446 CAP786446 CKL786446 CUH786446 DED786446 DNZ786446 DXV786446 EHR786446 ERN786446 FBJ786446 FLF786446 FVB786446 GEX786446 GOT786446 GYP786446 HIL786446 HSH786446 ICD786446 ILZ786446 IVV786446 JFR786446 JPN786446 JZJ786446 KJF786446 KTB786446 LCX786446 LMT786446 LWP786446 MGL786446 MQH786446 NAD786446 NJZ786446 NTV786446 ODR786446 ONN786446 OXJ786446 PHF786446 PRB786446 QAX786446 QKT786446 QUP786446 REL786446 ROH786446 RYD786446 SHZ786446 SRV786446 TBR786446 TLN786446 TVJ786446 UFF786446 UPB786446 UYX786446 VIT786446 VSP786446 WCL786446 WMH786446 WWD786446 V851982 JR851982 TN851982 ADJ851982 ANF851982 AXB851982 BGX851982 BQT851982 CAP851982 CKL851982 CUH851982 DED851982 DNZ851982 DXV851982 EHR851982 ERN851982 FBJ851982 FLF851982 FVB851982 GEX851982 GOT851982 GYP851982 HIL851982 HSH851982 ICD851982 ILZ851982 IVV851982 JFR851982 JPN851982 JZJ851982 KJF851982 KTB851982 LCX851982 LMT851982 LWP851982 MGL851982 MQH851982 NAD851982 NJZ851982 NTV851982 ODR851982 ONN851982 OXJ851982 PHF851982 PRB851982 QAX851982 QKT851982 QUP851982 REL851982 ROH851982 RYD851982 SHZ851982 SRV851982 TBR851982 TLN851982 TVJ851982 UFF851982 UPB851982 UYX851982 VIT851982 VSP851982 WCL851982 WMH851982 WWD851982 V917518 JR917518 TN917518 ADJ917518 ANF917518 AXB917518 BGX917518 BQT917518 CAP917518 CKL917518 CUH917518 DED917518 DNZ917518 DXV917518 EHR917518 ERN917518 FBJ917518 FLF917518 FVB917518 GEX917518 GOT917518 GYP917518 HIL917518 HSH917518 ICD917518 ILZ917518 IVV917518 JFR917518 JPN917518 JZJ917518 KJF917518 KTB917518 LCX917518 LMT917518 LWP917518 MGL917518 MQH917518 NAD917518 NJZ917518 NTV917518 ODR917518 ONN917518 OXJ917518 PHF917518 PRB917518 QAX917518 QKT917518 QUP917518 REL917518 ROH917518 RYD917518 SHZ917518 SRV917518 TBR917518 TLN917518 TVJ917518 UFF917518 UPB917518 UYX917518 VIT917518 VSP917518 WCL917518 WMH917518 WWD917518 V983054 JR983054 TN983054 ADJ983054 ANF983054 AXB983054 BGX983054 BQT983054 CAP983054 CKL983054 CUH983054 DED983054 DNZ983054 DXV983054 EHR983054 ERN983054 FBJ983054 FLF983054 FVB983054 GEX983054 GOT983054 GYP983054 HIL983054 HSH983054 ICD983054 ILZ983054 IVV983054 JFR983054 JPN983054 JZJ983054 KJF983054 KTB983054 LCX983054 LMT983054 LWP983054 MGL983054 MQH983054 NAD983054 NJZ983054 NTV983054 ODR983054 ONN983054 OXJ983054 PHF983054 PRB983054 QAX983054 QKT983054 QUP983054 REL983054 ROH983054 RYD983054 SHZ983054 SRV983054 TBR983054 TLN983054 TVJ983054 UFF983054 UPB983054 UYX983054 VIT983054 VSP983054 WCL983054 WMH983054 WWD983054"/>
    <dataValidation allowBlank="1" showInputMessage="1" errorTitle="Calculation!" error="Do not enter data!" promptTitle="Calculation!" prompt="Do not enter data!" sqref="U41 JQ41 TM41 ADI41 ANE41 AXA41 BGW41 BQS41 CAO41 CKK41 CUG41 DEC41 DNY41 DXU41 EHQ41 ERM41 FBI41 FLE41 FVA41 GEW41 GOS41 GYO41 HIK41 HSG41 ICC41 ILY41 IVU41 JFQ41 JPM41 JZI41 KJE41 KTA41 LCW41 LMS41 LWO41 MGK41 MQG41 NAC41 NJY41 NTU41 ODQ41 ONM41 OXI41 PHE41 PRA41 QAW41 QKS41 QUO41 REK41 ROG41 RYC41 SHY41 SRU41 TBQ41 TLM41 TVI41 UFE41 UPA41 UYW41 VIS41 VSO41 WCK41 WMG41 WWC41 U65577 JQ65577 TM65577 ADI65577 ANE65577 AXA65577 BGW65577 BQS65577 CAO65577 CKK65577 CUG65577 DEC65577 DNY65577 DXU65577 EHQ65577 ERM65577 FBI65577 FLE65577 FVA65577 GEW65577 GOS65577 GYO65577 HIK65577 HSG65577 ICC65577 ILY65577 IVU65577 JFQ65577 JPM65577 JZI65577 KJE65577 KTA65577 LCW65577 LMS65577 LWO65577 MGK65577 MQG65577 NAC65577 NJY65577 NTU65577 ODQ65577 ONM65577 OXI65577 PHE65577 PRA65577 QAW65577 QKS65577 QUO65577 REK65577 ROG65577 RYC65577 SHY65577 SRU65577 TBQ65577 TLM65577 TVI65577 UFE65577 UPA65577 UYW65577 VIS65577 VSO65577 WCK65577 WMG65577 WWC65577 U131113 JQ131113 TM131113 ADI131113 ANE131113 AXA131113 BGW131113 BQS131113 CAO131113 CKK131113 CUG131113 DEC131113 DNY131113 DXU131113 EHQ131113 ERM131113 FBI131113 FLE131113 FVA131113 GEW131113 GOS131113 GYO131113 HIK131113 HSG131113 ICC131113 ILY131113 IVU131113 JFQ131113 JPM131113 JZI131113 KJE131113 KTA131113 LCW131113 LMS131113 LWO131113 MGK131113 MQG131113 NAC131113 NJY131113 NTU131113 ODQ131113 ONM131113 OXI131113 PHE131113 PRA131113 QAW131113 QKS131113 QUO131113 REK131113 ROG131113 RYC131113 SHY131113 SRU131113 TBQ131113 TLM131113 TVI131113 UFE131113 UPA131113 UYW131113 VIS131113 VSO131113 WCK131113 WMG131113 WWC131113 U196649 JQ196649 TM196649 ADI196649 ANE196649 AXA196649 BGW196649 BQS196649 CAO196649 CKK196649 CUG196649 DEC196649 DNY196649 DXU196649 EHQ196649 ERM196649 FBI196649 FLE196649 FVA196649 GEW196649 GOS196649 GYO196649 HIK196649 HSG196649 ICC196649 ILY196649 IVU196649 JFQ196649 JPM196649 JZI196649 KJE196649 KTA196649 LCW196649 LMS196649 LWO196649 MGK196649 MQG196649 NAC196649 NJY196649 NTU196649 ODQ196649 ONM196649 OXI196649 PHE196649 PRA196649 QAW196649 QKS196649 QUO196649 REK196649 ROG196649 RYC196649 SHY196649 SRU196649 TBQ196649 TLM196649 TVI196649 UFE196649 UPA196649 UYW196649 VIS196649 VSO196649 WCK196649 WMG196649 WWC196649 U262185 JQ262185 TM262185 ADI262185 ANE262185 AXA262185 BGW262185 BQS262185 CAO262185 CKK262185 CUG262185 DEC262185 DNY262185 DXU262185 EHQ262185 ERM262185 FBI262185 FLE262185 FVA262185 GEW262185 GOS262185 GYO262185 HIK262185 HSG262185 ICC262185 ILY262185 IVU262185 JFQ262185 JPM262185 JZI262185 KJE262185 KTA262185 LCW262185 LMS262185 LWO262185 MGK262185 MQG262185 NAC262185 NJY262185 NTU262185 ODQ262185 ONM262185 OXI262185 PHE262185 PRA262185 QAW262185 QKS262185 QUO262185 REK262185 ROG262185 RYC262185 SHY262185 SRU262185 TBQ262185 TLM262185 TVI262185 UFE262185 UPA262185 UYW262185 VIS262185 VSO262185 WCK262185 WMG262185 WWC262185 U327721 JQ327721 TM327721 ADI327721 ANE327721 AXA327721 BGW327721 BQS327721 CAO327721 CKK327721 CUG327721 DEC327721 DNY327721 DXU327721 EHQ327721 ERM327721 FBI327721 FLE327721 FVA327721 GEW327721 GOS327721 GYO327721 HIK327721 HSG327721 ICC327721 ILY327721 IVU327721 JFQ327721 JPM327721 JZI327721 KJE327721 KTA327721 LCW327721 LMS327721 LWO327721 MGK327721 MQG327721 NAC327721 NJY327721 NTU327721 ODQ327721 ONM327721 OXI327721 PHE327721 PRA327721 QAW327721 QKS327721 QUO327721 REK327721 ROG327721 RYC327721 SHY327721 SRU327721 TBQ327721 TLM327721 TVI327721 UFE327721 UPA327721 UYW327721 VIS327721 VSO327721 WCK327721 WMG327721 WWC327721 U393257 JQ393257 TM393257 ADI393257 ANE393257 AXA393257 BGW393257 BQS393257 CAO393257 CKK393257 CUG393257 DEC393257 DNY393257 DXU393257 EHQ393257 ERM393257 FBI393257 FLE393257 FVA393257 GEW393257 GOS393257 GYO393257 HIK393257 HSG393257 ICC393257 ILY393257 IVU393257 JFQ393257 JPM393257 JZI393257 KJE393257 KTA393257 LCW393257 LMS393257 LWO393257 MGK393257 MQG393257 NAC393257 NJY393257 NTU393257 ODQ393257 ONM393257 OXI393257 PHE393257 PRA393257 QAW393257 QKS393257 QUO393257 REK393257 ROG393257 RYC393257 SHY393257 SRU393257 TBQ393257 TLM393257 TVI393257 UFE393257 UPA393257 UYW393257 VIS393257 VSO393257 WCK393257 WMG393257 WWC393257 U458793 JQ458793 TM458793 ADI458793 ANE458793 AXA458793 BGW458793 BQS458793 CAO458793 CKK458793 CUG458793 DEC458793 DNY458793 DXU458793 EHQ458793 ERM458793 FBI458793 FLE458793 FVA458793 GEW458793 GOS458793 GYO458793 HIK458793 HSG458793 ICC458793 ILY458793 IVU458793 JFQ458793 JPM458793 JZI458793 KJE458793 KTA458793 LCW458793 LMS458793 LWO458793 MGK458793 MQG458793 NAC458793 NJY458793 NTU458793 ODQ458793 ONM458793 OXI458793 PHE458793 PRA458793 QAW458793 QKS458793 QUO458793 REK458793 ROG458793 RYC458793 SHY458793 SRU458793 TBQ458793 TLM458793 TVI458793 UFE458793 UPA458793 UYW458793 VIS458793 VSO458793 WCK458793 WMG458793 WWC458793 U524329 JQ524329 TM524329 ADI524329 ANE524329 AXA524329 BGW524329 BQS524329 CAO524329 CKK524329 CUG524329 DEC524329 DNY524329 DXU524329 EHQ524329 ERM524329 FBI524329 FLE524329 FVA524329 GEW524329 GOS524329 GYO524329 HIK524329 HSG524329 ICC524329 ILY524329 IVU524329 JFQ524329 JPM524329 JZI524329 KJE524329 KTA524329 LCW524329 LMS524329 LWO524329 MGK524329 MQG524329 NAC524329 NJY524329 NTU524329 ODQ524329 ONM524329 OXI524329 PHE524329 PRA524329 QAW524329 QKS524329 QUO524329 REK524329 ROG524329 RYC524329 SHY524329 SRU524329 TBQ524329 TLM524329 TVI524329 UFE524329 UPA524329 UYW524329 VIS524329 VSO524329 WCK524329 WMG524329 WWC524329 U589865 JQ589865 TM589865 ADI589865 ANE589865 AXA589865 BGW589865 BQS589865 CAO589865 CKK589865 CUG589865 DEC589865 DNY589865 DXU589865 EHQ589865 ERM589865 FBI589865 FLE589865 FVA589865 GEW589865 GOS589865 GYO589865 HIK589865 HSG589865 ICC589865 ILY589865 IVU589865 JFQ589865 JPM589865 JZI589865 KJE589865 KTA589865 LCW589865 LMS589865 LWO589865 MGK589865 MQG589865 NAC589865 NJY589865 NTU589865 ODQ589865 ONM589865 OXI589865 PHE589865 PRA589865 QAW589865 QKS589865 QUO589865 REK589865 ROG589865 RYC589865 SHY589865 SRU589865 TBQ589865 TLM589865 TVI589865 UFE589865 UPA589865 UYW589865 VIS589865 VSO589865 WCK589865 WMG589865 WWC589865 U655401 JQ655401 TM655401 ADI655401 ANE655401 AXA655401 BGW655401 BQS655401 CAO655401 CKK655401 CUG655401 DEC655401 DNY655401 DXU655401 EHQ655401 ERM655401 FBI655401 FLE655401 FVA655401 GEW655401 GOS655401 GYO655401 HIK655401 HSG655401 ICC655401 ILY655401 IVU655401 JFQ655401 JPM655401 JZI655401 KJE655401 KTA655401 LCW655401 LMS655401 LWO655401 MGK655401 MQG655401 NAC655401 NJY655401 NTU655401 ODQ655401 ONM655401 OXI655401 PHE655401 PRA655401 QAW655401 QKS655401 QUO655401 REK655401 ROG655401 RYC655401 SHY655401 SRU655401 TBQ655401 TLM655401 TVI655401 UFE655401 UPA655401 UYW655401 VIS655401 VSO655401 WCK655401 WMG655401 WWC655401 U720937 JQ720937 TM720937 ADI720937 ANE720937 AXA720937 BGW720937 BQS720937 CAO720937 CKK720937 CUG720937 DEC720937 DNY720937 DXU720937 EHQ720937 ERM720937 FBI720937 FLE720937 FVA720937 GEW720937 GOS720937 GYO720937 HIK720937 HSG720937 ICC720937 ILY720937 IVU720937 JFQ720937 JPM720937 JZI720937 KJE720937 KTA720937 LCW720937 LMS720937 LWO720937 MGK720937 MQG720937 NAC720937 NJY720937 NTU720937 ODQ720937 ONM720937 OXI720937 PHE720937 PRA720937 QAW720937 QKS720937 QUO720937 REK720937 ROG720937 RYC720937 SHY720937 SRU720937 TBQ720937 TLM720937 TVI720937 UFE720937 UPA720937 UYW720937 VIS720937 VSO720937 WCK720937 WMG720937 WWC720937 U786473 JQ786473 TM786473 ADI786473 ANE786473 AXA786473 BGW786473 BQS786473 CAO786473 CKK786473 CUG786473 DEC786473 DNY786473 DXU786473 EHQ786473 ERM786473 FBI786473 FLE786473 FVA786473 GEW786473 GOS786473 GYO786473 HIK786473 HSG786473 ICC786473 ILY786473 IVU786473 JFQ786473 JPM786473 JZI786473 KJE786473 KTA786473 LCW786473 LMS786473 LWO786473 MGK786473 MQG786473 NAC786473 NJY786473 NTU786473 ODQ786473 ONM786473 OXI786473 PHE786473 PRA786473 QAW786473 QKS786473 QUO786473 REK786473 ROG786473 RYC786473 SHY786473 SRU786473 TBQ786473 TLM786473 TVI786473 UFE786473 UPA786473 UYW786473 VIS786473 VSO786473 WCK786473 WMG786473 WWC786473 U852009 JQ852009 TM852009 ADI852009 ANE852009 AXA852009 BGW852009 BQS852009 CAO852009 CKK852009 CUG852009 DEC852009 DNY852009 DXU852009 EHQ852009 ERM852009 FBI852009 FLE852009 FVA852009 GEW852009 GOS852009 GYO852009 HIK852009 HSG852009 ICC852009 ILY852009 IVU852009 JFQ852009 JPM852009 JZI852009 KJE852009 KTA852009 LCW852009 LMS852009 LWO852009 MGK852009 MQG852009 NAC852009 NJY852009 NTU852009 ODQ852009 ONM852009 OXI852009 PHE852009 PRA852009 QAW852009 QKS852009 QUO852009 REK852009 ROG852009 RYC852009 SHY852009 SRU852009 TBQ852009 TLM852009 TVI852009 UFE852009 UPA852009 UYW852009 VIS852009 VSO852009 WCK852009 WMG852009 WWC852009 U917545 JQ917545 TM917545 ADI917545 ANE917545 AXA917545 BGW917545 BQS917545 CAO917545 CKK917545 CUG917545 DEC917545 DNY917545 DXU917545 EHQ917545 ERM917545 FBI917545 FLE917545 FVA917545 GEW917545 GOS917545 GYO917545 HIK917545 HSG917545 ICC917545 ILY917545 IVU917545 JFQ917545 JPM917545 JZI917545 KJE917545 KTA917545 LCW917545 LMS917545 LWO917545 MGK917545 MQG917545 NAC917545 NJY917545 NTU917545 ODQ917545 ONM917545 OXI917545 PHE917545 PRA917545 QAW917545 QKS917545 QUO917545 REK917545 ROG917545 RYC917545 SHY917545 SRU917545 TBQ917545 TLM917545 TVI917545 UFE917545 UPA917545 UYW917545 VIS917545 VSO917545 WCK917545 WMG917545 WWC917545 U983081 JQ983081 TM983081 ADI983081 ANE983081 AXA983081 BGW983081 BQS983081 CAO983081 CKK983081 CUG983081 DEC983081 DNY983081 DXU983081 EHQ983081 ERM983081 FBI983081 FLE983081 FVA983081 GEW983081 GOS983081 GYO983081 HIK983081 HSG983081 ICC983081 ILY983081 IVU983081 JFQ983081 JPM983081 JZI983081 KJE983081 KTA983081 LCW983081 LMS983081 LWO983081 MGK983081 MQG983081 NAC983081 NJY983081 NTU983081 ODQ983081 ONM983081 OXI983081 PHE983081 PRA983081 QAW983081 QKS983081 QUO983081 REK983081 ROG983081 RYC983081 SHY983081 SRU983081 TBQ983081 TLM983081 TVI983081 UFE983081 UPA983081 UYW983081 VIS983081 VSO983081 WCK983081 WMG983081 WWC983081 W32 JS32 TO32 ADK32 ANG32 AXC32 BGY32 BQU32 CAQ32 CKM32 CUI32 DEE32 DOA32 DXW32 EHS32 ERO32 FBK32 FLG32 FVC32 GEY32 GOU32 GYQ32 HIM32 HSI32 ICE32 IMA32 IVW32 JFS32 JPO32 JZK32 KJG32 KTC32 LCY32 LMU32 LWQ32 MGM32 MQI32 NAE32 NKA32 NTW32 ODS32 ONO32 OXK32 PHG32 PRC32 QAY32 QKU32 QUQ32 REM32 ROI32 RYE32 SIA32 SRW32 TBS32 TLO32 TVK32 UFG32 UPC32 UYY32 VIU32 VSQ32 WCM32 WMI32 WWE32 W65568 JS65568 TO65568 ADK65568 ANG65568 AXC65568 BGY65568 BQU65568 CAQ65568 CKM65568 CUI65568 DEE65568 DOA65568 DXW65568 EHS65568 ERO65568 FBK65568 FLG65568 FVC65568 GEY65568 GOU65568 GYQ65568 HIM65568 HSI65568 ICE65568 IMA65568 IVW65568 JFS65568 JPO65568 JZK65568 KJG65568 KTC65568 LCY65568 LMU65568 LWQ65568 MGM65568 MQI65568 NAE65568 NKA65568 NTW65568 ODS65568 ONO65568 OXK65568 PHG65568 PRC65568 QAY65568 QKU65568 QUQ65568 REM65568 ROI65568 RYE65568 SIA65568 SRW65568 TBS65568 TLO65568 TVK65568 UFG65568 UPC65568 UYY65568 VIU65568 VSQ65568 WCM65568 WMI65568 WWE65568 W131104 JS131104 TO131104 ADK131104 ANG131104 AXC131104 BGY131104 BQU131104 CAQ131104 CKM131104 CUI131104 DEE131104 DOA131104 DXW131104 EHS131104 ERO131104 FBK131104 FLG131104 FVC131104 GEY131104 GOU131104 GYQ131104 HIM131104 HSI131104 ICE131104 IMA131104 IVW131104 JFS131104 JPO131104 JZK131104 KJG131104 KTC131104 LCY131104 LMU131104 LWQ131104 MGM131104 MQI131104 NAE131104 NKA131104 NTW131104 ODS131104 ONO131104 OXK131104 PHG131104 PRC131104 QAY131104 QKU131104 QUQ131104 REM131104 ROI131104 RYE131104 SIA131104 SRW131104 TBS131104 TLO131104 TVK131104 UFG131104 UPC131104 UYY131104 VIU131104 VSQ131104 WCM131104 WMI131104 WWE131104 W196640 JS196640 TO196640 ADK196640 ANG196640 AXC196640 BGY196640 BQU196640 CAQ196640 CKM196640 CUI196640 DEE196640 DOA196640 DXW196640 EHS196640 ERO196640 FBK196640 FLG196640 FVC196640 GEY196640 GOU196640 GYQ196640 HIM196640 HSI196640 ICE196640 IMA196640 IVW196640 JFS196640 JPO196640 JZK196640 KJG196640 KTC196640 LCY196640 LMU196640 LWQ196640 MGM196640 MQI196640 NAE196640 NKA196640 NTW196640 ODS196640 ONO196640 OXK196640 PHG196640 PRC196640 QAY196640 QKU196640 QUQ196640 REM196640 ROI196640 RYE196640 SIA196640 SRW196640 TBS196640 TLO196640 TVK196640 UFG196640 UPC196640 UYY196640 VIU196640 VSQ196640 WCM196640 WMI196640 WWE196640 W262176 JS262176 TO262176 ADK262176 ANG262176 AXC262176 BGY262176 BQU262176 CAQ262176 CKM262176 CUI262176 DEE262176 DOA262176 DXW262176 EHS262176 ERO262176 FBK262176 FLG262176 FVC262176 GEY262176 GOU262176 GYQ262176 HIM262176 HSI262176 ICE262176 IMA262176 IVW262176 JFS262176 JPO262176 JZK262176 KJG262176 KTC262176 LCY262176 LMU262176 LWQ262176 MGM262176 MQI262176 NAE262176 NKA262176 NTW262176 ODS262176 ONO262176 OXK262176 PHG262176 PRC262176 QAY262176 QKU262176 QUQ262176 REM262176 ROI262176 RYE262176 SIA262176 SRW262176 TBS262176 TLO262176 TVK262176 UFG262176 UPC262176 UYY262176 VIU262176 VSQ262176 WCM262176 WMI262176 WWE262176 W327712 JS327712 TO327712 ADK327712 ANG327712 AXC327712 BGY327712 BQU327712 CAQ327712 CKM327712 CUI327712 DEE327712 DOA327712 DXW327712 EHS327712 ERO327712 FBK327712 FLG327712 FVC327712 GEY327712 GOU327712 GYQ327712 HIM327712 HSI327712 ICE327712 IMA327712 IVW327712 JFS327712 JPO327712 JZK327712 KJG327712 KTC327712 LCY327712 LMU327712 LWQ327712 MGM327712 MQI327712 NAE327712 NKA327712 NTW327712 ODS327712 ONO327712 OXK327712 PHG327712 PRC327712 QAY327712 QKU327712 QUQ327712 REM327712 ROI327712 RYE327712 SIA327712 SRW327712 TBS327712 TLO327712 TVK327712 UFG327712 UPC327712 UYY327712 VIU327712 VSQ327712 WCM327712 WMI327712 WWE327712 W393248 JS393248 TO393248 ADK393248 ANG393248 AXC393248 BGY393248 BQU393248 CAQ393248 CKM393248 CUI393248 DEE393248 DOA393248 DXW393248 EHS393248 ERO393248 FBK393248 FLG393248 FVC393248 GEY393248 GOU393248 GYQ393248 HIM393248 HSI393248 ICE393248 IMA393248 IVW393248 JFS393248 JPO393248 JZK393248 KJG393248 KTC393248 LCY393248 LMU393248 LWQ393248 MGM393248 MQI393248 NAE393248 NKA393248 NTW393248 ODS393248 ONO393248 OXK393248 PHG393248 PRC393248 QAY393248 QKU393248 QUQ393248 REM393248 ROI393248 RYE393248 SIA393248 SRW393248 TBS393248 TLO393248 TVK393248 UFG393248 UPC393248 UYY393248 VIU393248 VSQ393248 WCM393248 WMI393248 WWE393248 W458784 JS458784 TO458784 ADK458784 ANG458784 AXC458784 BGY458784 BQU458784 CAQ458784 CKM458784 CUI458784 DEE458784 DOA458784 DXW458784 EHS458784 ERO458784 FBK458784 FLG458784 FVC458784 GEY458784 GOU458784 GYQ458784 HIM458784 HSI458784 ICE458784 IMA458784 IVW458784 JFS458784 JPO458784 JZK458784 KJG458784 KTC458784 LCY458784 LMU458784 LWQ458784 MGM458784 MQI458784 NAE458784 NKA458784 NTW458784 ODS458784 ONO458784 OXK458784 PHG458784 PRC458784 QAY458784 QKU458784 QUQ458784 REM458784 ROI458784 RYE458784 SIA458784 SRW458784 TBS458784 TLO458784 TVK458784 UFG458784 UPC458784 UYY458784 VIU458784 VSQ458784 WCM458784 WMI458784 WWE458784 W524320 JS524320 TO524320 ADK524320 ANG524320 AXC524320 BGY524320 BQU524320 CAQ524320 CKM524320 CUI524320 DEE524320 DOA524320 DXW524320 EHS524320 ERO524320 FBK524320 FLG524320 FVC524320 GEY524320 GOU524320 GYQ524320 HIM524320 HSI524320 ICE524320 IMA524320 IVW524320 JFS524320 JPO524320 JZK524320 KJG524320 KTC524320 LCY524320 LMU524320 LWQ524320 MGM524320 MQI524320 NAE524320 NKA524320 NTW524320 ODS524320 ONO524320 OXK524320 PHG524320 PRC524320 QAY524320 QKU524320 QUQ524320 REM524320 ROI524320 RYE524320 SIA524320 SRW524320 TBS524320 TLO524320 TVK524320 UFG524320 UPC524320 UYY524320 VIU524320 VSQ524320 WCM524320 WMI524320 WWE524320 W589856 JS589856 TO589856 ADK589856 ANG589856 AXC589856 BGY589856 BQU589856 CAQ589856 CKM589856 CUI589856 DEE589856 DOA589856 DXW589856 EHS589856 ERO589856 FBK589856 FLG589856 FVC589856 GEY589856 GOU589856 GYQ589856 HIM589856 HSI589856 ICE589856 IMA589856 IVW589856 JFS589856 JPO589856 JZK589856 KJG589856 KTC589856 LCY589856 LMU589856 LWQ589856 MGM589856 MQI589856 NAE589856 NKA589856 NTW589856 ODS589856 ONO589856 OXK589856 PHG589856 PRC589856 QAY589856 QKU589856 QUQ589856 REM589856 ROI589856 RYE589856 SIA589856 SRW589856 TBS589856 TLO589856 TVK589856 UFG589856 UPC589856 UYY589856 VIU589856 VSQ589856 WCM589856 WMI589856 WWE589856 W655392 JS655392 TO655392 ADK655392 ANG655392 AXC655392 BGY655392 BQU655392 CAQ655392 CKM655392 CUI655392 DEE655392 DOA655392 DXW655392 EHS655392 ERO655392 FBK655392 FLG655392 FVC655392 GEY655392 GOU655392 GYQ655392 HIM655392 HSI655392 ICE655392 IMA655392 IVW655392 JFS655392 JPO655392 JZK655392 KJG655392 KTC655392 LCY655392 LMU655392 LWQ655392 MGM655392 MQI655392 NAE655392 NKA655392 NTW655392 ODS655392 ONO655392 OXK655392 PHG655392 PRC655392 QAY655392 QKU655392 QUQ655392 REM655392 ROI655392 RYE655392 SIA655392 SRW655392 TBS655392 TLO655392 TVK655392 UFG655392 UPC655392 UYY655392 VIU655392 VSQ655392 WCM655392 WMI655392 WWE655392 W720928 JS720928 TO720928 ADK720928 ANG720928 AXC720928 BGY720928 BQU720928 CAQ720928 CKM720928 CUI720928 DEE720928 DOA720928 DXW720928 EHS720928 ERO720928 FBK720928 FLG720928 FVC720928 GEY720928 GOU720928 GYQ720928 HIM720928 HSI720928 ICE720928 IMA720928 IVW720928 JFS720928 JPO720928 JZK720928 KJG720928 KTC720928 LCY720928 LMU720928 LWQ720928 MGM720928 MQI720928 NAE720928 NKA720928 NTW720928 ODS720928 ONO720928 OXK720928 PHG720928 PRC720928 QAY720928 QKU720928 QUQ720928 REM720928 ROI720928 RYE720928 SIA720928 SRW720928 TBS720928 TLO720928 TVK720928 UFG720928 UPC720928 UYY720928 VIU720928 VSQ720928 WCM720928 WMI720928 WWE720928 W786464 JS786464 TO786464 ADK786464 ANG786464 AXC786464 BGY786464 BQU786464 CAQ786464 CKM786464 CUI786464 DEE786464 DOA786464 DXW786464 EHS786464 ERO786464 FBK786464 FLG786464 FVC786464 GEY786464 GOU786464 GYQ786464 HIM786464 HSI786464 ICE786464 IMA786464 IVW786464 JFS786464 JPO786464 JZK786464 KJG786464 KTC786464 LCY786464 LMU786464 LWQ786464 MGM786464 MQI786464 NAE786464 NKA786464 NTW786464 ODS786464 ONO786464 OXK786464 PHG786464 PRC786464 QAY786464 QKU786464 QUQ786464 REM786464 ROI786464 RYE786464 SIA786464 SRW786464 TBS786464 TLO786464 TVK786464 UFG786464 UPC786464 UYY786464 VIU786464 VSQ786464 WCM786464 WMI786464 WWE786464 W852000 JS852000 TO852000 ADK852000 ANG852000 AXC852000 BGY852000 BQU852000 CAQ852000 CKM852000 CUI852000 DEE852000 DOA852000 DXW852000 EHS852000 ERO852000 FBK852000 FLG852000 FVC852000 GEY852000 GOU852000 GYQ852000 HIM852000 HSI852000 ICE852000 IMA852000 IVW852000 JFS852000 JPO852000 JZK852000 KJG852000 KTC852000 LCY852000 LMU852000 LWQ852000 MGM852000 MQI852000 NAE852000 NKA852000 NTW852000 ODS852000 ONO852000 OXK852000 PHG852000 PRC852000 QAY852000 QKU852000 QUQ852000 REM852000 ROI852000 RYE852000 SIA852000 SRW852000 TBS852000 TLO852000 TVK852000 UFG852000 UPC852000 UYY852000 VIU852000 VSQ852000 WCM852000 WMI852000 WWE852000 W917536 JS917536 TO917536 ADK917536 ANG917536 AXC917536 BGY917536 BQU917536 CAQ917536 CKM917536 CUI917536 DEE917536 DOA917536 DXW917536 EHS917536 ERO917536 FBK917536 FLG917536 FVC917536 GEY917536 GOU917536 GYQ917536 HIM917536 HSI917536 ICE917536 IMA917536 IVW917536 JFS917536 JPO917536 JZK917536 KJG917536 KTC917536 LCY917536 LMU917536 LWQ917536 MGM917536 MQI917536 NAE917536 NKA917536 NTW917536 ODS917536 ONO917536 OXK917536 PHG917536 PRC917536 QAY917536 QKU917536 QUQ917536 REM917536 ROI917536 RYE917536 SIA917536 SRW917536 TBS917536 TLO917536 TVK917536 UFG917536 UPC917536 UYY917536 VIU917536 VSQ917536 WCM917536 WMI917536 WWE917536 W983072 JS983072 TO983072 ADK983072 ANG983072 AXC983072 BGY983072 BQU983072 CAQ983072 CKM983072 CUI983072 DEE983072 DOA983072 DXW983072 EHS983072 ERO983072 FBK983072 FLG983072 FVC983072 GEY983072 GOU983072 GYQ983072 HIM983072 HSI983072 ICE983072 IMA983072 IVW983072 JFS983072 JPO983072 JZK983072 KJG983072 KTC983072 LCY983072 LMU983072 LWQ983072 MGM983072 MQI983072 NAE983072 NKA983072 NTW983072 ODS983072 ONO983072 OXK983072 PHG983072 PRC983072 QAY983072 QKU983072 QUQ983072 REM983072 ROI983072 RYE983072 SIA983072 SRW983072 TBS983072 TLO983072 TVK983072 UFG983072 UPC983072 UYY983072 VIU983072 VSQ983072 WCM983072 WMI983072 WWE983072"/>
  </dataValidations>
  <hyperlinks>
    <hyperlink ref="AA1" location="INDEX!A1" display="INDEX!A1"/>
  </hyperlinks>
  <pageMargins left="0.75" right="0.75" top="1" bottom="1" header="0.5" footer="0.5"/>
  <pageSetup paperSize="9" orientation="portrait" r:id="rId1"/>
  <headerFooter alignWithMargins="0"/>
  <legacyDrawing r:id="rId2"/>
  <extLst>
    <ext xmlns:x14="http://schemas.microsoft.com/office/spreadsheetml/2009/9/main" uri="{CCE6A557-97BC-4b89-ADB6-D9C93CAAB3DF}">
      <x14:dataValidations xmlns:xm="http://schemas.microsoft.com/office/excel/2006/main" count="1">
        <x14:dataValidation allowBlank="1" showInputMessage="1" showErrorMessage="1" errorTitle="Calculation!" error="Do not enter data!" promptTitle="Calculation!" prompt="Do not enter data!">
          <xm:sqref>Z28 JV28 TR28 ADN28 ANJ28 AXF28 BHB28 BQX28 CAT28 CKP28 CUL28 DEH28 DOD28 DXZ28 EHV28 ERR28 FBN28 FLJ28 FVF28 GFB28 GOX28 GYT28 HIP28 HSL28 ICH28 IMD28 IVZ28 JFV28 JPR28 JZN28 KJJ28 KTF28 LDB28 LMX28 LWT28 MGP28 MQL28 NAH28 NKD28 NTZ28 ODV28 ONR28 OXN28 PHJ28 PRF28 QBB28 QKX28 QUT28 REP28 ROL28 RYH28 SID28 SRZ28 TBV28 TLR28 TVN28 UFJ28 UPF28 UZB28 VIX28 VST28 WCP28 WML28 WWH28 Z65564 JV65564 TR65564 ADN65564 ANJ65564 AXF65564 BHB65564 BQX65564 CAT65564 CKP65564 CUL65564 DEH65564 DOD65564 DXZ65564 EHV65564 ERR65564 FBN65564 FLJ65564 FVF65564 GFB65564 GOX65564 GYT65564 HIP65564 HSL65564 ICH65564 IMD65564 IVZ65564 JFV65564 JPR65564 JZN65564 KJJ65564 KTF65564 LDB65564 LMX65564 LWT65564 MGP65564 MQL65564 NAH65564 NKD65564 NTZ65564 ODV65564 ONR65564 OXN65564 PHJ65564 PRF65564 QBB65564 QKX65564 QUT65564 REP65564 ROL65564 RYH65564 SID65564 SRZ65564 TBV65564 TLR65564 TVN65564 UFJ65564 UPF65564 UZB65564 VIX65564 VST65564 WCP65564 WML65564 WWH65564 Z131100 JV131100 TR131100 ADN131100 ANJ131100 AXF131100 BHB131100 BQX131100 CAT131100 CKP131100 CUL131100 DEH131100 DOD131100 DXZ131100 EHV131100 ERR131100 FBN131100 FLJ131100 FVF131100 GFB131100 GOX131100 GYT131100 HIP131100 HSL131100 ICH131100 IMD131100 IVZ131100 JFV131100 JPR131100 JZN131100 KJJ131100 KTF131100 LDB131100 LMX131100 LWT131100 MGP131100 MQL131100 NAH131100 NKD131100 NTZ131100 ODV131100 ONR131100 OXN131100 PHJ131100 PRF131100 QBB131100 QKX131100 QUT131100 REP131100 ROL131100 RYH131100 SID131100 SRZ131100 TBV131100 TLR131100 TVN131100 UFJ131100 UPF131100 UZB131100 VIX131100 VST131100 WCP131100 WML131100 WWH131100 Z196636 JV196636 TR196636 ADN196636 ANJ196636 AXF196636 BHB196636 BQX196636 CAT196636 CKP196636 CUL196636 DEH196636 DOD196636 DXZ196636 EHV196636 ERR196636 FBN196636 FLJ196636 FVF196636 GFB196636 GOX196636 GYT196636 HIP196636 HSL196636 ICH196636 IMD196636 IVZ196636 JFV196636 JPR196636 JZN196636 KJJ196636 KTF196636 LDB196636 LMX196636 LWT196636 MGP196636 MQL196636 NAH196636 NKD196636 NTZ196636 ODV196636 ONR196636 OXN196636 PHJ196636 PRF196636 QBB196636 QKX196636 QUT196636 REP196636 ROL196636 RYH196636 SID196636 SRZ196636 TBV196636 TLR196636 TVN196636 UFJ196636 UPF196636 UZB196636 VIX196636 VST196636 WCP196636 WML196636 WWH196636 Z262172 JV262172 TR262172 ADN262172 ANJ262172 AXF262172 BHB262172 BQX262172 CAT262172 CKP262172 CUL262172 DEH262172 DOD262172 DXZ262172 EHV262172 ERR262172 FBN262172 FLJ262172 FVF262172 GFB262172 GOX262172 GYT262172 HIP262172 HSL262172 ICH262172 IMD262172 IVZ262172 JFV262172 JPR262172 JZN262172 KJJ262172 KTF262172 LDB262172 LMX262172 LWT262172 MGP262172 MQL262172 NAH262172 NKD262172 NTZ262172 ODV262172 ONR262172 OXN262172 PHJ262172 PRF262172 QBB262172 QKX262172 QUT262172 REP262172 ROL262172 RYH262172 SID262172 SRZ262172 TBV262172 TLR262172 TVN262172 UFJ262172 UPF262172 UZB262172 VIX262172 VST262172 WCP262172 WML262172 WWH262172 Z327708 JV327708 TR327708 ADN327708 ANJ327708 AXF327708 BHB327708 BQX327708 CAT327708 CKP327708 CUL327708 DEH327708 DOD327708 DXZ327708 EHV327708 ERR327708 FBN327708 FLJ327708 FVF327708 GFB327708 GOX327708 GYT327708 HIP327708 HSL327708 ICH327708 IMD327708 IVZ327708 JFV327708 JPR327708 JZN327708 KJJ327708 KTF327708 LDB327708 LMX327708 LWT327708 MGP327708 MQL327708 NAH327708 NKD327708 NTZ327708 ODV327708 ONR327708 OXN327708 PHJ327708 PRF327708 QBB327708 QKX327708 QUT327708 REP327708 ROL327708 RYH327708 SID327708 SRZ327708 TBV327708 TLR327708 TVN327708 UFJ327708 UPF327708 UZB327708 VIX327708 VST327708 WCP327708 WML327708 WWH327708 Z393244 JV393244 TR393244 ADN393244 ANJ393244 AXF393244 BHB393244 BQX393244 CAT393244 CKP393244 CUL393244 DEH393244 DOD393244 DXZ393244 EHV393244 ERR393244 FBN393244 FLJ393244 FVF393244 GFB393244 GOX393244 GYT393244 HIP393244 HSL393244 ICH393244 IMD393244 IVZ393244 JFV393244 JPR393244 JZN393244 KJJ393244 KTF393244 LDB393244 LMX393244 LWT393244 MGP393244 MQL393244 NAH393244 NKD393244 NTZ393244 ODV393244 ONR393244 OXN393244 PHJ393244 PRF393244 QBB393244 QKX393244 QUT393244 REP393244 ROL393244 RYH393244 SID393244 SRZ393244 TBV393244 TLR393244 TVN393244 UFJ393244 UPF393244 UZB393244 VIX393244 VST393244 WCP393244 WML393244 WWH393244 Z458780 JV458780 TR458780 ADN458780 ANJ458780 AXF458780 BHB458780 BQX458780 CAT458780 CKP458780 CUL458780 DEH458780 DOD458780 DXZ458780 EHV458780 ERR458780 FBN458780 FLJ458780 FVF458780 GFB458780 GOX458780 GYT458780 HIP458780 HSL458780 ICH458780 IMD458780 IVZ458780 JFV458780 JPR458780 JZN458780 KJJ458780 KTF458780 LDB458780 LMX458780 LWT458780 MGP458780 MQL458780 NAH458780 NKD458780 NTZ458780 ODV458780 ONR458780 OXN458780 PHJ458780 PRF458780 QBB458780 QKX458780 QUT458780 REP458780 ROL458780 RYH458780 SID458780 SRZ458780 TBV458780 TLR458780 TVN458780 UFJ458780 UPF458780 UZB458780 VIX458780 VST458780 WCP458780 WML458780 WWH458780 Z524316 JV524316 TR524316 ADN524316 ANJ524316 AXF524316 BHB524316 BQX524316 CAT524316 CKP524316 CUL524316 DEH524316 DOD524316 DXZ524316 EHV524316 ERR524316 FBN524316 FLJ524316 FVF524316 GFB524316 GOX524316 GYT524316 HIP524316 HSL524316 ICH524316 IMD524316 IVZ524316 JFV524316 JPR524316 JZN524316 KJJ524316 KTF524316 LDB524316 LMX524316 LWT524316 MGP524316 MQL524316 NAH524316 NKD524316 NTZ524316 ODV524316 ONR524316 OXN524316 PHJ524316 PRF524316 QBB524316 QKX524316 QUT524316 REP524316 ROL524316 RYH524316 SID524316 SRZ524316 TBV524316 TLR524316 TVN524316 UFJ524316 UPF524316 UZB524316 VIX524316 VST524316 WCP524316 WML524316 WWH524316 Z589852 JV589852 TR589852 ADN589852 ANJ589852 AXF589852 BHB589852 BQX589852 CAT589852 CKP589852 CUL589852 DEH589852 DOD589852 DXZ589852 EHV589852 ERR589852 FBN589852 FLJ589852 FVF589852 GFB589852 GOX589852 GYT589852 HIP589852 HSL589852 ICH589852 IMD589852 IVZ589852 JFV589852 JPR589852 JZN589852 KJJ589852 KTF589852 LDB589852 LMX589852 LWT589852 MGP589852 MQL589852 NAH589852 NKD589852 NTZ589852 ODV589852 ONR589852 OXN589852 PHJ589852 PRF589852 QBB589852 QKX589852 QUT589852 REP589852 ROL589852 RYH589852 SID589852 SRZ589852 TBV589852 TLR589852 TVN589852 UFJ589852 UPF589852 UZB589852 VIX589852 VST589852 WCP589852 WML589852 WWH589852 Z655388 JV655388 TR655388 ADN655388 ANJ655388 AXF655388 BHB655388 BQX655388 CAT655388 CKP655388 CUL655388 DEH655388 DOD655388 DXZ655388 EHV655388 ERR655388 FBN655388 FLJ655388 FVF655388 GFB655388 GOX655388 GYT655388 HIP655388 HSL655388 ICH655388 IMD655388 IVZ655388 JFV655388 JPR655388 JZN655388 KJJ655388 KTF655388 LDB655388 LMX655388 LWT655388 MGP655388 MQL655388 NAH655388 NKD655388 NTZ655388 ODV655388 ONR655388 OXN655388 PHJ655388 PRF655388 QBB655388 QKX655388 QUT655388 REP655388 ROL655388 RYH655388 SID655388 SRZ655388 TBV655388 TLR655388 TVN655388 UFJ655388 UPF655388 UZB655388 VIX655388 VST655388 WCP655388 WML655388 WWH655388 Z720924 JV720924 TR720924 ADN720924 ANJ720924 AXF720924 BHB720924 BQX720924 CAT720924 CKP720924 CUL720924 DEH720924 DOD720924 DXZ720924 EHV720924 ERR720924 FBN720924 FLJ720924 FVF720924 GFB720924 GOX720924 GYT720924 HIP720924 HSL720924 ICH720924 IMD720924 IVZ720924 JFV720924 JPR720924 JZN720924 KJJ720924 KTF720924 LDB720924 LMX720924 LWT720924 MGP720924 MQL720924 NAH720924 NKD720924 NTZ720924 ODV720924 ONR720924 OXN720924 PHJ720924 PRF720924 QBB720924 QKX720924 QUT720924 REP720924 ROL720924 RYH720924 SID720924 SRZ720924 TBV720924 TLR720924 TVN720924 UFJ720924 UPF720924 UZB720924 VIX720924 VST720924 WCP720924 WML720924 WWH720924 Z786460 JV786460 TR786460 ADN786460 ANJ786460 AXF786460 BHB786460 BQX786460 CAT786460 CKP786460 CUL786460 DEH786460 DOD786460 DXZ786460 EHV786460 ERR786460 FBN786460 FLJ786460 FVF786460 GFB786460 GOX786460 GYT786460 HIP786460 HSL786460 ICH786460 IMD786460 IVZ786460 JFV786460 JPR786460 JZN786460 KJJ786460 KTF786460 LDB786460 LMX786460 LWT786460 MGP786460 MQL786460 NAH786460 NKD786460 NTZ786460 ODV786460 ONR786460 OXN786460 PHJ786460 PRF786460 QBB786460 QKX786460 QUT786460 REP786460 ROL786460 RYH786460 SID786460 SRZ786460 TBV786460 TLR786460 TVN786460 UFJ786460 UPF786460 UZB786460 VIX786460 VST786460 WCP786460 WML786460 WWH786460 Z851996 JV851996 TR851996 ADN851996 ANJ851996 AXF851996 BHB851996 BQX851996 CAT851996 CKP851996 CUL851996 DEH851996 DOD851996 DXZ851996 EHV851996 ERR851996 FBN851996 FLJ851996 FVF851996 GFB851996 GOX851996 GYT851996 HIP851996 HSL851996 ICH851996 IMD851996 IVZ851996 JFV851996 JPR851996 JZN851996 KJJ851996 KTF851996 LDB851996 LMX851996 LWT851996 MGP851996 MQL851996 NAH851996 NKD851996 NTZ851996 ODV851996 ONR851996 OXN851996 PHJ851996 PRF851996 QBB851996 QKX851996 QUT851996 REP851996 ROL851996 RYH851996 SID851996 SRZ851996 TBV851996 TLR851996 TVN851996 UFJ851996 UPF851996 UZB851996 VIX851996 VST851996 WCP851996 WML851996 WWH851996 Z917532 JV917532 TR917532 ADN917532 ANJ917532 AXF917532 BHB917532 BQX917532 CAT917532 CKP917532 CUL917532 DEH917532 DOD917532 DXZ917532 EHV917532 ERR917532 FBN917532 FLJ917532 FVF917532 GFB917532 GOX917532 GYT917532 HIP917532 HSL917532 ICH917532 IMD917532 IVZ917532 JFV917532 JPR917532 JZN917532 KJJ917532 KTF917532 LDB917532 LMX917532 LWT917532 MGP917532 MQL917532 NAH917532 NKD917532 NTZ917532 ODV917532 ONR917532 OXN917532 PHJ917532 PRF917532 QBB917532 QKX917532 QUT917532 REP917532 ROL917532 RYH917532 SID917532 SRZ917532 TBV917532 TLR917532 TVN917532 UFJ917532 UPF917532 UZB917532 VIX917532 VST917532 WCP917532 WML917532 WWH917532 Z983068 JV983068 TR983068 ADN983068 ANJ983068 AXF983068 BHB983068 BQX983068 CAT983068 CKP983068 CUL983068 DEH983068 DOD983068 DXZ983068 EHV983068 ERR983068 FBN983068 FLJ983068 FVF983068 GFB983068 GOX983068 GYT983068 HIP983068 HSL983068 ICH983068 IMD983068 IVZ983068 JFV983068 JPR983068 JZN983068 KJJ983068 KTF983068 LDB983068 LMX983068 LWT983068 MGP983068 MQL983068 NAH983068 NKD983068 NTZ983068 ODV983068 ONR983068 OXN983068 PHJ983068 PRF983068 QBB983068 QKX983068 QUT983068 REP983068 ROL983068 RYH983068 SID983068 SRZ983068 TBV983068 TLR983068 TVN983068 UFJ983068 UPF983068 UZB983068 VIX983068 VST983068 WCP983068 WML983068 WWH983068 Z26 JV26 TR26 ADN26 ANJ26 AXF26 BHB26 BQX26 CAT26 CKP26 CUL26 DEH26 DOD26 DXZ26 EHV26 ERR26 FBN26 FLJ26 FVF26 GFB26 GOX26 GYT26 HIP26 HSL26 ICH26 IMD26 IVZ26 JFV26 JPR26 JZN26 KJJ26 KTF26 LDB26 LMX26 LWT26 MGP26 MQL26 NAH26 NKD26 NTZ26 ODV26 ONR26 OXN26 PHJ26 PRF26 QBB26 QKX26 QUT26 REP26 ROL26 RYH26 SID26 SRZ26 TBV26 TLR26 TVN26 UFJ26 UPF26 UZB26 VIX26 VST26 WCP26 WML26 WWH26 Z65562 JV65562 TR65562 ADN65562 ANJ65562 AXF65562 BHB65562 BQX65562 CAT65562 CKP65562 CUL65562 DEH65562 DOD65562 DXZ65562 EHV65562 ERR65562 FBN65562 FLJ65562 FVF65562 GFB65562 GOX65562 GYT65562 HIP65562 HSL65562 ICH65562 IMD65562 IVZ65562 JFV65562 JPR65562 JZN65562 KJJ65562 KTF65562 LDB65562 LMX65562 LWT65562 MGP65562 MQL65562 NAH65562 NKD65562 NTZ65562 ODV65562 ONR65562 OXN65562 PHJ65562 PRF65562 QBB65562 QKX65562 QUT65562 REP65562 ROL65562 RYH65562 SID65562 SRZ65562 TBV65562 TLR65562 TVN65562 UFJ65562 UPF65562 UZB65562 VIX65562 VST65562 WCP65562 WML65562 WWH65562 Z131098 JV131098 TR131098 ADN131098 ANJ131098 AXF131098 BHB131098 BQX131098 CAT131098 CKP131098 CUL131098 DEH131098 DOD131098 DXZ131098 EHV131098 ERR131098 FBN131098 FLJ131098 FVF131098 GFB131098 GOX131098 GYT131098 HIP131098 HSL131098 ICH131098 IMD131098 IVZ131098 JFV131098 JPR131098 JZN131098 KJJ131098 KTF131098 LDB131098 LMX131098 LWT131098 MGP131098 MQL131098 NAH131098 NKD131098 NTZ131098 ODV131098 ONR131098 OXN131098 PHJ131098 PRF131098 QBB131098 QKX131098 QUT131098 REP131098 ROL131098 RYH131098 SID131098 SRZ131098 TBV131098 TLR131098 TVN131098 UFJ131098 UPF131098 UZB131098 VIX131098 VST131098 WCP131098 WML131098 WWH131098 Z196634 JV196634 TR196634 ADN196634 ANJ196634 AXF196634 BHB196634 BQX196634 CAT196634 CKP196634 CUL196634 DEH196634 DOD196634 DXZ196634 EHV196634 ERR196634 FBN196634 FLJ196634 FVF196634 GFB196634 GOX196634 GYT196634 HIP196634 HSL196634 ICH196634 IMD196634 IVZ196634 JFV196634 JPR196634 JZN196634 KJJ196634 KTF196634 LDB196634 LMX196634 LWT196634 MGP196634 MQL196634 NAH196634 NKD196634 NTZ196634 ODV196634 ONR196634 OXN196634 PHJ196634 PRF196634 QBB196634 QKX196634 QUT196634 REP196634 ROL196634 RYH196634 SID196634 SRZ196634 TBV196634 TLR196634 TVN196634 UFJ196634 UPF196634 UZB196634 VIX196634 VST196634 WCP196634 WML196634 WWH196634 Z262170 JV262170 TR262170 ADN262170 ANJ262170 AXF262170 BHB262170 BQX262170 CAT262170 CKP262170 CUL262170 DEH262170 DOD262170 DXZ262170 EHV262170 ERR262170 FBN262170 FLJ262170 FVF262170 GFB262170 GOX262170 GYT262170 HIP262170 HSL262170 ICH262170 IMD262170 IVZ262170 JFV262170 JPR262170 JZN262170 KJJ262170 KTF262170 LDB262170 LMX262170 LWT262170 MGP262170 MQL262170 NAH262170 NKD262170 NTZ262170 ODV262170 ONR262170 OXN262170 PHJ262170 PRF262170 QBB262170 QKX262170 QUT262170 REP262170 ROL262170 RYH262170 SID262170 SRZ262170 TBV262170 TLR262170 TVN262170 UFJ262170 UPF262170 UZB262170 VIX262170 VST262170 WCP262170 WML262170 WWH262170 Z327706 JV327706 TR327706 ADN327706 ANJ327706 AXF327706 BHB327706 BQX327706 CAT327706 CKP327706 CUL327706 DEH327706 DOD327706 DXZ327706 EHV327706 ERR327706 FBN327706 FLJ327706 FVF327706 GFB327706 GOX327706 GYT327706 HIP327706 HSL327706 ICH327706 IMD327706 IVZ327706 JFV327706 JPR327706 JZN327706 KJJ327706 KTF327706 LDB327706 LMX327706 LWT327706 MGP327706 MQL327706 NAH327706 NKD327706 NTZ327706 ODV327706 ONR327706 OXN327706 PHJ327706 PRF327706 QBB327706 QKX327706 QUT327706 REP327706 ROL327706 RYH327706 SID327706 SRZ327706 TBV327706 TLR327706 TVN327706 UFJ327706 UPF327706 UZB327706 VIX327706 VST327706 WCP327706 WML327706 WWH327706 Z393242 JV393242 TR393242 ADN393242 ANJ393242 AXF393242 BHB393242 BQX393242 CAT393242 CKP393242 CUL393242 DEH393242 DOD393242 DXZ393242 EHV393242 ERR393242 FBN393242 FLJ393242 FVF393242 GFB393242 GOX393242 GYT393242 HIP393242 HSL393242 ICH393242 IMD393242 IVZ393242 JFV393242 JPR393242 JZN393242 KJJ393242 KTF393242 LDB393242 LMX393242 LWT393242 MGP393242 MQL393242 NAH393242 NKD393242 NTZ393242 ODV393242 ONR393242 OXN393242 PHJ393242 PRF393242 QBB393242 QKX393242 QUT393242 REP393242 ROL393242 RYH393242 SID393242 SRZ393242 TBV393242 TLR393242 TVN393242 UFJ393242 UPF393242 UZB393242 VIX393242 VST393242 WCP393242 WML393242 WWH393242 Z458778 JV458778 TR458778 ADN458778 ANJ458778 AXF458778 BHB458778 BQX458778 CAT458778 CKP458778 CUL458778 DEH458778 DOD458778 DXZ458778 EHV458778 ERR458778 FBN458778 FLJ458778 FVF458778 GFB458778 GOX458778 GYT458778 HIP458778 HSL458778 ICH458778 IMD458778 IVZ458778 JFV458778 JPR458778 JZN458778 KJJ458778 KTF458778 LDB458778 LMX458778 LWT458778 MGP458778 MQL458778 NAH458778 NKD458778 NTZ458778 ODV458778 ONR458778 OXN458778 PHJ458778 PRF458778 QBB458778 QKX458778 QUT458778 REP458778 ROL458778 RYH458778 SID458778 SRZ458778 TBV458778 TLR458778 TVN458778 UFJ458778 UPF458778 UZB458778 VIX458778 VST458778 WCP458778 WML458778 WWH458778 Z524314 JV524314 TR524314 ADN524314 ANJ524314 AXF524314 BHB524314 BQX524314 CAT524314 CKP524314 CUL524314 DEH524314 DOD524314 DXZ524314 EHV524314 ERR524314 FBN524314 FLJ524314 FVF524314 GFB524314 GOX524314 GYT524314 HIP524314 HSL524314 ICH524314 IMD524314 IVZ524314 JFV524314 JPR524314 JZN524314 KJJ524314 KTF524314 LDB524314 LMX524314 LWT524314 MGP524314 MQL524314 NAH524314 NKD524314 NTZ524314 ODV524314 ONR524314 OXN524314 PHJ524314 PRF524314 QBB524314 QKX524314 QUT524314 REP524314 ROL524314 RYH524314 SID524314 SRZ524314 TBV524314 TLR524314 TVN524314 UFJ524314 UPF524314 UZB524314 VIX524314 VST524314 WCP524314 WML524314 WWH524314 Z589850 JV589850 TR589850 ADN589850 ANJ589850 AXF589850 BHB589850 BQX589850 CAT589850 CKP589850 CUL589850 DEH589850 DOD589850 DXZ589850 EHV589850 ERR589850 FBN589850 FLJ589850 FVF589850 GFB589850 GOX589850 GYT589850 HIP589850 HSL589850 ICH589850 IMD589850 IVZ589850 JFV589850 JPR589850 JZN589850 KJJ589850 KTF589850 LDB589850 LMX589850 LWT589850 MGP589850 MQL589850 NAH589850 NKD589850 NTZ589850 ODV589850 ONR589850 OXN589850 PHJ589850 PRF589850 QBB589850 QKX589850 QUT589850 REP589850 ROL589850 RYH589850 SID589850 SRZ589850 TBV589850 TLR589850 TVN589850 UFJ589850 UPF589850 UZB589850 VIX589850 VST589850 WCP589850 WML589850 WWH589850 Z655386 JV655386 TR655386 ADN655386 ANJ655386 AXF655386 BHB655386 BQX655386 CAT655386 CKP655386 CUL655386 DEH655386 DOD655386 DXZ655386 EHV655386 ERR655386 FBN655386 FLJ655386 FVF655386 GFB655386 GOX655386 GYT655386 HIP655386 HSL655386 ICH655386 IMD655386 IVZ655386 JFV655386 JPR655386 JZN655386 KJJ655386 KTF655386 LDB655386 LMX655386 LWT655386 MGP655386 MQL655386 NAH655386 NKD655386 NTZ655386 ODV655386 ONR655386 OXN655386 PHJ655386 PRF655386 QBB655386 QKX655386 QUT655386 REP655386 ROL655386 RYH655386 SID655386 SRZ655386 TBV655386 TLR655386 TVN655386 UFJ655386 UPF655386 UZB655386 VIX655386 VST655386 WCP655386 WML655386 WWH655386 Z720922 JV720922 TR720922 ADN720922 ANJ720922 AXF720922 BHB720922 BQX720922 CAT720922 CKP720922 CUL720922 DEH720922 DOD720922 DXZ720922 EHV720922 ERR720922 FBN720922 FLJ720922 FVF720922 GFB720922 GOX720922 GYT720922 HIP720922 HSL720922 ICH720922 IMD720922 IVZ720922 JFV720922 JPR720922 JZN720922 KJJ720922 KTF720922 LDB720922 LMX720922 LWT720922 MGP720922 MQL720922 NAH720922 NKD720922 NTZ720922 ODV720922 ONR720922 OXN720922 PHJ720922 PRF720922 QBB720922 QKX720922 QUT720922 REP720922 ROL720922 RYH720922 SID720922 SRZ720922 TBV720922 TLR720922 TVN720922 UFJ720922 UPF720922 UZB720922 VIX720922 VST720922 WCP720922 WML720922 WWH720922 Z786458 JV786458 TR786458 ADN786458 ANJ786458 AXF786458 BHB786458 BQX786458 CAT786458 CKP786458 CUL786458 DEH786458 DOD786458 DXZ786458 EHV786458 ERR786458 FBN786458 FLJ786458 FVF786458 GFB786458 GOX786458 GYT786458 HIP786458 HSL786458 ICH786458 IMD786458 IVZ786458 JFV786458 JPR786458 JZN786458 KJJ786458 KTF786458 LDB786458 LMX786458 LWT786458 MGP786458 MQL786458 NAH786458 NKD786458 NTZ786458 ODV786458 ONR786458 OXN786458 PHJ786458 PRF786458 QBB786458 QKX786458 QUT786458 REP786458 ROL786458 RYH786458 SID786458 SRZ786458 TBV786458 TLR786458 TVN786458 UFJ786458 UPF786458 UZB786458 VIX786458 VST786458 WCP786458 WML786458 WWH786458 Z851994 JV851994 TR851994 ADN851994 ANJ851994 AXF851994 BHB851994 BQX851994 CAT851994 CKP851994 CUL851994 DEH851994 DOD851994 DXZ851994 EHV851994 ERR851994 FBN851994 FLJ851994 FVF851994 GFB851994 GOX851994 GYT851994 HIP851994 HSL851994 ICH851994 IMD851994 IVZ851994 JFV851994 JPR851994 JZN851994 KJJ851994 KTF851994 LDB851994 LMX851994 LWT851994 MGP851994 MQL851994 NAH851994 NKD851994 NTZ851994 ODV851994 ONR851994 OXN851994 PHJ851994 PRF851994 QBB851994 QKX851994 QUT851994 REP851994 ROL851994 RYH851994 SID851994 SRZ851994 TBV851994 TLR851994 TVN851994 UFJ851994 UPF851994 UZB851994 VIX851994 VST851994 WCP851994 WML851994 WWH851994 Z917530 JV917530 TR917530 ADN917530 ANJ917530 AXF917530 BHB917530 BQX917530 CAT917530 CKP917530 CUL917530 DEH917530 DOD917530 DXZ917530 EHV917530 ERR917530 FBN917530 FLJ917530 FVF917530 GFB917530 GOX917530 GYT917530 HIP917530 HSL917530 ICH917530 IMD917530 IVZ917530 JFV917530 JPR917530 JZN917530 KJJ917530 KTF917530 LDB917530 LMX917530 LWT917530 MGP917530 MQL917530 NAH917530 NKD917530 NTZ917530 ODV917530 ONR917530 OXN917530 PHJ917530 PRF917530 QBB917530 QKX917530 QUT917530 REP917530 ROL917530 RYH917530 SID917530 SRZ917530 TBV917530 TLR917530 TVN917530 UFJ917530 UPF917530 UZB917530 VIX917530 VST917530 WCP917530 WML917530 WWH917530 Z983066 JV983066 TR983066 ADN983066 ANJ983066 AXF983066 BHB983066 BQX983066 CAT983066 CKP983066 CUL983066 DEH983066 DOD983066 DXZ983066 EHV983066 ERR983066 FBN983066 FLJ983066 FVF983066 GFB983066 GOX983066 GYT983066 HIP983066 HSL983066 ICH983066 IMD983066 IVZ983066 JFV983066 JPR983066 JZN983066 KJJ983066 KTF983066 LDB983066 LMX983066 LWT983066 MGP983066 MQL983066 NAH983066 NKD983066 NTZ983066 ODV983066 ONR983066 OXN983066 PHJ983066 PRF983066 QBB983066 QKX983066 QUT983066 REP983066 ROL983066 RYH983066 SID983066 SRZ983066 TBV983066 TLR983066 TVN983066 UFJ983066 UPF983066 UZB983066 VIX983066 VST983066 WCP983066 WML983066 WWH983066 Z24 JV24 TR24 ADN24 ANJ24 AXF24 BHB24 BQX24 CAT24 CKP24 CUL24 DEH24 DOD24 DXZ24 EHV24 ERR24 FBN24 FLJ24 FVF24 GFB24 GOX24 GYT24 HIP24 HSL24 ICH24 IMD24 IVZ24 JFV24 JPR24 JZN24 KJJ24 KTF24 LDB24 LMX24 LWT24 MGP24 MQL24 NAH24 NKD24 NTZ24 ODV24 ONR24 OXN24 PHJ24 PRF24 QBB24 QKX24 QUT24 REP24 ROL24 RYH24 SID24 SRZ24 TBV24 TLR24 TVN24 UFJ24 UPF24 UZB24 VIX24 VST24 WCP24 WML24 WWH24 Z65560 JV65560 TR65560 ADN65560 ANJ65560 AXF65560 BHB65560 BQX65560 CAT65560 CKP65560 CUL65560 DEH65560 DOD65560 DXZ65560 EHV65560 ERR65560 FBN65560 FLJ65560 FVF65560 GFB65560 GOX65560 GYT65560 HIP65560 HSL65560 ICH65560 IMD65560 IVZ65560 JFV65560 JPR65560 JZN65560 KJJ65560 KTF65560 LDB65560 LMX65560 LWT65560 MGP65560 MQL65560 NAH65560 NKD65560 NTZ65560 ODV65560 ONR65560 OXN65560 PHJ65560 PRF65560 QBB65560 QKX65560 QUT65560 REP65560 ROL65560 RYH65560 SID65560 SRZ65560 TBV65560 TLR65560 TVN65560 UFJ65560 UPF65560 UZB65560 VIX65560 VST65560 WCP65560 WML65560 WWH65560 Z131096 JV131096 TR131096 ADN131096 ANJ131096 AXF131096 BHB131096 BQX131096 CAT131096 CKP131096 CUL131096 DEH131096 DOD131096 DXZ131096 EHV131096 ERR131096 FBN131096 FLJ131096 FVF131096 GFB131096 GOX131096 GYT131096 HIP131096 HSL131096 ICH131096 IMD131096 IVZ131096 JFV131096 JPR131096 JZN131096 KJJ131096 KTF131096 LDB131096 LMX131096 LWT131096 MGP131096 MQL131096 NAH131096 NKD131096 NTZ131096 ODV131096 ONR131096 OXN131096 PHJ131096 PRF131096 QBB131096 QKX131096 QUT131096 REP131096 ROL131096 RYH131096 SID131096 SRZ131096 TBV131096 TLR131096 TVN131096 UFJ131096 UPF131096 UZB131096 VIX131096 VST131096 WCP131096 WML131096 WWH131096 Z196632 JV196632 TR196632 ADN196632 ANJ196632 AXF196632 BHB196632 BQX196632 CAT196632 CKP196632 CUL196632 DEH196632 DOD196632 DXZ196632 EHV196632 ERR196632 FBN196632 FLJ196632 FVF196632 GFB196632 GOX196632 GYT196632 HIP196632 HSL196632 ICH196632 IMD196632 IVZ196632 JFV196632 JPR196632 JZN196632 KJJ196632 KTF196632 LDB196632 LMX196632 LWT196632 MGP196632 MQL196632 NAH196632 NKD196632 NTZ196632 ODV196632 ONR196632 OXN196632 PHJ196632 PRF196632 QBB196632 QKX196632 QUT196632 REP196632 ROL196632 RYH196632 SID196632 SRZ196632 TBV196632 TLR196632 TVN196632 UFJ196632 UPF196632 UZB196632 VIX196632 VST196632 WCP196632 WML196632 WWH196632 Z262168 JV262168 TR262168 ADN262168 ANJ262168 AXF262168 BHB262168 BQX262168 CAT262168 CKP262168 CUL262168 DEH262168 DOD262168 DXZ262168 EHV262168 ERR262168 FBN262168 FLJ262168 FVF262168 GFB262168 GOX262168 GYT262168 HIP262168 HSL262168 ICH262168 IMD262168 IVZ262168 JFV262168 JPR262168 JZN262168 KJJ262168 KTF262168 LDB262168 LMX262168 LWT262168 MGP262168 MQL262168 NAH262168 NKD262168 NTZ262168 ODV262168 ONR262168 OXN262168 PHJ262168 PRF262168 QBB262168 QKX262168 QUT262168 REP262168 ROL262168 RYH262168 SID262168 SRZ262168 TBV262168 TLR262168 TVN262168 UFJ262168 UPF262168 UZB262168 VIX262168 VST262168 WCP262168 WML262168 WWH262168 Z327704 JV327704 TR327704 ADN327704 ANJ327704 AXF327704 BHB327704 BQX327704 CAT327704 CKP327704 CUL327704 DEH327704 DOD327704 DXZ327704 EHV327704 ERR327704 FBN327704 FLJ327704 FVF327704 GFB327704 GOX327704 GYT327704 HIP327704 HSL327704 ICH327704 IMD327704 IVZ327704 JFV327704 JPR327704 JZN327704 KJJ327704 KTF327704 LDB327704 LMX327704 LWT327704 MGP327704 MQL327704 NAH327704 NKD327704 NTZ327704 ODV327704 ONR327704 OXN327704 PHJ327704 PRF327704 QBB327704 QKX327704 QUT327704 REP327704 ROL327704 RYH327704 SID327704 SRZ327704 TBV327704 TLR327704 TVN327704 UFJ327704 UPF327704 UZB327704 VIX327704 VST327704 WCP327704 WML327704 WWH327704 Z393240 JV393240 TR393240 ADN393240 ANJ393240 AXF393240 BHB393240 BQX393240 CAT393240 CKP393240 CUL393240 DEH393240 DOD393240 DXZ393240 EHV393240 ERR393240 FBN393240 FLJ393240 FVF393240 GFB393240 GOX393240 GYT393240 HIP393240 HSL393240 ICH393240 IMD393240 IVZ393240 JFV393240 JPR393240 JZN393240 KJJ393240 KTF393240 LDB393240 LMX393240 LWT393240 MGP393240 MQL393240 NAH393240 NKD393240 NTZ393240 ODV393240 ONR393240 OXN393240 PHJ393240 PRF393240 QBB393240 QKX393240 QUT393240 REP393240 ROL393240 RYH393240 SID393240 SRZ393240 TBV393240 TLR393240 TVN393240 UFJ393240 UPF393240 UZB393240 VIX393240 VST393240 WCP393240 WML393240 WWH393240 Z458776 JV458776 TR458776 ADN458776 ANJ458776 AXF458776 BHB458776 BQX458776 CAT458776 CKP458776 CUL458776 DEH458776 DOD458776 DXZ458776 EHV458776 ERR458776 FBN458776 FLJ458776 FVF458776 GFB458776 GOX458776 GYT458776 HIP458776 HSL458776 ICH458776 IMD458776 IVZ458776 JFV458776 JPR458776 JZN458776 KJJ458776 KTF458776 LDB458776 LMX458776 LWT458776 MGP458776 MQL458776 NAH458776 NKD458776 NTZ458776 ODV458776 ONR458776 OXN458776 PHJ458776 PRF458776 QBB458776 QKX458776 QUT458776 REP458776 ROL458776 RYH458776 SID458776 SRZ458776 TBV458776 TLR458776 TVN458776 UFJ458776 UPF458776 UZB458776 VIX458776 VST458776 WCP458776 WML458776 WWH458776 Z524312 JV524312 TR524312 ADN524312 ANJ524312 AXF524312 BHB524312 BQX524312 CAT524312 CKP524312 CUL524312 DEH524312 DOD524312 DXZ524312 EHV524312 ERR524312 FBN524312 FLJ524312 FVF524312 GFB524312 GOX524312 GYT524312 HIP524312 HSL524312 ICH524312 IMD524312 IVZ524312 JFV524312 JPR524312 JZN524312 KJJ524312 KTF524312 LDB524312 LMX524312 LWT524312 MGP524312 MQL524312 NAH524312 NKD524312 NTZ524312 ODV524312 ONR524312 OXN524312 PHJ524312 PRF524312 QBB524312 QKX524312 QUT524312 REP524312 ROL524312 RYH524312 SID524312 SRZ524312 TBV524312 TLR524312 TVN524312 UFJ524312 UPF524312 UZB524312 VIX524312 VST524312 WCP524312 WML524312 WWH524312 Z589848 JV589848 TR589848 ADN589848 ANJ589848 AXF589848 BHB589848 BQX589848 CAT589848 CKP589848 CUL589848 DEH589848 DOD589848 DXZ589848 EHV589848 ERR589848 FBN589848 FLJ589848 FVF589848 GFB589848 GOX589848 GYT589848 HIP589848 HSL589848 ICH589848 IMD589848 IVZ589848 JFV589848 JPR589848 JZN589848 KJJ589848 KTF589848 LDB589848 LMX589848 LWT589848 MGP589848 MQL589848 NAH589848 NKD589848 NTZ589848 ODV589848 ONR589848 OXN589848 PHJ589848 PRF589848 QBB589848 QKX589848 QUT589848 REP589848 ROL589848 RYH589848 SID589848 SRZ589848 TBV589848 TLR589848 TVN589848 UFJ589848 UPF589848 UZB589848 VIX589848 VST589848 WCP589848 WML589848 WWH589848 Z655384 JV655384 TR655384 ADN655384 ANJ655384 AXF655384 BHB655384 BQX655384 CAT655384 CKP655384 CUL655384 DEH655384 DOD655384 DXZ655384 EHV655384 ERR655384 FBN655384 FLJ655384 FVF655384 GFB655384 GOX655384 GYT655384 HIP655384 HSL655384 ICH655384 IMD655384 IVZ655384 JFV655384 JPR655384 JZN655384 KJJ655384 KTF655384 LDB655384 LMX655384 LWT655384 MGP655384 MQL655384 NAH655384 NKD655384 NTZ655384 ODV655384 ONR655384 OXN655384 PHJ655384 PRF655384 QBB655384 QKX655384 QUT655384 REP655384 ROL655384 RYH655384 SID655384 SRZ655384 TBV655384 TLR655384 TVN655384 UFJ655384 UPF655384 UZB655384 VIX655384 VST655384 WCP655384 WML655384 WWH655384 Z720920 JV720920 TR720920 ADN720920 ANJ720920 AXF720920 BHB720920 BQX720920 CAT720920 CKP720920 CUL720920 DEH720920 DOD720920 DXZ720920 EHV720920 ERR720920 FBN720920 FLJ720920 FVF720920 GFB720920 GOX720920 GYT720920 HIP720920 HSL720920 ICH720920 IMD720920 IVZ720920 JFV720920 JPR720920 JZN720920 KJJ720920 KTF720920 LDB720920 LMX720920 LWT720920 MGP720920 MQL720920 NAH720920 NKD720920 NTZ720920 ODV720920 ONR720920 OXN720920 PHJ720920 PRF720920 QBB720920 QKX720920 QUT720920 REP720920 ROL720920 RYH720920 SID720920 SRZ720920 TBV720920 TLR720920 TVN720920 UFJ720920 UPF720920 UZB720920 VIX720920 VST720920 WCP720920 WML720920 WWH720920 Z786456 JV786456 TR786456 ADN786456 ANJ786456 AXF786456 BHB786456 BQX786456 CAT786456 CKP786456 CUL786456 DEH786456 DOD786456 DXZ786456 EHV786456 ERR786456 FBN786456 FLJ786456 FVF786456 GFB786456 GOX786456 GYT786456 HIP786456 HSL786456 ICH786456 IMD786456 IVZ786456 JFV786456 JPR786456 JZN786456 KJJ786456 KTF786456 LDB786456 LMX786456 LWT786456 MGP786456 MQL786456 NAH786456 NKD786456 NTZ786456 ODV786456 ONR786456 OXN786456 PHJ786456 PRF786456 QBB786456 QKX786456 QUT786456 REP786456 ROL786456 RYH786456 SID786456 SRZ786456 TBV786456 TLR786456 TVN786456 UFJ786456 UPF786456 UZB786456 VIX786456 VST786456 WCP786456 WML786456 WWH786456 Z851992 JV851992 TR851992 ADN851992 ANJ851992 AXF851992 BHB851992 BQX851992 CAT851992 CKP851992 CUL851992 DEH851992 DOD851992 DXZ851992 EHV851992 ERR851992 FBN851992 FLJ851992 FVF851992 GFB851992 GOX851992 GYT851992 HIP851992 HSL851992 ICH851992 IMD851992 IVZ851992 JFV851992 JPR851992 JZN851992 KJJ851992 KTF851992 LDB851992 LMX851992 LWT851992 MGP851992 MQL851992 NAH851992 NKD851992 NTZ851992 ODV851992 ONR851992 OXN851992 PHJ851992 PRF851992 QBB851992 QKX851992 QUT851992 REP851992 ROL851992 RYH851992 SID851992 SRZ851992 TBV851992 TLR851992 TVN851992 UFJ851992 UPF851992 UZB851992 VIX851992 VST851992 WCP851992 WML851992 WWH851992 Z917528 JV917528 TR917528 ADN917528 ANJ917528 AXF917528 BHB917528 BQX917528 CAT917528 CKP917528 CUL917528 DEH917528 DOD917528 DXZ917528 EHV917528 ERR917528 FBN917528 FLJ917528 FVF917528 GFB917528 GOX917528 GYT917528 HIP917528 HSL917528 ICH917528 IMD917528 IVZ917528 JFV917528 JPR917528 JZN917528 KJJ917528 KTF917528 LDB917528 LMX917528 LWT917528 MGP917528 MQL917528 NAH917528 NKD917528 NTZ917528 ODV917528 ONR917528 OXN917528 PHJ917528 PRF917528 QBB917528 QKX917528 QUT917528 REP917528 ROL917528 RYH917528 SID917528 SRZ917528 TBV917528 TLR917528 TVN917528 UFJ917528 UPF917528 UZB917528 VIX917528 VST917528 WCP917528 WML917528 WWH917528 Z983064 JV983064 TR983064 ADN983064 ANJ983064 AXF983064 BHB983064 BQX983064 CAT983064 CKP983064 CUL983064 DEH983064 DOD983064 DXZ983064 EHV983064 ERR983064 FBN983064 FLJ983064 FVF983064 GFB983064 GOX983064 GYT983064 HIP983064 HSL983064 ICH983064 IMD983064 IVZ983064 JFV983064 JPR983064 JZN983064 KJJ983064 KTF983064 LDB983064 LMX983064 LWT983064 MGP983064 MQL983064 NAH983064 NKD983064 NTZ983064 ODV983064 ONR983064 OXN983064 PHJ983064 PRF983064 QBB983064 QKX983064 QUT983064 REP983064 ROL983064 RYH983064 SID983064 SRZ983064 TBV983064 TLR983064 TVN983064 UFJ983064 UPF983064 UZB983064 VIX983064 VST983064 WCP983064 WML983064 WWH983064 Z22 JV22 TR22 ADN22 ANJ22 AXF22 BHB22 BQX22 CAT22 CKP22 CUL22 DEH22 DOD22 DXZ22 EHV22 ERR22 FBN22 FLJ22 FVF22 GFB22 GOX22 GYT22 HIP22 HSL22 ICH22 IMD22 IVZ22 JFV22 JPR22 JZN22 KJJ22 KTF22 LDB22 LMX22 LWT22 MGP22 MQL22 NAH22 NKD22 NTZ22 ODV22 ONR22 OXN22 PHJ22 PRF22 QBB22 QKX22 QUT22 REP22 ROL22 RYH22 SID22 SRZ22 TBV22 TLR22 TVN22 UFJ22 UPF22 UZB22 VIX22 VST22 WCP22 WML22 WWH22 Z65558 JV65558 TR65558 ADN65558 ANJ65558 AXF65558 BHB65558 BQX65558 CAT65558 CKP65558 CUL65558 DEH65558 DOD65558 DXZ65558 EHV65558 ERR65558 FBN65558 FLJ65558 FVF65558 GFB65558 GOX65558 GYT65558 HIP65558 HSL65558 ICH65558 IMD65558 IVZ65558 JFV65558 JPR65558 JZN65558 KJJ65558 KTF65558 LDB65558 LMX65558 LWT65558 MGP65558 MQL65558 NAH65558 NKD65558 NTZ65558 ODV65558 ONR65558 OXN65558 PHJ65558 PRF65558 QBB65558 QKX65558 QUT65558 REP65558 ROL65558 RYH65558 SID65558 SRZ65558 TBV65558 TLR65558 TVN65558 UFJ65558 UPF65558 UZB65558 VIX65558 VST65558 WCP65558 WML65558 WWH65558 Z131094 JV131094 TR131094 ADN131094 ANJ131094 AXF131094 BHB131094 BQX131094 CAT131094 CKP131094 CUL131094 DEH131094 DOD131094 DXZ131094 EHV131094 ERR131094 FBN131094 FLJ131094 FVF131094 GFB131094 GOX131094 GYT131094 HIP131094 HSL131094 ICH131094 IMD131094 IVZ131094 JFV131094 JPR131094 JZN131094 KJJ131094 KTF131094 LDB131094 LMX131094 LWT131094 MGP131094 MQL131094 NAH131094 NKD131094 NTZ131094 ODV131094 ONR131094 OXN131094 PHJ131094 PRF131094 QBB131094 QKX131094 QUT131094 REP131094 ROL131094 RYH131094 SID131094 SRZ131094 TBV131094 TLR131094 TVN131094 UFJ131094 UPF131094 UZB131094 VIX131094 VST131094 WCP131094 WML131094 WWH131094 Z196630 JV196630 TR196630 ADN196630 ANJ196630 AXF196630 BHB196630 BQX196630 CAT196630 CKP196630 CUL196630 DEH196630 DOD196630 DXZ196630 EHV196630 ERR196630 FBN196630 FLJ196630 FVF196630 GFB196630 GOX196630 GYT196630 HIP196630 HSL196630 ICH196630 IMD196630 IVZ196630 JFV196630 JPR196630 JZN196630 KJJ196630 KTF196630 LDB196630 LMX196630 LWT196630 MGP196630 MQL196630 NAH196630 NKD196630 NTZ196630 ODV196630 ONR196630 OXN196630 PHJ196630 PRF196630 QBB196630 QKX196630 QUT196630 REP196630 ROL196630 RYH196630 SID196630 SRZ196630 TBV196630 TLR196630 TVN196630 UFJ196630 UPF196630 UZB196630 VIX196630 VST196630 WCP196630 WML196630 WWH196630 Z262166 JV262166 TR262166 ADN262166 ANJ262166 AXF262166 BHB262166 BQX262166 CAT262166 CKP262166 CUL262166 DEH262166 DOD262166 DXZ262166 EHV262166 ERR262166 FBN262166 FLJ262166 FVF262166 GFB262166 GOX262166 GYT262166 HIP262166 HSL262166 ICH262166 IMD262166 IVZ262166 JFV262166 JPR262166 JZN262166 KJJ262166 KTF262166 LDB262166 LMX262166 LWT262166 MGP262166 MQL262166 NAH262166 NKD262166 NTZ262166 ODV262166 ONR262166 OXN262166 PHJ262166 PRF262166 QBB262166 QKX262166 QUT262166 REP262166 ROL262166 RYH262166 SID262166 SRZ262166 TBV262166 TLR262166 TVN262166 UFJ262166 UPF262166 UZB262166 VIX262166 VST262166 WCP262166 WML262166 WWH262166 Z327702 JV327702 TR327702 ADN327702 ANJ327702 AXF327702 BHB327702 BQX327702 CAT327702 CKP327702 CUL327702 DEH327702 DOD327702 DXZ327702 EHV327702 ERR327702 FBN327702 FLJ327702 FVF327702 GFB327702 GOX327702 GYT327702 HIP327702 HSL327702 ICH327702 IMD327702 IVZ327702 JFV327702 JPR327702 JZN327702 KJJ327702 KTF327702 LDB327702 LMX327702 LWT327702 MGP327702 MQL327702 NAH327702 NKD327702 NTZ327702 ODV327702 ONR327702 OXN327702 PHJ327702 PRF327702 QBB327702 QKX327702 QUT327702 REP327702 ROL327702 RYH327702 SID327702 SRZ327702 TBV327702 TLR327702 TVN327702 UFJ327702 UPF327702 UZB327702 VIX327702 VST327702 WCP327702 WML327702 WWH327702 Z393238 JV393238 TR393238 ADN393238 ANJ393238 AXF393238 BHB393238 BQX393238 CAT393238 CKP393238 CUL393238 DEH393238 DOD393238 DXZ393238 EHV393238 ERR393238 FBN393238 FLJ393238 FVF393238 GFB393238 GOX393238 GYT393238 HIP393238 HSL393238 ICH393238 IMD393238 IVZ393238 JFV393238 JPR393238 JZN393238 KJJ393238 KTF393238 LDB393238 LMX393238 LWT393238 MGP393238 MQL393238 NAH393238 NKD393238 NTZ393238 ODV393238 ONR393238 OXN393238 PHJ393238 PRF393238 QBB393238 QKX393238 QUT393238 REP393238 ROL393238 RYH393238 SID393238 SRZ393238 TBV393238 TLR393238 TVN393238 UFJ393238 UPF393238 UZB393238 VIX393238 VST393238 WCP393238 WML393238 WWH393238 Z458774 JV458774 TR458774 ADN458774 ANJ458774 AXF458774 BHB458774 BQX458774 CAT458774 CKP458774 CUL458774 DEH458774 DOD458774 DXZ458774 EHV458774 ERR458774 FBN458774 FLJ458774 FVF458774 GFB458774 GOX458774 GYT458774 HIP458774 HSL458774 ICH458774 IMD458774 IVZ458774 JFV458774 JPR458774 JZN458774 KJJ458774 KTF458774 LDB458774 LMX458774 LWT458774 MGP458774 MQL458774 NAH458774 NKD458774 NTZ458774 ODV458774 ONR458774 OXN458774 PHJ458774 PRF458774 QBB458774 QKX458774 QUT458774 REP458774 ROL458774 RYH458774 SID458774 SRZ458774 TBV458774 TLR458774 TVN458774 UFJ458774 UPF458774 UZB458774 VIX458774 VST458774 WCP458774 WML458774 WWH458774 Z524310 JV524310 TR524310 ADN524310 ANJ524310 AXF524310 BHB524310 BQX524310 CAT524310 CKP524310 CUL524310 DEH524310 DOD524310 DXZ524310 EHV524310 ERR524310 FBN524310 FLJ524310 FVF524310 GFB524310 GOX524310 GYT524310 HIP524310 HSL524310 ICH524310 IMD524310 IVZ524310 JFV524310 JPR524310 JZN524310 KJJ524310 KTF524310 LDB524310 LMX524310 LWT524310 MGP524310 MQL524310 NAH524310 NKD524310 NTZ524310 ODV524310 ONR524310 OXN524310 PHJ524310 PRF524310 QBB524310 QKX524310 QUT524310 REP524310 ROL524310 RYH524310 SID524310 SRZ524310 TBV524310 TLR524310 TVN524310 UFJ524310 UPF524310 UZB524310 VIX524310 VST524310 WCP524310 WML524310 WWH524310 Z589846 JV589846 TR589846 ADN589846 ANJ589846 AXF589846 BHB589846 BQX589846 CAT589846 CKP589846 CUL589846 DEH589846 DOD589846 DXZ589846 EHV589846 ERR589846 FBN589846 FLJ589846 FVF589846 GFB589846 GOX589846 GYT589846 HIP589846 HSL589846 ICH589846 IMD589846 IVZ589846 JFV589846 JPR589846 JZN589846 KJJ589846 KTF589846 LDB589846 LMX589846 LWT589846 MGP589846 MQL589846 NAH589846 NKD589846 NTZ589846 ODV589846 ONR589846 OXN589846 PHJ589846 PRF589846 QBB589846 QKX589846 QUT589846 REP589846 ROL589846 RYH589846 SID589846 SRZ589846 TBV589846 TLR589846 TVN589846 UFJ589846 UPF589846 UZB589846 VIX589846 VST589846 WCP589846 WML589846 WWH589846 Z655382 JV655382 TR655382 ADN655382 ANJ655382 AXF655382 BHB655382 BQX655382 CAT655382 CKP655382 CUL655382 DEH655382 DOD655382 DXZ655382 EHV655382 ERR655382 FBN655382 FLJ655382 FVF655382 GFB655382 GOX655382 GYT655382 HIP655382 HSL655382 ICH655382 IMD655382 IVZ655382 JFV655382 JPR655382 JZN655382 KJJ655382 KTF655382 LDB655382 LMX655382 LWT655382 MGP655382 MQL655382 NAH655382 NKD655382 NTZ655382 ODV655382 ONR655382 OXN655382 PHJ655382 PRF655382 QBB655382 QKX655382 QUT655382 REP655382 ROL655382 RYH655382 SID655382 SRZ655382 TBV655382 TLR655382 TVN655382 UFJ655382 UPF655382 UZB655382 VIX655382 VST655382 WCP655382 WML655382 WWH655382 Z720918 JV720918 TR720918 ADN720918 ANJ720918 AXF720918 BHB720918 BQX720918 CAT720918 CKP720918 CUL720918 DEH720918 DOD720918 DXZ720918 EHV720918 ERR720918 FBN720918 FLJ720918 FVF720918 GFB720918 GOX720918 GYT720918 HIP720918 HSL720918 ICH720918 IMD720918 IVZ720918 JFV720918 JPR720918 JZN720918 KJJ720918 KTF720918 LDB720918 LMX720918 LWT720918 MGP720918 MQL720918 NAH720918 NKD720918 NTZ720918 ODV720918 ONR720918 OXN720918 PHJ720918 PRF720918 QBB720918 QKX720918 QUT720918 REP720918 ROL720918 RYH720918 SID720918 SRZ720918 TBV720918 TLR720918 TVN720918 UFJ720918 UPF720918 UZB720918 VIX720918 VST720918 WCP720918 WML720918 WWH720918 Z786454 JV786454 TR786454 ADN786454 ANJ786454 AXF786454 BHB786454 BQX786454 CAT786454 CKP786454 CUL786454 DEH786454 DOD786454 DXZ786454 EHV786454 ERR786454 FBN786454 FLJ786454 FVF786454 GFB786454 GOX786454 GYT786454 HIP786454 HSL786454 ICH786454 IMD786454 IVZ786454 JFV786454 JPR786454 JZN786454 KJJ786454 KTF786454 LDB786454 LMX786454 LWT786454 MGP786454 MQL786454 NAH786454 NKD786454 NTZ786454 ODV786454 ONR786454 OXN786454 PHJ786454 PRF786454 QBB786454 QKX786454 QUT786454 REP786454 ROL786454 RYH786454 SID786454 SRZ786454 TBV786454 TLR786454 TVN786454 UFJ786454 UPF786454 UZB786454 VIX786454 VST786454 WCP786454 WML786454 WWH786454 Z851990 JV851990 TR851990 ADN851990 ANJ851990 AXF851990 BHB851990 BQX851990 CAT851990 CKP851990 CUL851990 DEH851990 DOD851990 DXZ851990 EHV851990 ERR851990 FBN851990 FLJ851990 FVF851990 GFB851990 GOX851990 GYT851990 HIP851990 HSL851990 ICH851990 IMD851990 IVZ851990 JFV851990 JPR851990 JZN851990 KJJ851990 KTF851990 LDB851990 LMX851990 LWT851990 MGP851990 MQL851990 NAH851990 NKD851990 NTZ851990 ODV851990 ONR851990 OXN851990 PHJ851990 PRF851990 QBB851990 QKX851990 QUT851990 REP851990 ROL851990 RYH851990 SID851990 SRZ851990 TBV851990 TLR851990 TVN851990 UFJ851990 UPF851990 UZB851990 VIX851990 VST851990 WCP851990 WML851990 WWH851990 Z917526 JV917526 TR917526 ADN917526 ANJ917526 AXF917526 BHB917526 BQX917526 CAT917526 CKP917526 CUL917526 DEH917526 DOD917526 DXZ917526 EHV917526 ERR917526 FBN917526 FLJ917526 FVF917526 GFB917526 GOX917526 GYT917526 HIP917526 HSL917526 ICH917526 IMD917526 IVZ917526 JFV917526 JPR917526 JZN917526 KJJ917526 KTF917526 LDB917526 LMX917526 LWT917526 MGP917526 MQL917526 NAH917526 NKD917526 NTZ917526 ODV917526 ONR917526 OXN917526 PHJ917526 PRF917526 QBB917526 QKX917526 QUT917526 REP917526 ROL917526 RYH917526 SID917526 SRZ917526 TBV917526 TLR917526 TVN917526 UFJ917526 UPF917526 UZB917526 VIX917526 VST917526 WCP917526 WML917526 WWH917526 Z983062 JV983062 TR983062 ADN983062 ANJ983062 AXF983062 BHB983062 BQX983062 CAT983062 CKP983062 CUL983062 DEH983062 DOD983062 DXZ983062 EHV983062 ERR983062 FBN983062 FLJ983062 FVF983062 GFB983062 GOX983062 GYT983062 HIP983062 HSL983062 ICH983062 IMD983062 IVZ983062 JFV983062 JPR983062 JZN983062 KJJ983062 KTF983062 LDB983062 LMX983062 LWT983062 MGP983062 MQL983062 NAH983062 NKD983062 NTZ983062 ODV983062 ONR983062 OXN983062 PHJ983062 PRF983062 QBB983062 QKX983062 QUT983062 REP983062 ROL983062 RYH983062 SID983062 SRZ983062 TBV983062 TLR983062 TVN983062 UFJ983062 UPF983062 UZB983062 VIX983062 VST983062 WCP983062 WML983062 WWH983062 Z20 JV20 TR20 ADN20 ANJ20 AXF20 BHB20 BQX20 CAT20 CKP20 CUL20 DEH20 DOD20 DXZ20 EHV20 ERR20 FBN20 FLJ20 FVF20 GFB20 GOX20 GYT20 HIP20 HSL20 ICH20 IMD20 IVZ20 JFV20 JPR20 JZN20 KJJ20 KTF20 LDB20 LMX20 LWT20 MGP20 MQL20 NAH20 NKD20 NTZ20 ODV20 ONR20 OXN20 PHJ20 PRF20 QBB20 QKX20 QUT20 REP20 ROL20 RYH20 SID20 SRZ20 TBV20 TLR20 TVN20 UFJ20 UPF20 UZB20 VIX20 VST20 WCP20 WML20 WWH20 Z65556 JV65556 TR65556 ADN65556 ANJ65556 AXF65556 BHB65556 BQX65556 CAT65556 CKP65556 CUL65556 DEH65556 DOD65556 DXZ65556 EHV65556 ERR65556 FBN65556 FLJ65556 FVF65556 GFB65556 GOX65556 GYT65556 HIP65556 HSL65556 ICH65556 IMD65556 IVZ65556 JFV65556 JPR65556 JZN65556 KJJ65556 KTF65556 LDB65556 LMX65556 LWT65556 MGP65556 MQL65556 NAH65556 NKD65556 NTZ65556 ODV65556 ONR65556 OXN65556 PHJ65556 PRF65556 QBB65556 QKX65556 QUT65556 REP65556 ROL65556 RYH65556 SID65556 SRZ65556 TBV65556 TLR65556 TVN65556 UFJ65556 UPF65556 UZB65556 VIX65556 VST65556 WCP65556 WML65556 WWH65556 Z131092 JV131092 TR131092 ADN131092 ANJ131092 AXF131092 BHB131092 BQX131092 CAT131092 CKP131092 CUL131092 DEH131092 DOD131092 DXZ131092 EHV131092 ERR131092 FBN131092 FLJ131092 FVF131092 GFB131092 GOX131092 GYT131092 HIP131092 HSL131092 ICH131092 IMD131092 IVZ131092 JFV131092 JPR131092 JZN131092 KJJ131092 KTF131092 LDB131092 LMX131092 LWT131092 MGP131092 MQL131092 NAH131092 NKD131092 NTZ131092 ODV131092 ONR131092 OXN131092 PHJ131092 PRF131092 QBB131092 QKX131092 QUT131092 REP131092 ROL131092 RYH131092 SID131092 SRZ131092 TBV131092 TLR131092 TVN131092 UFJ131092 UPF131092 UZB131092 VIX131092 VST131092 WCP131092 WML131092 WWH131092 Z196628 JV196628 TR196628 ADN196628 ANJ196628 AXF196628 BHB196628 BQX196628 CAT196628 CKP196628 CUL196628 DEH196628 DOD196628 DXZ196628 EHV196628 ERR196628 FBN196628 FLJ196628 FVF196628 GFB196628 GOX196628 GYT196628 HIP196628 HSL196628 ICH196628 IMD196628 IVZ196628 JFV196628 JPR196628 JZN196628 KJJ196628 KTF196628 LDB196628 LMX196628 LWT196628 MGP196628 MQL196628 NAH196628 NKD196628 NTZ196628 ODV196628 ONR196628 OXN196628 PHJ196628 PRF196628 QBB196628 QKX196628 QUT196628 REP196628 ROL196628 RYH196628 SID196628 SRZ196628 TBV196628 TLR196628 TVN196628 UFJ196628 UPF196628 UZB196628 VIX196628 VST196628 WCP196628 WML196628 WWH196628 Z262164 JV262164 TR262164 ADN262164 ANJ262164 AXF262164 BHB262164 BQX262164 CAT262164 CKP262164 CUL262164 DEH262164 DOD262164 DXZ262164 EHV262164 ERR262164 FBN262164 FLJ262164 FVF262164 GFB262164 GOX262164 GYT262164 HIP262164 HSL262164 ICH262164 IMD262164 IVZ262164 JFV262164 JPR262164 JZN262164 KJJ262164 KTF262164 LDB262164 LMX262164 LWT262164 MGP262164 MQL262164 NAH262164 NKD262164 NTZ262164 ODV262164 ONR262164 OXN262164 PHJ262164 PRF262164 QBB262164 QKX262164 QUT262164 REP262164 ROL262164 RYH262164 SID262164 SRZ262164 TBV262164 TLR262164 TVN262164 UFJ262164 UPF262164 UZB262164 VIX262164 VST262164 WCP262164 WML262164 WWH262164 Z327700 JV327700 TR327700 ADN327700 ANJ327700 AXF327700 BHB327700 BQX327700 CAT327700 CKP327700 CUL327700 DEH327700 DOD327700 DXZ327700 EHV327700 ERR327700 FBN327700 FLJ327700 FVF327700 GFB327700 GOX327700 GYT327700 HIP327700 HSL327700 ICH327700 IMD327700 IVZ327700 JFV327700 JPR327700 JZN327700 KJJ327700 KTF327700 LDB327700 LMX327700 LWT327700 MGP327700 MQL327700 NAH327700 NKD327700 NTZ327700 ODV327700 ONR327700 OXN327700 PHJ327700 PRF327700 QBB327700 QKX327700 QUT327700 REP327700 ROL327700 RYH327700 SID327700 SRZ327700 TBV327700 TLR327700 TVN327700 UFJ327700 UPF327700 UZB327700 VIX327700 VST327700 WCP327700 WML327700 WWH327700 Z393236 JV393236 TR393236 ADN393236 ANJ393236 AXF393236 BHB393236 BQX393236 CAT393236 CKP393236 CUL393236 DEH393236 DOD393236 DXZ393236 EHV393236 ERR393236 FBN393236 FLJ393236 FVF393236 GFB393236 GOX393236 GYT393236 HIP393236 HSL393236 ICH393236 IMD393236 IVZ393236 JFV393236 JPR393236 JZN393236 KJJ393236 KTF393236 LDB393236 LMX393236 LWT393236 MGP393236 MQL393236 NAH393236 NKD393236 NTZ393236 ODV393236 ONR393236 OXN393236 PHJ393236 PRF393236 QBB393236 QKX393236 QUT393236 REP393236 ROL393236 RYH393236 SID393236 SRZ393236 TBV393236 TLR393236 TVN393236 UFJ393236 UPF393236 UZB393236 VIX393236 VST393236 WCP393236 WML393236 WWH393236 Z458772 JV458772 TR458772 ADN458772 ANJ458772 AXF458772 BHB458772 BQX458772 CAT458772 CKP458772 CUL458772 DEH458772 DOD458772 DXZ458772 EHV458772 ERR458772 FBN458772 FLJ458772 FVF458772 GFB458772 GOX458772 GYT458772 HIP458772 HSL458772 ICH458772 IMD458772 IVZ458772 JFV458772 JPR458772 JZN458772 KJJ458772 KTF458772 LDB458772 LMX458772 LWT458772 MGP458772 MQL458772 NAH458772 NKD458772 NTZ458772 ODV458772 ONR458772 OXN458772 PHJ458772 PRF458772 QBB458772 QKX458772 QUT458772 REP458772 ROL458772 RYH458772 SID458772 SRZ458772 TBV458772 TLR458772 TVN458772 UFJ458772 UPF458772 UZB458772 VIX458772 VST458772 WCP458772 WML458772 WWH458772 Z524308 JV524308 TR524308 ADN524308 ANJ524308 AXF524308 BHB524308 BQX524308 CAT524308 CKP524308 CUL524308 DEH524308 DOD524308 DXZ524308 EHV524308 ERR524308 FBN524308 FLJ524308 FVF524308 GFB524308 GOX524308 GYT524308 HIP524308 HSL524308 ICH524308 IMD524308 IVZ524308 JFV524308 JPR524308 JZN524308 KJJ524308 KTF524308 LDB524308 LMX524308 LWT524308 MGP524308 MQL524308 NAH524308 NKD524308 NTZ524308 ODV524308 ONR524308 OXN524308 PHJ524308 PRF524308 QBB524308 QKX524308 QUT524308 REP524308 ROL524308 RYH524308 SID524308 SRZ524308 TBV524308 TLR524308 TVN524308 UFJ524308 UPF524308 UZB524308 VIX524308 VST524308 WCP524308 WML524308 WWH524308 Z589844 JV589844 TR589844 ADN589844 ANJ589844 AXF589844 BHB589844 BQX589844 CAT589844 CKP589844 CUL589844 DEH589844 DOD589844 DXZ589844 EHV589844 ERR589844 FBN589844 FLJ589844 FVF589844 GFB589844 GOX589844 GYT589844 HIP589844 HSL589844 ICH589844 IMD589844 IVZ589844 JFV589844 JPR589844 JZN589844 KJJ589844 KTF589844 LDB589844 LMX589844 LWT589844 MGP589844 MQL589844 NAH589844 NKD589844 NTZ589844 ODV589844 ONR589844 OXN589844 PHJ589844 PRF589844 QBB589844 QKX589844 QUT589844 REP589844 ROL589844 RYH589844 SID589844 SRZ589844 TBV589844 TLR589844 TVN589844 UFJ589844 UPF589844 UZB589844 VIX589844 VST589844 WCP589844 WML589844 WWH589844 Z655380 JV655380 TR655380 ADN655380 ANJ655380 AXF655380 BHB655380 BQX655380 CAT655380 CKP655380 CUL655380 DEH655380 DOD655380 DXZ655380 EHV655380 ERR655380 FBN655380 FLJ655380 FVF655380 GFB655380 GOX655380 GYT655380 HIP655380 HSL655380 ICH655380 IMD655380 IVZ655380 JFV655380 JPR655380 JZN655380 KJJ655380 KTF655380 LDB655380 LMX655380 LWT655380 MGP655380 MQL655380 NAH655380 NKD655380 NTZ655380 ODV655380 ONR655380 OXN655380 PHJ655380 PRF655380 QBB655380 QKX655380 QUT655380 REP655380 ROL655380 RYH655380 SID655380 SRZ655380 TBV655380 TLR655380 TVN655380 UFJ655380 UPF655380 UZB655380 VIX655380 VST655380 WCP655380 WML655380 WWH655380 Z720916 JV720916 TR720916 ADN720916 ANJ720916 AXF720916 BHB720916 BQX720916 CAT720916 CKP720916 CUL720916 DEH720916 DOD720916 DXZ720916 EHV720916 ERR720916 FBN720916 FLJ720916 FVF720916 GFB720916 GOX720916 GYT720916 HIP720916 HSL720916 ICH720916 IMD720916 IVZ720916 JFV720916 JPR720916 JZN720916 KJJ720916 KTF720916 LDB720916 LMX720916 LWT720916 MGP720916 MQL720916 NAH720916 NKD720916 NTZ720916 ODV720916 ONR720916 OXN720916 PHJ720916 PRF720916 QBB720916 QKX720916 QUT720916 REP720916 ROL720916 RYH720916 SID720916 SRZ720916 TBV720916 TLR720916 TVN720916 UFJ720916 UPF720916 UZB720916 VIX720916 VST720916 WCP720916 WML720916 WWH720916 Z786452 JV786452 TR786452 ADN786452 ANJ786452 AXF786452 BHB786452 BQX786452 CAT786452 CKP786452 CUL786452 DEH786452 DOD786452 DXZ786452 EHV786452 ERR786452 FBN786452 FLJ786452 FVF786452 GFB786452 GOX786452 GYT786452 HIP786452 HSL786452 ICH786452 IMD786452 IVZ786452 JFV786452 JPR786452 JZN786452 KJJ786452 KTF786452 LDB786452 LMX786452 LWT786452 MGP786452 MQL786452 NAH786452 NKD786452 NTZ786452 ODV786452 ONR786452 OXN786452 PHJ786452 PRF786452 QBB786452 QKX786452 QUT786452 REP786452 ROL786452 RYH786452 SID786452 SRZ786452 TBV786452 TLR786452 TVN786452 UFJ786452 UPF786452 UZB786452 VIX786452 VST786452 WCP786452 WML786452 WWH786452 Z851988 JV851988 TR851988 ADN851988 ANJ851988 AXF851988 BHB851988 BQX851988 CAT851988 CKP851988 CUL851988 DEH851988 DOD851988 DXZ851988 EHV851988 ERR851988 FBN851988 FLJ851988 FVF851988 GFB851988 GOX851988 GYT851988 HIP851988 HSL851988 ICH851988 IMD851988 IVZ851988 JFV851988 JPR851988 JZN851988 KJJ851988 KTF851988 LDB851988 LMX851988 LWT851988 MGP851988 MQL851988 NAH851988 NKD851988 NTZ851988 ODV851988 ONR851988 OXN851988 PHJ851988 PRF851988 QBB851988 QKX851988 QUT851988 REP851988 ROL851988 RYH851988 SID851988 SRZ851988 TBV851988 TLR851988 TVN851988 UFJ851988 UPF851988 UZB851988 VIX851988 VST851988 WCP851988 WML851988 WWH851988 Z917524 JV917524 TR917524 ADN917524 ANJ917524 AXF917524 BHB917524 BQX917524 CAT917524 CKP917524 CUL917524 DEH917524 DOD917524 DXZ917524 EHV917524 ERR917524 FBN917524 FLJ917524 FVF917524 GFB917524 GOX917524 GYT917524 HIP917524 HSL917524 ICH917524 IMD917524 IVZ917524 JFV917524 JPR917524 JZN917524 KJJ917524 KTF917524 LDB917524 LMX917524 LWT917524 MGP917524 MQL917524 NAH917524 NKD917524 NTZ917524 ODV917524 ONR917524 OXN917524 PHJ917524 PRF917524 QBB917524 QKX917524 QUT917524 REP917524 ROL917524 RYH917524 SID917524 SRZ917524 TBV917524 TLR917524 TVN917524 UFJ917524 UPF917524 UZB917524 VIX917524 VST917524 WCP917524 WML917524 WWH917524 Z983060 JV983060 TR983060 ADN983060 ANJ983060 AXF983060 BHB983060 BQX983060 CAT983060 CKP983060 CUL983060 DEH983060 DOD983060 DXZ983060 EHV983060 ERR983060 FBN983060 FLJ983060 FVF983060 GFB983060 GOX983060 GYT983060 HIP983060 HSL983060 ICH983060 IMD983060 IVZ983060 JFV983060 JPR983060 JZN983060 KJJ983060 KTF983060 LDB983060 LMX983060 LWT983060 MGP983060 MQL983060 NAH983060 NKD983060 NTZ983060 ODV983060 ONR983060 OXN983060 PHJ983060 PRF983060 QBB983060 QKX983060 QUT983060 REP983060 ROL983060 RYH983060 SID983060 SRZ983060 TBV983060 TLR983060 TVN983060 UFJ983060 UPF983060 UZB983060 VIX983060 VST983060 WCP983060 WML983060 WWH983060 Z18 JV18 TR18 ADN18 ANJ18 AXF18 BHB18 BQX18 CAT18 CKP18 CUL18 DEH18 DOD18 DXZ18 EHV18 ERR18 FBN18 FLJ18 FVF18 GFB18 GOX18 GYT18 HIP18 HSL18 ICH18 IMD18 IVZ18 JFV18 JPR18 JZN18 KJJ18 KTF18 LDB18 LMX18 LWT18 MGP18 MQL18 NAH18 NKD18 NTZ18 ODV18 ONR18 OXN18 PHJ18 PRF18 QBB18 QKX18 QUT18 REP18 ROL18 RYH18 SID18 SRZ18 TBV18 TLR18 TVN18 UFJ18 UPF18 UZB18 VIX18 VST18 WCP18 WML18 WWH18 Z65554 JV65554 TR65554 ADN65554 ANJ65554 AXF65554 BHB65554 BQX65554 CAT65554 CKP65554 CUL65554 DEH65554 DOD65554 DXZ65554 EHV65554 ERR65554 FBN65554 FLJ65554 FVF65554 GFB65554 GOX65554 GYT65554 HIP65554 HSL65554 ICH65554 IMD65554 IVZ65554 JFV65554 JPR65554 JZN65554 KJJ65554 KTF65554 LDB65554 LMX65554 LWT65554 MGP65554 MQL65554 NAH65554 NKD65554 NTZ65554 ODV65554 ONR65554 OXN65554 PHJ65554 PRF65554 QBB65554 QKX65554 QUT65554 REP65554 ROL65554 RYH65554 SID65554 SRZ65554 TBV65554 TLR65554 TVN65554 UFJ65554 UPF65554 UZB65554 VIX65554 VST65554 WCP65554 WML65554 WWH65554 Z131090 JV131090 TR131090 ADN131090 ANJ131090 AXF131090 BHB131090 BQX131090 CAT131090 CKP131090 CUL131090 DEH131090 DOD131090 DXZ131090 EHV131090 ERR131090 FBN131090 FLJ131090 FVF131090 GFB131090 GOX131090 GYT131090 HIP131090 HSL131090 ICH131090 IMD131090 IVZ131090 JFV131090 JPR131090 JZN131090 KJJ131090 KTF131090 LDB131090 LMX131090 LWT131090 MGP131090 MQL131090 NAH131090 NKD131090 NTZ131090 ODV131090 ONR131090 OXN131090 PHJ131090 PRF131090 QBB131090 QKX131090 QUT131090 REP131090 ROL131090 RYH131090 SID131090 SRZ131090 TBV131090 TLR131090 TVN131090 UFJ131090 UPF131090 UZB131090 VIX131090 VST131090 WCP131090 WML131090 WWH131090 Z196626 JV196626 TR196626 ADN196626 ANJ196626 AXF196626 BHB196626 BQX196626 CAT196626 CKP196626 CUL196626 DEH196626 DOD196626 DXZ196626 EHV196626 ERR196626 FBN196626 FLJ196626 FVF196626 GFB196626 GOX196626 GYT196626 HIP196626 HSL196626 ICH196626 IMD196626 IVZ196626 JFV196626 JPR196626 JZN196626 KJJ196626 KTF196626 LDB196626 LMX196626 LWT196626 MGP196626 MQL196626 NAH196626 NKD196626 NTZ196626 ODV196626 ONR196626 OXN196626 PHJ196626 PRF196626 QBB196626 QKX196626 QUT196626 REP196626 ROL196626 RYH196626 SID196626 SRZ196626 TBV196626 TLR196626 TVN196626 UFJ196626 UPF196626 UZB196626 VIX196626 VST196626 WCP196626 WML196626 WWH196626 Z262162 JV262162 TR262162 ADN262162 ANJ262162 AXF262162 BHB262162 BQX262162 CAT262162 CKP262162 CUL262162 DEH262162 DOD262162 DXZ262162 EHV262162 ERR262162 FBN262162 FLJ262162 FVF262162 GFB262162 GOX262162 GYT262162 HIP262162 HSL262162 ICH262162 IMD262162 IVZ262162 JFV262162 JPR262162 JZN262162 KJJ262162 KTF262162 LDB262162 LMX262162 LWT262162 MGP262162 MQL262162 NAH262162 NKD262162 NTZ262162 ODV262162 ONR262162 OXN262162 PHJ262162 PRF262162 QBB262162 QKX262162 QUT262162 REP262162 ROL262162 RYH262162 SID262162 SRZ262162 TBV262162 TLR262162 TVN262162 UFJ262162 UPF262162 UZB262162 VIX262162 VST262162 WCP262162 WML262162 WWH262162 Z327698 JV327698 TR327698 ADN327698 ANJ327698 AXF327698 BHB327698 BQX327698 CAT327698 CKP327698 CUL327698 DEH327698 DOD327698 DXZ327698 EHV327698 ERR327698 FBN327698 FLJ327698 FVF327698 GFB327698 GOX327698 GYT327698 HIP327698 HSL327698 ICH327698 IMD327698 IVZ327698 JFV327698 JPR327698 JZN327698 KJJ327698 KTF327698 LDB327698 LMX327698 LWT327698 MGP327698 MQL327698 NAH327698 NKD327698 NTZ327698 ODV327698 ONR327698 OXN327698 PHJ327698 PRF327698 QBB327698 QKX327698 QUT327698 REP327698 ROL327698 RYH327698 SID327698 SRZ327698 TBV327698 TLR327698 TVN327698 UFJ327698 UPF327698 UZB327698 VIX327698 VST327698 WCP327698 WML327698 WWH327698 Z393234 JV393234 TR393234 ADN393234 ANJ393234 AXF393234 BHB393234 BQX393234 CAT393234 CKP393234 CUL393234 DEH393234 DOD393234 DXZ393234 EHV393234 ERR393234 FBN393234 FLJ393234 FVF393234 GFB393234 GOX393234 GYT393234 HIP393234 HSL393234 ICH393234 IMD393234 IVZ393234 JFV393234 JPR393234 JZN393234 KJJ393234 KTF393234 LDB393234 LMX393234 LWT393234 MGP393234 MQL393234 NAH393234 NKD393234 NTZ393234 ODV393234 ONR393234 OXN393234 PHJ393234 PRF393234 QBB393234 QKX393234 QUT393234 REP393234 ROL393234 RYH393234 SID393234 SRZ393234 TBV393234 TLR393234 TVN393234 UFJ393234 UPF393234 UZB393234 VIX393234 VST393234 WCP393234 WML393234 WWH393234 Z458770 JV458770 TR458770 ADN458770 ANJ458770 AXF458770 BHB458770 BQX458770 CAT458770 CKP458770 CUL458770 DEH458770 DOD458770 DXZ458770 EHV458770 ERR458770 FBN458770 FLJ458770 FVF458770 GFB458770 GOX458770 GYT458770 HIP458770 HSL458770 ICH458770 IMD458770 IVZ458770 JFV458770 JPR458770 JZN458770 KJJ458770 KTF458770 LDB458770 LMX458770 LWT458770 MGP458770 MQL458770 NAH458770 NKD458770 NTZ458770 ODV458770 ONR458770 OXN458770 PHJ458770 PRF458770 QBB458770 QKX458770 QUT458770 REP458770 ROL458770 RYH458770 SID458770 SRZ458770 TBV458770 TLR458770 TVN458770 UFJ458770 UPF458770 UZB458770 VIX458770 VST458770 WCP458770 WML458770 WWH458770 Z524306 JV524306 TR524306 ADN524306 ANJ524306 AXF524306 BHB524306 BQX524306 CAT524306 CKP524306 CUL524306 DEH524306 DOD524306 DXZ524306 EHV524306 ERR524306 FBN524306 FLJ524306 FVF524306 GFB524306 GOX524306 GYT524306 HIP524306 HSL524306 ICH524306 IMD524306 IVZ524306 JFV524306 JPR524306 JZN524306 KJJ524306 KTF524306 LDB524306 LMX524306 LWT524306 MGP524306 MQL524306 NAH524306 NKD524306 NTZ524306 ODV524306 ONR524306 OXN524306 PHJ524306 PRF524306 QBB524306 QKX524306 QUT524306 REP524306 ROL524306 RYH524306 SID524306 SRZ524306 TBV524306 TLR524306 TVN524306 UFJ524306 UPF524306 UZB524306 VIX524306 VST524306 WCP524306 WML524306 WWH524306 Z589842 JV589842 TR589842 ADN589842 ANJ589842 AXF589842 BHB589842 BQX589842 CAT589842 CKP589842 CUL589842 DEH589842 DOD589842 DXZ589842 EHV589842 ERR589842 FBN589842 FLJ589842 FVF589842 GFB589842 GOX589842 GYT589842 HIP589842 HSL589842 ICH589842 IMD589842 IVZ589842 JFV589842 JPR589842 JZN589842 KJJ589842 KTF589842 LDB589842 LMX589842 LWT589842 MGP589842 MQL589842 NAH589842 NKD589842 NTZ589842 ODV589842 ONR589842 OXN589842 PHJ589842 PRF589842 QBB589842 QKX589842 QUT589842 REP589842 ROL589842 RYH589842 SID589842 SRZ589842 TBV589842 TLR589842 TVN589842 UFJ589842 UPF589842 UZB589842 VIX589842 VST589842 WCP589842 WML589842 WWH589842 Z655378 JV655378 TR655378 ADN655378 ANJ655378 AXF655378 BHB655378 BQX655378 CAT655378 CKP655378 CUL655378 DEH655378 DOD655378 DXZ655378 EHV655378 ERR655378 FBN655378 FLJ655378 FVF655378 GFB655378 GOX655378 GYT655378 HIP655378 HSL655378 ICH655378 IMD655378 IVZ655378 JFV655378 JPR655378 JZN655378 KJJ655378 KTF655378 LDB655378 LMX655378 LWT655378 MGP655378 MQL655378 NAH655378 NKD655378 NTZ655378 ODV655378 ONR655378 OXN655378 PHJ655378 PRF655378 QBB655378 QKX655378 QUT655378 REP655378 ROL655378 RYH655378 SID655378 SRZ655378 TBV655378 TLR655378 TVN655378 UFJ655378 UPF655378 UZB655378 VIX655378 VST655378 WCP655378 WML655378 WWH655378 Z720914 JV720914 TR720914 ADN720914 ANJ720914 AXF720914 BHB720914 BQX720914 CAT720914 CKP720914 CUL720914 DEH720914 DOD720914 DXZ720914 EHV720914 ERR720914 FBN720914 FLJ720914 FVF720914 GFB720914 GOX720914 GYT720914 HIP720914 HSL720914 ICH720914 IMD720914 IVZ720914 JFV720914 JPR720914 JZN720914 KJJ720914 KTF720914 LDB720914 LMX720914 LWT720914 MGP720914 MQL720914 NAH720914 NKD720914 NTZ720914 ODV720914 ONR720914 OXN720914 PHJ720914 PRF720914 QBB720914 QKX720914 QUT720914 REP720914 ROL720914 RYH720914 SID720914 SRZ720914 TBV720914 TLR720914 TVN720914 UFJ720914 UPF720914 UZB720914 VIX720914 VST720914 WCP720914 WML720914 WWH720914 Z786450 JV786450 TR786450 ADN786450 ANJ786450 AXF786450 BHB786450 BQX786450 CAT786450 CKP786450 CUL786450 DEH786450 DOD786450 DXZ786450 EHV786450 ERR786450 FBN786450 FLJ786450 FVF786450 GFB786450 GOX786450 GYT786450 HIP786450 HSL786450 ICH786450 IMD786450 IVZ786450 JFV786450 JPR786450 JZN786450 KJJ786450 KTF786450 LDB786450 LMX786450 LWT786450 MGP786450 MQL786450 NAH786450 NKD786450 NTZ786450 ODV786450 ONR786450 OXN786450 PHJ786450 PRF786450 QBB786450 QKX786450 QUT786450 REP786450 ROL786450 RYH786450 SID786450 SRZ786450 TBV786450 TLR786450 TVN786450 UFJ786450 UPF786450 UZB786450 VIX786450 VST786450 WCP786450 WML786450 WWH786450 Z851986 JV851986 TR851986 ADN851986 ANJ851986 AXF851986 BHB851986 BQX851986 CAT851986 CKP851986 CUL851986 DEH851986 DOD851986 DXZ851986 EHV851986 ERR851986 FBN851986 FLJ851986 FVF851986 GFB851986 GOX851986 GYT851986 HIP851986 HSL851986 ICH851986 IMD851986 IVZ851986 JFV851986 JPR851986 JZN851986 KJJ851986 KTF851986 LDB851986 LMX851986 LWT851986 MGP851986 MQL851986 NAH851986 NKD851986 NTZ851986 ODV851986 ONR851986 OXN851986 PHJ851986 PRF851986 QBB851986 QKX851986 QUT851986 REP851986 ROL851986 RYH851986 SID851986 SRZ851986 TBV851986 TLR851986 TVN851986 UFJ851986 UPF851986 UZB851986 VIX851986 VST851986 WCP851986 WML851986 WWH851986 Z917522 JV917522 TR917522 ADN917522 ANJ917522 AXF917522 BHB917522 BQX917522 CAT917522 CKP917522 CUL917522 DEH917522 DOD917522 DXZ917522 EHV917522 ERR917522 FBN917522 FLJ917522 FVF917522 GFB917522 GOX917522 GYT917522 HIP917522 HSL917522 ICH917522 IMD917522 IVZ917522 JFV917522 JPR917522 JZN917522 KJJ917522 KTF917522 LDB917522 LMX917522 LWT917522 MGP917522 MQL917522 NAH917522 NKD917522 NTZ917522 ODV917522 ONR917522 OXN917522 PHJ917522 PRF917522 QBB917522 QKX917522 QUT917522 REP917522 ROL917522 RYH917522 SID917522 SRZ917522 TBV917522 TLR917522 TVN917522 UFJ917522 UPF917522 UZB917522 VIX917522 VST917522 WCP917522 WML917522 WWH917522 Z983058 JV983058 TR983058 ADN983058 ANJ983058 AXF983058 BHB983058 BQX983058 CAT983058 CKP983058 CUL983058 DEH983058 DOD983058 DXZ983058 EHV983058 ERR983058 FBN983058 FLJ983058 FVF983058 GFB983058 GOX983058 GYT983058 HIP983058 HSL983058 ICH983058 IMD983058 IVZ983058 JFV983058 JPR983058 JZN983058 KJJ983058 KTF983058 LDB983058 LMX983058 LWT983058 MGP983058 MQL983058 NAH983058 NKD983058 NTZ983058 ODV983058 ONR983058 OXN983058 PHJ983058 PRF983058 QBB983058 QKX983058 QUT983058 REP983058 ROL983058 RYH983058 SID983058 SRZ983058 TBV983058 TLR983058 TVN983058 UFJ983058 UPF983058 UZB983058 VIX983058 VST983058 WCP983058 WML983058 WWH983058 Z16 JV16 TR16 ADN16 ANJ16 AXF16 BHB16 BQX16 CAT16 CKP16 CUL16 DEH16 DOD16 DXZ16 EHV16 ERR16 FBN16 FLJ16 FVF16 GFB16 GOX16 GYT16 HIP16 HSL16 ICH16 IMD16 IVZ16 JFV16 JPR16 JZN16 KJJ16 KTF16 LDB16 LMX16 LWT16 MGP16 MQL16 NAH16 NKD16 NTZ16 ODV16 ONR16 OXN16 PHJ16 PRF16 QBB16 QKX16 QUT16 REP16 ROL16 RYH16 SID16 SRZ16 TBV16 TLR16 TVN16 UFJ16 UPF16 UZB16 VIX16 VST16 WCP16 WML16 WWH16 Z65552 JV65552 TR65552 ADN65552 ANJ65552 AXF65552 BHB65552 BQX65552 CAT65552 CKP65552 CUL65552 DEH65552 DOD65552 DXZ65552 EHV65552 ERR65552 FBN65552 FLJ65552 FVF65552 GFB65552 GOX65552 GYT65552 HIP65552 HSL65552 ICH65552 IMD65552 IVZ65552 JFV65552 JPR65552 JZN65552 KJJ65552 KTF65552 LDB65552 LMX65552 LWT65552 MGP65552 MQL65552 NAH65552 NKD65552 NTZ65552 ODV65552 ONR65552 OXN65552 PHJ65552 PRF65552 QBB65552 QKX65552 QUT65552 REP65552 ROL65552 RYH65552 SID65552 SRZ65552 TBV65552 TLR65552 TVN65552 UFJ65552 UPF65552 UZB65552 VIX65552 VST65552 WCP65552 WML65552 WWH65552 Z131088 JV131088 TR131088 ADN131088 ANJ131088 AXF131088 BHB131088 BQX131088 CAT131088 CKP131088 CUL131088 DEH131088 DOD131088 DXZ131088 EHV131088 ERR131088 FBN131088 FLJ131088 FVF131088 GFB131088 GOX131088 GYT131088 HIP131088 HSL131088 ICH131088 IMD131088 IVZ131088 JFV131088 JPR131088 JZN131088 KJJ131088 KTF131088 LDB131088 LMX131088 LWT131088 MGP131088 MQL131088 NAH131088 NKD131088 NTZ131088 ODV131088 ONR131088 OXN131088 PHJ131088 PRF131088 QBB131088 QKX131088 QUT131088 REP131088 ROL131088 RYH131088 SID131088 SRZ131088 TBV131088 TLR131088 TVN131088 UFJ131088 UPF131088 UZB131088 VIX131088 VST131088 WCP131088 WML131088 WWH131088 Z196624 JV196624 TR196624 ADN196624 ANJ196624 AXF196624 BHB196624 BQX196624 CAT196624 CKP196624 CUL196624 DEH196624 DOD196624 DXZ196624 EHV196624 ERR196624 FBN196624 FLJ196624 FVF196624 GFB196624 GOX196624 GYT196624 HIP196624 HSL196624 ICH196624 IMD196624 IVZ196624 JFV196624 JPR196624 JZN196624 KJJ196624 KTF196624 LDB196624 LMX196624 LWT196624 MGP196624 MQL196624 NAH196624 NKD196624 NTZ196624 ODV196624 ONR196624 OXN196624 PHJ196624 PRF196624 QBB196624 QKX196624 QUT196624 REP196624 ROL196624 RYH196624 SID196624 SRZ196624 TBV196624 TLR196624 TVN196624 UFJ196624 UPF196624 UZB196624 VIX196624 VST196624 WCP196624 WML196624 WWH196624 Z262160 JV262160 TR262160 ADN262160 ANJ262160 AXF262160 BHB262160 BQX262160 CAT262160 CKP262160 CUL262160 DEH262160 DOD262160 DXZ262160 EHV262160 ERR262160 FBN262160 FLJ262160 FVF262160 GFB262160 GOX262160 GYT262160 HIP262160 HSL262160 ICH262160 IMD262160 IVZ262160 JFV262160 JPR262160 JZN262160 KJJ262160 KTF262160 LDB262160 LMX262160 LWT262160 MGP262160 MQL262160 NAH262160 NKD262160 NTZ262160 ODV262160 ONR262160 OXN262160 PHJ262160 PRF262160 QBB262160 QKX262160 QUT262160 REP262160 ROL262160 RYH262160 SID262160 SRZ262160 TBV262160 TLR262160 TVN262160 UFJ262160 UPF262160 UZB262160 VIX262160 VST262160 WCP262160 WML262160 WWH262160 Z327696 JV327696 TR327696 ADN327696 ANJ327696 AXF327696 BHB327696 BQX327696 CAT327696 CKP327696 CUL327696 DEH327696 DOD327696 DXZ327696 EHV327696 ERR327696 FBN327696 FLJ327696 FVF327696 GFB327696 GOX327696 GYT327696 HIP327696 HSL327696 ICH327696 IMD327696 IVZ327696 JFV327696 JPR327696 JZN327696 KJJ327696 KTF327696 LDB327696 LMX327696 LWT327696 MGP327696 MQL327696 NAH327696 NKD327696 NTZ327696 ODV327696 ONR327696 OXN327696 PHJ327696 PRF327696 QBB327696 QKX327696 QUT327696 REP327696 ROL327696 RYH327696 SID327696 SRZ327696 TBV327696 TLR327696 TVN327696 UFJ327696 UPF327696 UZB327696 VIX327696 VST327696 WCP327696 WML327696 WWH327696 Z393232 JV393232 TR393232 ADN393232 ANJ393232 AXF393232 BHB393232 BQX393232 CAT393232 CKP393232 CUL393232 DEH393232 DOD393232 DXZ393232 EHV393232 ERR393232 FBN393232 FLJ393232 FVF393232 GFB393232 GOX393232 GYT393232 HIP393232 HSL393232 ICH393232 IMD393232 IVZ393232 JFV393232 JPR393232 JZN393232 KJJ393232 KTF393232 LDB393232 LMX393232 LWT393232 MGP393232 MQL393232 NAH393232 NKD393232 NTZ393232 ODV393232 ONR393232 OXN393232 PHJ393232 PRF393232 QBB393232 QKX393232 QUT393232 REP393232 ROL393232 RYH393232 SID393232 SRZ393232 TBV393232 TLR393232 TVN393232 UFJ393232 UPF393232 UZB393232 VIX393232 VST393232 WCP393232 WML393232 WWH393232 Z458768 JV458768 TR458768 ADN458768 ANJ458768 AXF458768 BHB458768 BQX458768 CAT458768 CKP458768 CUL458768 DEH458768 DOD458768 DXZ458768 EHV458768 ERR458768 FBN458768 FLJ458768 FVF458768 GFB458768 GOX458768 GYT458768 HIP458768 HSL458768 ICH458768 IMD458768 IVZ458768 JFV458768 JPR458768 JZN458768 KJJ458768 KTF458768 LDB458768 LMX458768 LWT458768 MGP458768 MQL458768 NAH458768 NKD458768 NTZ458768 ODV458768 ONR458768 OXN458768 PHJ458768 PRF458768 QBB458768 QKX458768 QUT458768 REP458768 ROL458768 RYH458768 SID458768 SRZ458768 TBV458768 TLR458768 TVN458768 UFJ458768 UPF458768 UZB458768 VIX458768 VST458768 WCP458768 WML458768 WWH458768 Z524304 JV524304 TR524304 ADN524304 ANJ524304 AXF524304 BHB524304 BQX524304 CAT524304 CKP524304 CUL524304 DEH524304 DOD524304 DXZ524304 EHV524304 ERR524304 FBN524304 FLJ524304 FVF524304 GFB524304 GOX524304 GYT524304 HIP524304 HSL524304 ICH524304 IMD524304 IVZ524304 JFV524304 JPR524304 JZN524304 KJJ524304 KTF524304 LDB524304 LMX524304 LWT524304 MGP524304 MQL524304 NAH524304 NKD524304 NTZ524304 ODV524304 ONR524304 OXN524304 PHJ524304 PRF524304 QBB524304 QKX524304 QUT524304 REP524304 ROL524304 RYH524304 SID524304 SRZ524304 TBV524304 TLR524304 TVN524304 UFJ524304 UPF524304 UZB524304 VIX524304 VST524304 WCP524304 WML524304 WWH524304 Z589840 JV589840 TR589840 ADN589840 ANJ589840 AXF589840 BHB589840 BQX589840 CAT589840 CKP589840 CUL589840 DEH589840 DOD589840 DXZ589840 EHV589840 ERR589840 FBN589840 FLJ589840 FVF589840 GFB589840 GOX589840 GYT589840 HIP589840 HSL589840 ICH589840 IMD589840 IVZ589840 JFV589840 JPR589840 JZN589840 KJJ589840 KTF589840 LDB589840 LMX589840 LWT589840 MGP589840 MQL589840 NAH589840 NKD589840 NTZ589840 ODV589840 ONR589840 OXN589840 PHJ589840 PRF589840 QBB589840 QKX589840 QUT589840 REP589840 ROL589840 RYH589840 SID589840 SRZ589840 TBV589840 TLR589840 TVN589840 UFJ589840 UPF589840 UZB589840 VIX589840 VST589840 WCP589840 WML589840 WWH589840 Z655376 JV655376 TR655376 ADN655376 ANJ655376 AXF655376 BHB655376 BQX655376 CAT655376 CKP655376 CUL655376 DEH655376 DOD655376 DXZ655376 EHV655376 ERR655376 FBN655376 FLJ655376 FVF655376 GFB655376 GOX655376 GYT655376 HIP655376 HSL655376 ICH655376 IMD655376 IVZ655376 JFV655376 JPR655376 JZN655376 KJJ655376 KTF655376 LDB655376 LMX655376 LWT655376 MGP655376 MQL655376 NAH655376 NKD655376 NTZ655376 ODV655376 ONR655376 OXN655376 PHJ655376 PRF655376 QBB655376 QKX655376 QUT655376 REP655376 ROL655376 RYH655376 SID655376 SRZ655376 TBV655376 TLR655376 TVN655376 UFJ655376 UPF655376 UZB655376 VIX655376 VST655376 WCP655376 WML655376 WWH655376 Z720912 JV720912 TR720912 ADN720912 ANJ720912 AXF720912 BHB720912 BQX720912 CAT720912 CKP720912 CUL720912 DEH720912 DOD720912 DXZ720912 EHV720912 ERR720912 FBN720912 FLJ720912 FVF720912 GFB720912 GOX720912 GYT720912 HIP720912 HSL720912 ICH720912 IMD720912 IVZ720912 JFV720912 JPR720912 JZN720912 KJJ720912 KTF720912 LDB720912 LMX720912 LWT720912 MGP720912 MQL720912 NAH720912 NKD720912 NTZ720912 ODV720912 ONR720912 OXN720912 PHJ720912 PRF720912 QBB720912 QKX720912 QUT720912 REP720912 ROL720912 RYH720912 SID720912 SRZ720912 TBV720912 TLR720912 TVN720912 UFJ720912 UPF720912 UZB720912 VIX720912 VST720912 WCP720912 WML720912 WWH720912 Z786448 JV786448 TR786448 ADN786448 ANJ786448 AXF786448 BHB786448 BQX786448 CAT786448 CKP786448 CUL786448 DEH786448 DOD786448 DXZ786448 EHV786448 ERR786448 FBN786448 FLJ786448 FVF786448 GFB786448 GOX786448 GYT786448 HIP786448 HSL786448 ICH786448 IMD786448 IVZ786448 JFV786448 JPR786448 JZN786448 KJJ786448 KTF786448 LDB786448 LMX786448 LWT786448 MGP786448 MQL786448 NAH786448 NKD786448 NTZ786448 ODV786448 ONR786448 OXN786448 PHJ786448 PRF786448 QBB786448 QKX786448 QUT786448 REP786448 ROL786448 RYH786448 SID786448 SRZ786448 TBV786448 TLR786448 TVN786448 UFJ786448 UPF786448 UZB786448 VIX786448 VST786448 WCP786448 WML786448 WWH786448 Z851984 JV851984 TR851984 ADN851984 ANJ851984 AXF851984 BHB851984 BQX851984 CAT851984 CKP851984 CUL851984 DEH851984 DOD851984 DXZ851984 EHV851984 ERR851984 FBN851984 FLJ851984 FVF851984 GFB851984 GOX851984 GYT851984 HIP851984 HSL851984 ICH851984 IMD851984 IVZ851984 JFV851984 JPR851984 JZN851984 KJJ851984 KTF851984 LDB851984 LMX851984 LWT851984 MGP851984 MQL851984 NAH851984 NKD851984 NTZ851984 ODV851984 ONR851984 OXN851984 PHJ851984 PRF851984 QBB851984 QKX851984 QUT851984 REP851984 ROL851984 RYH851984 SID851984 SRZ851984 TBV851984 TLR851984 TVN851984 UFJ851984 UPF851984 UZB851984 VIX851984 VST851984 WCP851984 WML851984 WWH851984 Z917520 JV917520 TR917520 ADN917520 ANJ917520 AXF917520 BHB917520 BQX917520 CAT917520 CKP917520 CUL917520 DEH917520 DOD917520 DXZ917520 EHV917520 ERR917520 FBN917520 FLJ917520 FVF917520 GFB917520 GOX917520 GYT917520 HIP917520 HSL917520 ICH917520 IMD917520 IVZ917520 JFV917520 JPR917520 JZN917520 KJJ917520 KTF917520 LDB917520 LMX917520 LWT917520 MGP917520 MQL917520 NAH917520 NKD917520 NTZ917520 ODV917520 ONR917520 OXN917520 PHJ917520 PRF917520 QBB917520 QKX917520 QUT917520 REP917520 ROL917520 RYH917520 SID917520 SRZ917520 TBV917520 TLR917520 TVN917520 UFJ917520 UPF917520 UZB917520 VIX917520 VST917520 WCP917520 WML917520 WWH917520 Z983056 JV983056 TR983056 ADN983056 ANJ983056 AXF983056 BHB983056 BQX983056 CAT983056 CKP983056 CUL983056 DEH983056 DOD983056 DXZ983056 EHV983056 ERR983056 FBN983056 FLJ983056 FVF983056 GFB983056 GOX983056 GYT983056 HIP983056 HSL983056 ICH983056 IMD983056 IVZ983056 JFV983056 JPR983056 JZN983056 KJJ983056 KTF983056 LDB983056 LMX983056 LWT983056 MGP983056 MQL983056 NAH983056 NKD983056 NTZ983056 ODV983056 ONR983056 OXN983056 PHJ983056 PRF983056 QBB983056 QKX983056 QUT983056 REP983056 ROL983056 RYH983056 SID983056 SRZ983056 TBV983056 TLR983056 TVN983056 UFJ983056 UPF983056 UZB983056 VIX983056 VST983056 WCP983056 WML983056 WWH983056 Z14 JV14 TR14 ADN14 ANJ14 AXF14 BHB14 BQX14 CAT14 CKP14 CUL14 DEH14 DOD14 DXZ14 EHV14 ERR14 FBN14 FLJ14 FVF14 GFB14 GOX14 GYT14 HIP14 HSL14 ICH14 IMD14 IVZ14 JFV14 JPR14 JZN14 KJJ14 KTF14 LDB14 LMX14 LWT14 MGP14 MQL14 NAH14 NKD14 NTZ14 ODV14 ONR14 OXN14 PHJ14 PRF14 QBB14 QKX14 QUT14 REP14 ROL14 RYH14 SID14 SRZ14 TBV14 TLR14 TVN14 UFJ14 UPF14 UZB14 VIX14 VST14 WCP14 WML14 WWH14 Z65550 JV65550 TR65550 ADN65550 ANJ65550 AXF65550 BHB65550 BQX65550 CAT65550 CKP65550 CUL65550 DEH65550 DOD65550 DXZ65550 EHV65550 ERR65550 FBN65550 FLJ65550 FVF65550 GFB65550 GOX65550 GYT65550 HIP65550 HSL65550 ICH65550 IMD65550 IVZ65550 JFV65550 JPR65550 JZN65550 KJJ65550 KTF65550 LDB65550 LMX65550 LWT65550 MGP65550 MQL65550 NAH65550 NKD65550 NTZ65550 ODV65550 ONR65550 OXN65550 PHJ65550 PRF65550 QBB65550 QKX65550 QUT65550 REP65550 ROL65550 RYH65550 SID65550 SRZ65550 TBV65550 TLR65550 TVN65550 UFJ65550 UPF65550 UZB65550 VIX65550 VST65550 WCP65550 WML65550 WWH65550 Z131086 JV131086 TR131086 ADN131086 ANJ131086 AXF131086 BHB131086 BQX131086 CAT131086 CKP131086 CUL131086 DEH131086 DOD131086 DXZ131086 EHV131086 ERR131086 FBN131086 FLJ131086 FVF131086 GFB131086 GOX131086 GYT131086 HIP131086 HSL131086 ICH131086 IMD131086 IVZ131086 JFV131086 JPR131086 JZN131086 KJJ131086 KTF131086 LDB131086 LMX131086 LWT131086 MGP131086 MQL131086 NAH131086 NKD131086 NTZ131086 ODV131086 ONR131086 OXN131086 PHJ131086 PRF131086 QBB131086 QKX131086 QUT131086 REP131086 ROL131086 RYH131086 SID131086 SRZ131086 TBV131086 TLR131086 TVN131086 UFJ131086 UPF131086 UZB131086 VIX131086 VST131086 WCP131086 WML131086 WWH131086 Z196622 JV196622 TR196622 ADN196622 ANJ196622 AXF196622 BHB196622 BQX196622 CAT196622 CKP196622 CUL196622 DEH196622 DOD196622 DXZ196622 EHV196622 ERR196622 FBN196622 FLJ196622 FVF196622 GFB196622 GOX196622 GYT196622 HIP196622 HSL196622 ICH196622 IMD196622 IVZ196622 JFV196622 JPR196622 JZN196622 KJJ196622 KTF196622 LDB196622 LMX196622 LWT196622 MGP196622 MQL196622 NAH196622 NKD196622 NTZ196622 ODV196622 ONR196622 OXN196622 PHJ196622 PRF196622 QBB196622 QKX196622 QUT196622 REP196622 ROL196622 RYH196622 SID196622 SRZ196622 TBV196622 TLR196622 TVN196622 UFJ196622 UPF196622 UZB196622 VIX196622 VST196622 WCP196622 WML196622 WWH196622 Z262158 JV262158 TR262158 ADN262158 ANJ262158 AXF262158 BHB262158 BQX262158 CAT262158 CKP262158 CUL262158 DEH262158 DOD262158 DXZ262158 EHV262158 ERR262158 FBN262158 FLJ262158 FVF262158 GFB262158 GOX262158 GYT262158 HIP262158 HSL262158 ICH262158 IMD262158 IVZ262158 JFV262158 JPR262158 JZN262158 KJJ262158 KTF262158 LDB262158 LMX262158 LWT262158 MGP262158 MQL262158 NAH262158 NKD262158 NTZ262158 ODV262158 ONR262158 OXN262158 PHJ262158 PRF262158 QBB262158 QKX262158 QUT262158 REP262158 ROL262158 RYH262158 SID262158 SRZ262158 TBV262158 TLR262158 TVN262158 UFJ262158 UPF262158 UZB262158 VIX262158 VST262158 WCP262158 WML262158 WWH262158 Z327694 JV327694 TR327694 ADN327694 ANJ327694 AXF327694 BHB327694 BQX327694 CAT327694 CKP327694 CUL327694 DEH327694 DOD327694 DXZ327694 EHV327694 ERR327694 FBN327694 FLJ327694 FVF327694 GFB327694 GOX327694 GYT327694 HIP327694 HSL327694 ICH327694 IMD327694 IVZ327694 JFV327694 JPR327694 JZN327694 KJJ327694 KTF327694 LDB327694 LMX327694 LWT327694 MGP327694 MQL327694 NAH327694 NKD327694 NTZ327694 ODV327694 ONR327694 OXN327694 PHJ327694 PRF327694 QBB327694 QKX327694 QUT327694 REP327694 ROL327694 RYH327694 SID327694 SRZ327694 TBV327694 TLR327694 TVN327694 UFJ327694 UPF327694 UZB327694 VIX327694 VST327694 WCP327694 WML327694 WWH327694 Z393230 JV393230 TR393230 ADN393230 ANJ393230 AXF393230 BHB393230 BQX393230 CAT393230 CKP393230 CUL393230 DEH393230 DOD393230 DXZ393230 EHV393230 ERR393230 FBN393230 FLJ393230 FVF393230 GFB393230 GOX393230 GYT393230 HIP393230 HSL393230 ICH393230 IMD393230 IVZ393230 JFV393230 JPR393230 JZN393230 KJJ393230 KTF393230 LDB393230 LMX393230 LWT393230 MGP393230 MQL393230 NAH393230 NKD393230 NTZ393230 ODV393230 ONR393230 OXN393230 PHJ393230 PRF393230 QBB393230 QKX393230 QUT393230 REP393230 ROL393230 RYH393230 SID393230 SRZ393230 TBV393230 TLR393230 TVN393230 UFJ393230 UPF393230 UZB393230 VIX393230 VST393230 WCP393230 WML393230 WWH393230 Z458766 JV458766 TR458766 ADN458766 ANJ458766 AXF458766 BHB458766 BQX458766 CAT458766 CKP458766 CUL458766 DEH458766 DOD458766 DXZ458766 EHV458766 ERR458766 FBN458766 FLJ458766 FVF458766 GFB458766 GOX458766 GYT458766 HIP458766 HSL458766 ICH458766 IMD458766 IVZ458766 JFV458766 JPR458766 JZN458766 KJJ458766 KTF458766 LDB458766 LMX458766 LWT458766 MGP458766 MQL458766 NAH458766 NKD458766 NTZ458766 ODV458766 ONR458766 OXN458766 PHJ458766 PRF458766 QBB458766 QKX458766 QUT458766 REP458766 ROL458766 RYH458766 SID458766 SRZ458766 TBV458766 TLR458766 TVN458766 UFJ458766 UPF458766 UZB458766 VIX458766 VST458766 WCP458766 WML458766 WWH458766 Z524302 JV524302 TR524302 ADN524302 ANJ524302 AXF524302 BHB524302 BQX524302 CAT524302 CKP524302 CUL524302 DEH524302 DOD524302 DXZ524302 EHV524302 ERR524302 FBN524302 FLJ524302 FVF524302 GFB524302 GOX524302 GYT524302 HIP524302 HSL524302 ICH524302 IMD524302 IVZ524302 JFV524302 JPR524302 JZN524302 KJJ524302 KTF524302 LDB524302 LMX524302 LWT524302 MGP524302 MQL524302 NAH524302 NKD524302 NTZ524302 ODV524302 ONR524302 OXN524302 PHJ524302 PRF524302 QBB524302 QKX524302 QUT524302 REP524302 ROL524302 RYH524302 SID524302 SRZ524302 TBV524302 TLR524302 TVN524302 UFJ524302 UPF524302 UZB524302 VIX524302 VST524302 WCP524302 WML524302 WWH524302 Z589838 JV589838 TR589838 ADN589838 ANJ589838 AXF589838 BHB589838 BQX589838 CAT589838 CKP589838 CUL589838 DEH589838 DOD589838 DXZ589838 EHV589838 ERR589838 FBN589838 FLJ589838 FVF589838 GFB589838 GOX589838 GYT589838 HIP589838 HSL589838 ICH589838 IMD589838 IVZ589838 JFV589838 JPR589838 JZN589838 KJJ589838 KTF589838 LDB589838 LMX589838 LWT589838 MGP589838 MQL589838 NAH589838 NKD589838 NTZ589838 ODV589838 ONR589838 OXN589838 PHJ589838 PRF589838 QBB589838 QKX589838 QUT589838 REP589838 ROL589838 RYH589838 SID589838 SRZ589838 TBV589838 TLR589838 TVN589838 UFJ589838 UPF589838 UZB589838 VIX589838 VST589838 WCP589838 WML589838 WWH589838 Z655374 JV655374 TR655374 ADN655374 ANJ655374 AXF655374 BHB655374 BQX655374 CAT655374 CKP655374 CUL655374 DEH655374 DOD655374 DXZ655374 EHV655374 ERR655374 FBN655374 FLJ655374 FVF655374 GFB655374 GOX655374 GYT655374 HIP655374 HSL655374 ICH655374 IMD655374 IVZ655374 JFV655374 JPR655374 JZN655374 KJJ655374 KTF655374 LDB655374 LMX655374 LWT655374 MGP655374 MQL655374 NAH655374 NKD655374 NTZ655374 ODV655374 ONR655374 OXN655374 PHJ655374 PRF655374 QBB655374 QKX655374 QUT655374 REP655374 ROL655374 RYH655374 SID655374 SRZ655374 TBV655374 TLR655374 TVN655374 UFJ655374 UPF655374 UZB655374 VIX655374 VST655374 WCP655374 WML655374 WWH655374 Z720910 JV720910 TR720910 ADN720910 ANJ720910 AXF720910 BHB720910 BQX720910 CAT720910 CKP720910 CUL720910 DEH720910 DOD720910 DXZ720910 EHV720910 ERR720910 FBN720910 FLJ720910 FVF720910 GFB720910 GOX720910 GYT720910 HIP720910 HSL720910 ICH720910 IMD720910 IVZ720910 JFV720910 JPR720910 JZN720910 KJJ720910 KTF720910 LDB720910 LMX720910 LWT720910 MGP720910 MQL720910 NAH720910 NKD720910 NTZ720910 ODV720910 ONR720910 OXN720910 PHJ720910 PRF720910 QBB720910 QKX720910 QUT720910 REP720910 ROL720910 RYH720910 SID720910 SRZ720910 TBV720910 TLR720910 TVN720910 UFJ720910 UPF720910 UZB720910 VIX720910 VST720910 WCP720910 WML720910 WWH720910 Z786446 JV786446 TR786446 ADN786446 ANJ786446 AXF786446 BHB786446 BQX786446 CAT786446 CKP786446 CUL786446 DEH786446 DOD786446 DXZ786446 EHV786446 ERR786446 FBN786446 FLJ786446 FVF786446 GFB786446 GOX786446 GYT786446 HIP786446 HSL786446 ICH786446 IMD786446 IVZ786446 JFV786446 JPR786446 JZN786446 KJJ786446 KTF786446 LDB786446 LMX786446 LWT786446 MGP786446 MQL786446 NAH786446 NKD786446 NTZ786446 ODV786446 ONR786446 OXN786446 PHJ786446 PRF786446 QBB786446 QKX786446 QUT786446 REP786446 ROL786446 RYH786446 SID786446 SRZ786446 TBV786446 TLR786446 TVN786446 UFJ786446 UPF786446 UZB786446 VIX786446 VST786446 WCP786446 WML786446 WWH786446 Z851982 JV851982 TR851982 ADN851982 ANJ851982 AXF851982 BHB851982 BQX851982 CAT851982 CKP851982 CUL851982 DEH851982 DOD851982 DXZ851982 EHV851982 ERR851982 FBN851982 FLJ851982 FVF851982 GFB851982 GOX851982 GYT851982 HIP851982 HSL851982 ICH851982 IMD851982 IVZ851982 JFV851982 JPR851982 JZN851982 KJJ851982 KTF851982 LDB851982 LMX851982 LWT851982 MGP851982 MQL851982 NAH851982 NKD851982 NTZ851982 ODV851982 ONR851982 OXN851982 PHJ851982 PRF851982 QBB851982 QKX851982 QUT851982 REP851982 ROL851982 RYH851982 SID851982 SRZ851982 TBV851982 TLR851982 TVN851982 UFJ851982 UPF851982 UZB851982 VIX851982 VST851982 WCP851982 WML851982 WWH851982 Z917518 JV917518 TR917518 ADN917518 ANJ917518 AXF917518 BHB917518 BQX917518 CAT917518 CKP917518 CUL917518 DEH917518 DOD917518 DXZ917518 EHV917518 ERR917518 FBN917518 FLJ917518 FVF917518 GFB917518 GOX917518 GYT917518 HIP917518 HSL917518 ICH917518 IMD917518 IVZ917518 JFV917518 JPR917518 JZN917518 KJJ917518 KTF917518 LDB917518 LMX917518 LWT917518 MGP917518 MQL917518 NAH917518 NKD917518 NTZ917518 ODV917518 ONR917518 OXN917518 PHJ917518 PRF917518 QBB917518 QKX917518 QUT917518 REP917518 ROL917518 RYH917518 SID917518 SRZ917518 TBV917518 TLR917518 TVN917518 UFJ917518 UPF917518 UZB917518 VIX917518 VST917518 WCP917518 WML917518 WWH917518 Z983054 JV983054 TR983054 ADN983054 ANJ983054 AXF983054 BHB983054 BQX983054 CAT983054 CKP983054 CUL983054 DEH983054 DOD983054 DXZ983054 EHV983054 ERR983054 FBN983054 FLJ983054 FVF983054 GFB983054 GOX983054 GYT983054 HIP983054 HSL983054 ICH983054 IMD983054 IVZ983054 JFV983054 JPR983054 JZN983054 KJJ983054 KTF983054 LDB983054 LMX983054 LWT983054 MGP983054 MQL983054 NAH983054 NKD983054 NTZ983054 ODV983054 ONR983054 OXN983054 PHJ983054 PRF983054 QBB983054 QKX983054 QUT983054 REP983054 ROL983054 RYH983054 SID983054 SRZ983054 TBV983054 TLR983054 TVN983054 UFJ983054 UPF983054 UZB983054 VIX983054 VST983054 WCP983054 WML983054 WWH983054 Z30 JV30 TR30 ADN30 ANJ30 AXF30 BHB30 BQX30 CAT30 CKP30 CUL30 DEH30 DOD30 DXZ30 EHV30 ERR30 FBN30 FLJ30 FVF30 GFB30 GOX30 GYT30 HIP30 HSL30 ICH30 IMD30 IVZ30 JFV30 JPR30 JZN30 KJJ30 KTF30 LDB30 LMX30 LWT30 MGP30 MQL30 NAH30 NKD30 NTZ30 ODV30 ONR30 OXN30 PHJ30 PRF30 QBB30 QKX30 QUT30 REP30 ROL30 RYH30 SID30 SRZ30 TBV30 TLR30 TVN30 UFJ30 UPF30 UZB30 VIX30 VST30 WCP30 WML30 WWH30 Z65566 JV65566 TR65566 ADN65566 ANJ65566 AXF65566 BHB65566 BQX65566 CAT65566 CKP65566 CUL65566 DEH65566 DOD65566 DXZ65566 EHV65566 ERR65566 FBN65566 FLJ65566 FVF65566 GFB65566 GOX65566 GYT65566 HIP65566 HSL65566 ICH65566 IMD65566 IVZ65566 JFV65566 JPR65566 JZN65566 KJJ65566 KTF65566 LDB65566 LMX65566 LWT65566 MGP65566 MQL65566 NAH65566 NKD65566 NTZ65566 ODV65566 ONR65566 OXN65566 PHJ65566 PRF65566 QBB65566 QKX65566 QUT65566 REP65566 ROL65566 RYH65566 SID65566 SRZ65566 TBV65566 TLR65566 TVN65566 UFJ65566 UPF65566 UZB65566 VIX65566 VST65566 WCP65566 WML65566 WWH65566 Z131102 JV131102 TR131102 ADN131102 ANJ131102 AXF131102 BHB131102 BQX131102 CAT131102 CKP131102 CUL131102 DEH131102 DOD131102 DXZ131102 EHV131102 ERR131102 FBN131102 FLJ131102 FVF131102 GFB131102 GOX131102 GYT131102 HIP131102 HSL131102 ICH131102 IMD131102 IVZ131102 JFV131102 JPR131102 JZN131102 KJJ131102 KTF131102 LDB131102 LMX131102 LWT131102 MGP131102 MQL131102 NAH131102 NKD131102 NTZ131102 ODV131102 ONR131102 OXN131102 PHJ131102 PRF131102 QBB131102 QKX131102 QUT131102 REP131102 ROL131102 RYH131102 SID131102 SRZ131102 TBV131102 TLR131102 TVN131102 UFJ131102 UPF131102 UZB131102 VIX131102 VST131102 WCP131102 WML131102 WWH131102 Z196638 JV196638 TR196638 ADN196638 ANJ196638 AXF196638 BHB196638 BQX196638 CAT196638 CKP196638 CUL196638 DEH196638 DOD196638 DXZ196638 EHV196638 ERR196638 FBN196638 FLJ196638 FVF196638 GFB196638 GOX196638 GYT196638 HIP196638 HSL196638 ICH196638 IMD196638 IVZ196638 JFV196638 JPR196638 JZN196638 KJJ196638 KTF196638 LDB196638 LMX196638 LWT196638 MGP196638 MQL196638 NAH196638 NKD196638 NTZ196638 ODV196638 ONR196638 OXN196638 PHJ196638 PRF196638 QBB196638 QKX196638 QUT196638 REP196638 ROL196638 RYH196638 SID196638 SRZ196638 TBV196638 TLR196638 TVN196638 UFJ196638 UPF196638 UZB196638 VIX196638 VST196638 WCP196638 WML196638 WWH196638 Z262174 JV262174 TR262174 ADN262174 ANJ262174 AXF262174 BHB262174 BQX262174 CAT262174 CKP262174 CUL262174 DEH262174 DOD262174 DXZ262174 EHV262174 ERR262174 FBN262174 FLJ262174 FVF262174 GFB262174 GOX262174 GYT262174 HIP262174 HSL262174 ICH262174 IMD262174 IVZ262174 JFV262174 JPR262174 JZN262174 KJJ262174 KTF262174 LDB262174 LMX262174 LWT262174 MGP262174 MQL262174 NAH262174 NKD262174 NTZ262174 ODV262174 ONR262174 OXN262174 PHJ262174 PRF262174 QBB262174 QKX262174 QUT262174 REP262174 ROL262174 RYH262174 SID262174 SRZ262174 TBV262174 TLR262174 TVN262174 UFJ262174 UPF262174 UZB262174 VIX262174 VST262174 WCP262174 WML262174 WWH262174 Z327710 JV327710 TR327710 ADN327710 ANJ327710 AXF327710 BHB327710 BQX327710 CAT327710 CKP327710 CUL327710 DEH327710 DOD327710 DXZ327710 EHV327710 ERR327710 FBN327710 FLJ327710 FVF327710 GFB327710 GOX327710 GYT327710 HIP327710 HSL327710 ICH327710 IMD327710 IVZ327710 JFV327710 JPR327710 JZN327710 KJJ327710 KTF327710 LDB327710 LMX327710 LWT327710 MGP327710 MQL327710 NAH327710 NKD327710 NTZ327710 ODV327710 ONR327710 OXN327710 PHJ327710 PRF327710 QBB327710 QKX327710 QUT327710 REP327710 ROL327710 RYH327710 SID327710 SRZ327710 TBV327710 TLR327710 TVN327710 UFJ327710 UPF327710 UZB327710 VIX327710 VST327710 WCP327710 WML327710 WWH327710 Z393246 JV393246 TR393246 ADN393246 ANJ393246 AXF393246 BHB393246 BQX393246 CAT393246 CKP393246 CUL393246 DEH393246 DOD393246 DXZ393246 EHV393246 ERR393246 FBN393246 FLJ393246 FVF393246 GFB393246 GOX393246 GYT393246 HIP393246 HSL393246 ICH393246 IMD393246 IVZ393246 JFV393246 JPR393246 JZN393246 KJJ393246 KTF393246 LDB393246 LMX393246 LWT393246 MGP393246 MQL393246 NAH393246 NKD393246 NTZ393246 ODV393246 ONR393246 OXN393246 PHJ393246 PRF393246 QBB393246 QKX393246 QUT393246 REP393246 ROL393246 RYH393246 SID393246 SRZ393246 TBV393246 TLR393246 TVN393246 UFJ393246 UPF393246 UZB393246 VIX393246 VST393246 WCP393246 WML393246 WWH393246 Z458782 JV458782 TR458782 ADN458782 ANJ458782 AXF458782 BHB458782 BQX458782 CAT458782 CKP458782 CUL458782 DEH458782 DOD458782 DXZ458782 EHV458782 ERR458782 FBN458782 FLJ458782 FVF458782 GFB458782 GOX458782 GYT458782 HIP458782 HSL458782 ICH458782 IMD458782 IVZ458782 JFV458782 JPR458782 JZN458782 KJJ458782 KTF458782 LDB458782 LMX458782 LWT458782 MGP458782 MQL458782 NAH458782 NKD458782 NTZ458782 ODV458782 ONR458782 OXN458782 PHJ458782 PRF458782 QBB458782 QKX458782 QUT458782 REP458782 ROL458782 RYH458782 SID458782 SRZ458782 TBV458782 TLR458782 TVN458782 UFJ458782 UPF458782 UZB458782 VIX458782 VST458782 WCP458782 WML458782 WWH458782 Z524318 JV524318 TR524318 ADN524318 ANJ524318 AXF524318 BHB524318 BQX524318 CAT524318 CKP524318 CUL524318 DEH524318 DOD524318 DXZ524318 EHV524318 ERR524318 FBN524318 FLJ524318 FVF524318 GFB524318 GOX524318 GYT524318 HIP524318 HSL524318 ICH524318 IMD524318 IVZ524318 JFV524318 JPR524318 JZN524318 KJJ524318 KTF524318 LDB524318 LMX524318 LWT524318 MGP524318 MQL524318 NAH524318 NKD524318 NTZ524318 ODV524318 ONR524318 OXN524318 PHJ524318 PRF524318 QBB524318 QKX524318 QUT524318 REP524318 ROL524318 RYH524318 SID524318 SRZ524318 TBV524318 TLR524318 TVN524318 UFJ524318 UPF524318 UZB524318 VIX524318 VST524318 WCP524318 WML524318 WWH524318 Z589854 JV589854 TR589854 ADN589854 ANJ589854 AXF589854 BHB589854 BQX589854 CAT589854 CKP589854 CUL589854 DEH589854 DOD589854 DXZ589854 EHV589854 ERR589854 FBN589854 FLJ589854 FVF589854 GFB589854 GOX589854 GYT589854 HIP589854 HSL589854 ICH589854 IMD589854 IVZ589854 JFV589854 JPR589854 JZN589854 KJJ589854 KTF589854 LDB589854 LMX589854 LWT589854 MGP589854 MQL589854 NAH589854 NKD589854 NTZ589854 ODV589854 ONR589854 OXN589854 PHJ589854 PRF589854 QBB589854 QKX589854 QUT589854 REP589854 ROL589854 RYH589854 SID589854 SRZ589854 TBV589854 TLR589854 TVN589854 UFJ589854 UPF589854 UZB589854 VIX589854 VST589854 WCP589854 WML589854 WWH589854 Z655390 JV655390 TR655390 ADN655390 ANJ655390 AXF655390 BHB655390 BQX655390 CAT655390 CKP655390 CUL655390 DEH655390 DOD655390 DXZ655390 EHV655390 ERR655390 FBN655390 FLJ655390 FVF655390 GFB655390 GOX655390 GYT655390 HIP655390 HSL655390 ICH655390 IMD655390 IVZ655390 JFV655390 JPR655390 JZN655390 KJJ655390 KTF655390 LDB655390 LMX655390 LWT655390 MGP655390 MQL655390 NAH655390 NKD655390 NTZ655390 ODV655390 ONR655390 OXN655390 PHJ655390 PRF655390 QBB655390 QKX655390 QUT655390 REP655390 ROL655390 RYH655390 SID655390 SRZ655390 TBV655390 TLR655390 TVN655390 UFJ655390 UPF655390 UZB655390 VIX655390 VST655390 WCP655390 WML655390 WWH655390 Z720926 JV720926 TR720926 ADN720926 ANJ720926 AXF720926 BHB720926 BQX720926 CAT720926 CKP720926 CUL720926 DEH720926 DOD720926 DXZ720926 EHV720926 ERR720926 FBN720926 FLJ720926 FVF720926 GFB720926 GOX720926 GYT720926 HIP720926 HSL720926 ICH720926 IMD720926 IVZ720926 JFV720926 JPR720926 JZN720926 KJJ720926 KTF720926 LDB720926 LMX720926 LWT720926 MGP720926 MQL720926 NAH720926 NKD720926 NTZ720926 ODV720926 ONR720926 OXN720926 PHJ720926 PRF720926 QBB720926 QKX720926 QUT720926 REP720926 ROL720926 RYH720926 SID720926 SRZ720926 TBV720926 TLR720926 TVN720926 UFJ720926 UPF720926 UZB720926 VIX720926 VST720926 WCP720926 WML720926 WWH720926 Z786462 JV786462 TR786462 ADN786462 ANJ786462 AXF786462 BHB786462 BQX786462 CAT786462 CKP786462 CUL786462 DEH786462 DOD786462 DXZ786462 EHV786462 ERR786462 FBN786462 FLJ786462 FVF786462 GFB786462 GOX786462 GYT786462 HIP786462 HSL786462 ICH786462 IMD786462 IVZ786462 JFV786462 JPR786462 JZN786462 KJJ786462 KTF786462 LDB786462 LMX786462 LWT786462 MGP786462 MQL786462 NAH786462 NKD786462 NTZ786462 ODV786462 ONR786462 OXN786462 PHJ786462 PRF786462 QBB786462 QKX786462 QUT786462 REP786462 ROL786462 RYH786462 SID786462 SRZ786462 TBV786462 TLR786462 TVN786462 UFJ786462 UPF786462 UZB786462 VIX786462 VST786462 WCP786462 WML786462 WWH786462 Z851998 JV851998 TR851998 ADN851998 ANJ851998 AXF851998 BHB851998 BQX851998 CAT851998 CKP851998 CUL851998 DEH851998 DOD851998 DXZ851998 EHV851998 ERR851998 FBN851998 FLJ851998 FVF851998 GFB851998 GOX851998 GYT851998 HIP851998 HSL851998 ICH851998 IMD851998 IVZ851998 JFV851998 JPR851998 JZN851998 KJJ851998 KTF851998 LDB851998 LMX851998 LWT851998 MGP851998 MQL851998 NAH851998 NKD851998 NTZ851998 ODV851998 ONR851998 OXN851998 PHJ851998 PRF851998 QBB851998 QKX851998 QUT851998 REP851998 ROL851998 RYH851998 SID851998 SRZ851998 TBV851998 TLR851998 TVN851998 UFJ851998 UPF851998 UZB851998 VIX851998 VST851998 WCP851998 WML851998 WWH851998 Z917534 JV917534 TR917534 ADN917534 ANJ917534 AXF917534 BHB917534 BQX917534 CAT917534 CKP917534 CUL917534 DEH917534 DOD917534 DXZ917534 EHV917534 ERR917534 FBN917534 FLJ917534 FVF917534 GFB917534 GOX917534 GYT917534 HIP917534 HSL917534 ICH917534 IMD917534 IVZ917534 JFV917534 JPR917534 JZN917534 KJJ917534 KTF917534 LDB917534 LMX917534 LWT917534 MGP917534 MQL917534 NAH917534 NKD917534 NTZ917534 ODV917534 ONR917534 OXN917534 PHJ917534 PRF917534 QBB917534 QKX917534 QUT917534 REP917534 ROL917534 RYH917534 SID917534 SRZ917534 TBV917534 TLR917534 TVN917534 UFJ917534 UPF917534 UZB917534 VIX917534 VST917534 WCP917534 WML917534 WWH917534 Z983070 JV983070 TR983070 ADN983070 ANJ983070 AXF983070 BHB983070 BQX983070 CAT983070 CKP983070 CUL983070 DEH983070 DOD983070 DXZ983070 EHV983070 ERR983070 FBN983070 FLJ983070 FVF983070 GFB983070 GOX983070 GYT983070 HIP983070 HSL983070 ICH983070 IMD983070 IVZ983070 JFV983070 JPR983070 JZN983070 KJJ983070 KTF983070 LDB983070 LMX983070 LWT983070 MGP983070 MQL983070 NAH983070 NKD983070 NTZ983070 ODV983070 ONR983070 OXN983070 PHJ983070 PRF983070 QBB983070 QKX983070 QUT983070 REP983070 ROL983070 RYH983070 SID983070 SRZ983070 TBV983070 TLR983070 TVN983070 UFJ983070 UPF983070 UZB983070 VIX983070 VST983070 WCP983070 WML983070 WWH983070 V30 JR30 TN30 ADJ30 ANF30 AXB30 BGX30 BQT30 CAP30 CKL30 CUH30 DED30 DNZ30 DXV30 EHR30 ERN30 FBJ30 FLF30 FVB30 GEX30 GOT30 GYP30 HIL30 HSH30 ICD30 ILZ30 IVV30 JFR30 JPN30 JZJ30 KJF30 KTB30 LCX30 LMT30 LWP30 MGL30 MQH30 NAD30 NJZ30 NTV30 ODR30 ONN30 OXJ30 PHF30 PRB30 QAX30 QKT30 QUP30 REL30 ROH30 RYD30 SHZ30 SRV30 TBR30 TLN30 TVJ30 UFF30 UPB30 UYX30 VIT30 VSP30 WCL30 WMH30 WWD30 V65566 JR65566 TN65566 ADJ65566 ANF65566 AXB65566 BGX65566 BQT65566 CAP65566 CKL65566 CUH65566 DED65566 DNZ65566 DXV65566 EHR65566 ERN65566 FBJ65566 FLF65566 FVB65566 GEX65566 GOT65566 GYP65566 HIL65566 HSH65566 ICD65566 ILZ65566 IVV65566 JFR65566 JPN65566 JZJ65566 KJF65566 KTB65566 LCX65566 LMT65566 LWP65566 MGL65566 MQH65566 NAD65566 NJZ65566 NTV65566 ODR65566 ONN65566 OXJ65566 PHF65566 PRB65566 QAX65566 QKT65566 QUP65566 REL65566 ROH65566 RYD65566 SHZ65566 SRV65566 TBR65566 TLN65566 TVJ65566 UFF65566 UPB65566 UYX65566 VIT65566 VSP65566 WCL65566 WMH65566 WWD65566 V131102 JR131102 TN131102 ADJ131102 ANF131102 AXB131102 BGX131102 BQT131102 CAP131102 CKL131102 CUH131102 DED131102 DNZ131102 DXV131102 EHR131102 ERN131102 FBJ131102 FLF131102 FVB131102 GEX131102 GOT131102 GYP131102 HIL131102 HSH131102 ICD131102 ILZ131102 IVV131102 JFR131102 JPN131102 JZJ131102 KJF131102 KTB131102 LCX131102 LMT131102 LWP131102 MGL131102 MQH131102 NAD131102 NJZ131102 NTV131102 ODR131102 ONN131102 OXJ131102 PHF131102 PRB131102 QAX131102 QKT131102 QUP131102 REL131102 ROH131102 RYD131102 SHZ131102 SRV131102 TBR131102 TLN131102 TVJ131102 UFF131102 UPB131102 UYX131102 VIT131102 VSP131102 WCL131102 WMH131102 WWD131102 V196638 JR196638 TN196638 ADJ196638 ANF196638 AXB196638 BGX196638 BQT196638 CAP196638 CKL196638 CUH196638 DED196638 DNZ196638 DXV196638 EHR196638 ERN196638 FBJ196638 FLF196638 FVB196638 GEX196638 GOT196638 GYP196638 HIL196638 HSH196638 ICD196638 ILZ196638 IVV196638 JFR196638 JPN196638 JZJ196638 KJF196638 KTB196638 LCX196638 LMT196638 LWP196638 MGL196638 MQH196638 NAD196638 NJZ196638 NTV196638 ODR196638 ONN196638 OXJ196638 PHF196638 PRB196638 QAX196638 QKT196638 QUP196638 REL196638 ROH196638 RYD196638 SHZ196638 SRV196638 TBR196638 TLN196638 TVJ196638 UFF196638 UPB196638 UYX196638 VIT196638 VSP196638 WCL196638 WMH196638 WWD196638 V262174 JR262174 TN262174 ADJ262174 ANF262174 AXB262174 BGX262174 BQT262174 CAP262174 CKL262174 CUH262174 DED262174 DNZ262174 DXV262174 EHR262174 ERN262174 FBJ262174 FLF262174 FVB262174 GEX262174 GOT262174 GYP262174 HIL262174 HSH262174 ICD262174 ILZ262174 IVV262174 JFR262174 JPN262174 JZJ262174 KJF262174 KTB262174 LCX262174 LMT262174 LWP262174 MGL262174 MQH262174 NAD262174 NJZ262174 NTV262174 ODR262174 ONN262174 OXJ262174 PHF262174 PRB262174 QAX262174 QKT262174 QUP262174 REL262174 ROH262174 RYD262174 SHZ262174 SRV262174 TBR262174 TLN262174 TVJ262174 UFF262174 UPB262174 UYX262174 VIT262174 VSP262174 WCL262174 WMH262174 WWD262174 V327710 JR327710 TN327710 ADJ327710 ANF327710 AXB327710 BGX327710 BQT327710 CAP327710 CKL327710 CUH327710 DED327710 DNZ327710 DXV327710 EHR327710 ERN327710 FBJ327710 FLF327710 FVB327710 GEX327710 GOT327710 GYP327710 HIL327710 HSH327710 ICD327710 ILZ327710 IVV327710 JFR327710 JPN327710 JZJ327710 KJF327710 KTB327710 LCX327710 LMT327710 LWP327710 MGL327710 MQH327710 NAD327710 NJZ327710 NTV327710 ODR327710 ONN327710 OXJ327710 PHF327710 PRB327710 QAX327710 QKT327710 QUP327710 REL327710 ROH327710 RYD327710 SHZ327710 SRV327710 TBR327710 TLN327710 TVJ327710 UFF327710 UPB327710 UYX327710 VIT327710 VSP327710 WCL327710 WMH327710 WWD327710 V393246 JR393246 TN393246 ADJ393246 ANF393246 AXB393246 BGX393246 BQT393246 CAP393246 CKL393246 CUH393246 DED393246 DNZ393246 DXV393246 EHR393246 ERN393246 FBJ393246 FLF393246 FVB393246 GEX393246 GOT393246 GYP393246 HIL393246 HSH393246 ICD393246 ILZ393246 IVV393246 JFR393246 JPN393246 JZJ393246 KJF393246 KTB393246 LCX393246 LMT393246 LWP393246 MGL393246 MQH393246 NAD393246 NJZ393246 NTV393246 ODR393246 ONN393246 OXJ393246 PHF393246 PRB393246 QAX393246 QKT393246 QUP393246 REL393246 ROH393246 RYD393246 SHZ393246 SRV393246 TBR393246 TLN393246 TVJ393246 UFF393246 UPB393246 UYX393246 VIT393246 VSP393246 WCL393246 WMH393246 WWD393246 V458782 JR458782 TN458782 ADJ458782 ANF458782 AXB458782 BGX458782 BQT458782 CAP458782 CKL458782 CUH458782 DED458782 DNZ458782 DXV458782 EHR458782 ERN458782 FBJ458782 FLF458782 FVB458782 GEX458782 GOT458782 GYP458782 HIL458782 HSH458782 ICD458782 ILZ458782 IVV458782 JFR458782 JPN458782 JZJ458782 KJF458782 KTB458782 LCX458782 LMT458782 LWP458782 MGL458782 MQH458782 NAD458782 NJZ458782 NTV458782 ODR458782 ONN458782 OXJ458782 PHF458782 PRB458782 QAX458782 QKT458782 QUP458782 REL458782 ROH458782 RYD458782 SHZ458782 SRV458782 TBR458782 TLN458782 TVJ458782 UFF458782 UPB458782 UYX458782 VIT458782 VSP458782 WCL458782 WMH458782 WWD458782 V524318 JR524318 TN524318 ADJ524318 ANF524318 AXB524318 BGX524318 BQT524318 CAP524318 CKL524318 CUH524318 DED524318 DNZ524318 DXV524318 EHR524318 ERN524318 FBJ524318 FLF524318 FVB524318 GEX524318 GOT524318 GYP524318 HIL524318 HSH524318 ICD524318 ILZ524318 IVV524318 JFR524318 JPN524318 JZJ524318 KJF524318 KTB524318 LCX524318 LMT524318 LWP524318 MGL524318 MQH524318 NAD524318 NJZ524318 NTV524318 ODR524318 ONN524318 OXJ524318 PHF524318 PRB524318 QAX524318 QKT524318 QUP524318 REL524318 ROH524318 RYD524318 SHZ524318 SRV524318 TBR524318 TLN524318 TVJ524318 UFF524318 UPB524318 UYX524318 VIT524318 VSP524318 WCL524318 WMH524318 WWD524318 V589854 JR589854 TN589854 ADJ589854 ANF589854 AXB589854 BGX589854 BQT589854 CAP589854 CKL589854 CUH589854 DED589854 DNZ589854 DXV589854 EHR589854 ERN589854 FBJ589854 FLF589854 FVB589854 GEX589854 GOT589854 GYP589854 HIL589854 HSH589854 ICD589854 ILZ589854 IVV589854 JFR589854 JPN589854 JZJ589854 KJF589854 KTB589854 LCX589854 LMT589854 LWP589854 MGL589854 MQH589854 NAD589854 NJZ589854 NTV589854 ODR589854 ONN589854 OXJ589854 PHF589854 PRB589854 QAX589854 QKT589854 QUP589854 REL589854 ROH589854 RYD589854 SHZ589854 SRV589854 TBR589854 TLN589854 TVJ589854 UFF589854 UPB589854 UYX589854 VIT589854 VSP589854 WCL589854 WMH589854 WWD589854 V655390 JR655390 TN655390 ADJ655390 ANF655390 AXB655390 BGX655390 BQT655390 CAP655390 CKL655390 CUH655390 DED655390 DNZ655390 DXV655390 EHR655390 ERN655390 FBJ655390 FLF655390 FVB655390 GEX655390 GOT655390 GYP655390 HIL655390 HSH655390 ICD655390 ILZ655390 IVV655390 JFR655390 JPN655390 JZJ655390 KJF655390 KTB655390 LCX655390 LMT655390 LWP655390 MGL655390 MQH655390 NAD655390 NJZ655390 NTV655390 ODR655390 ONN655390 OXJ655390 PHF655390 PRB655390 QAX655390 QKT655390 QUP655390 REL655390 ROH655390 RYD655390 SHZ655390 SRV655390 TBR655390 TLN655390 TVJ655390 UFF655390 UPB655390 UYX655390 VIT655390 VSP655390 WCL655390 WMH655390 WWD655390 V720926 JR720926 TN720926 ADJ720926 ANF720926 AXB720926 BGX720926 BQT720926 CAP720926 CKL720926 CUH720926 DED720926 DNZ720926 DXV720926 EHR720926 ERN720926 FBJ720926 FLF720926 FVB720926 GEX720926 GOT720926 GYP720926 HIL720926 HSH720926 ICD720926 ILZ720926 IVV720926 JFR720926 JPN720926 JZJ720926 KJF720926 KTB720926 LCX720926 LMT720926 LWP720926 MGL720926 MQH720926 NAD720926 NJZ720926 NTV720926 ODR720926 ONN720926 OXJ720926 PHF720926 PRB720926 QAX720926 QKT720926 QUP720926 REL720926 ROH720926 RYD720926 SHZ720926 SRV720926 TBR720926 TLN720926 TVJ720926 UFF720926 UPB720926 UYX720926 VIT720926 VSP720926 WCL720926 WMH720926 WWD720926 V786462 JR786462 TN786462 ADJ786462 ANF786462 AXB786462 BGX786462 BQT786462 CAP786462 CKL786462 CUH786462 DED786462 DNZ786462 DXV786462 EHR786462 ERN786462 FBJ786462 FLF786462 FVB786462 GEX786462 GOT786462 GYP786462 HIL786462 HSH786462 ICD786462 ILZ786462 IVV786462 JFR786462 JPN786462 JZJ786462 KJF786462 KTB786462 LCX786462 LMT786462 LWP786462 MGL786462 MQH786462 NAD786462 NJZ786462 NTV786462 ODR786462 ONN786462 OXJ786462 PHF786462 PRB786462 QAX786462 QKT786462 QUP786462 REL786462 ROH786462 RYD786462 SHZ786462 SRV786462 TBR786462 TLN786462 TVJ786462 UFF786462 UPB786462 UYX786462 VIT786462 VSP786462 WCL786462 WMH786462 WWD786462 V851998 JR851998 TN851998 ADJ851998 ANF851998 AXB851998 BGX851998 BQT851998 CAP851998 CKL851998 CUH851998 DED851998 DNZ851998 DXV851998 EHR851998 ERN851998 FBJ851998 FLF851998 FVB851998 GEX851998 GOT851998 GYP851998 HIL851998 HSH851998 ICD851998 ILZ851998 IVV851998 JFR851998 JPN851998 JZJ851998 KJF851998 KTB851998 LCX851998 LMT851998 LWP851998 MGL851998 MQH851998 NAD851998 NJZ851998 NTV851998 ODR851998 ONN851998 OXJ851998 PHF851998 PRB851998 QAX851998 QKT851998 QUP851998 REL851998 ROH851998 RYD851998 SHZ851998 SRV851998 TBR851998 TLN851998 TVJ851998 UFF851998 UPB851998 UYX851998 VIT851998 VSP851998 WCL851998 WMH851998 WWD851998 V917534 JR917534 TN917534 ADJ917534 ANF917534 AXB917534 BGX917534 BQT917534 CAP917534 CKL917534 CUH917534 DED917534 DNZ917534 DXV917534 EHR917534 ERN917534 FBJ917534 FLF917534 FVB917534 GEX917534 GOT917534 GYP917534 HIL917534 HSH917534 ICD917534 ILZ917534 IVV917534 JFR917534 JPN917534 JZJ917534 KJF917534 KTB917534 LCX917534 LMT917534 LWP917534 MGL917534 MQH917534 NAD917534 NJZ917534 NTV917534 ODR917534 ONN917534 OXJ917534 PHF917534 PRB917534 QAX917534 QKT917534 QUP917534 REL917534 ROH917534 RYD917534 SHZ917534 SRV917534 TBR917534 TLN917534 TVJ917534 UFF917534 UPB917534 UYX917534 VIT917534 VSP917534 WCL917534 WMH917534 WWD917534 V983070 JR983070 TN983070 ADJ983070 ANF983070 AXB983070 BGX983070 BQT983070 CAP983070 CKL983070 CUH983070 DED983070 DNZ983070 DXV983070 EHR983070 ERN983070 FBJ983070 FLF983070 FVB983070 GEX983070 GOT983070 GYP983070 HIL983070 HSH983070 ICD983070 ILZ983070 IVV983070 JFR983070 JPN983070 JZJ983070 KJF983070 KTB983070 LCX983070 LMT983070 LWP983070 MGL983070 MQH983070 NAD983070 NJZ983070 NTV983070 ODR983070 ONN983070 OXJ983070 PHF983070 PRB983070 QAX983070 QKT983070 QUP983070 REL983070 ROH983070 RYD983070 SHZ983070 SRV983070 TBR983070 TLN983070 TVJ983070 UFF983070 UPB983070 UYX983070 VIT983070 VSP983070 WCL983070 WMH983070 WWD983070 V28 JR28 TN28 ADJ28 ANF28 AXB28 BGX28 BQT28 CAP28 CKL28 CUH28 DED28 DNZ28 DXV28 EHR28 ERN28 FBJ28 FLF28 FVB28 GEX28 GOT28 GYP28 HIL28 HSH28 ICD28 ILZ28 IVV28 JFR28 JPN28 JZJ28 KJF28 KTB28 LCX28 LMT28 LWP28 MGL28 MQH28 NAD28 NJZ28 NTV28 ODR28 ONN28 OXJ28 PHF28 PRB28 QAX28 QKT28 QUP28 REL28 ROH28 RYD28 SHZ28 SRV28 TBR28 TLN28 TVJ28 UFF28 UPB28 UYX28 VIT28 VSP28 WCL28 WMH28 WWD28 V65564 JR65564 TN65564 ADJ65564 ANF65564 AXB65564 BGX65564 BQT65564 CAP65564 CKL65564 CUH65564 DED65564 DNZ65564 DXV65564 EHR65564 ERN65564 FBJ65564 FLF65564 FVB65564 GEX65564 GOT65564 GYP65564 HIL65564 HSH65564 ICD65564 ILZ65564 IVV65564 JFR65564 JPN65564 JZJ65564 KJF65564 KTB65564 LCX65564 LMT65564 LWP65564 MGL65564 MQH65564 NAD65564 NJZ65564 NTV65564 ODR65564 ONN65564 OXJ65564 PHF65564 PRB65564 QAX65564 QKT65564 QUP65564 REL65564 ROH65564 RYD65564 SHZ65564 SRV65564 TBR65564 TLN65564 TVJ65564 UFF65564 UPB65564 UYX65564 VIT65564 VSP65564 WCL65564 WMH65564 WWD65564 V131100 JR131100 TN131100 ADJ131100 ANF131100 AXB131100 BGX131100 BQT131100 CAP131100 CKL131100 CUH131100 DED131100 DNZ131100 DXV131100 EHR131100 ERN131100 FBJ131100 FLF131100 FVB131100 GEX131100 GOT131100 GYP131100 HIL131100 HSH131100 ICD131100 ILZ131100 IVV131100 JFR131100 JPN131100 JZJ131100 KJF131100 KTB131100 LCX131100 LMT131100 LWP131100 MGL131100 MQH131100 NAD131100 NJZ131100 NTV131100 ODR131100 ONN131100 OXJ131100 PHF131100 PRB131100 QAX131100 QKT131100 QUP131100 REL131100 ROH131100 RYD131100 SHZ131100 SRV131100 TBR131100 TLN131100 TVJ131100 UFF131100 UPB131100 UYX131100 VIT131100 VSP131100 WCL131100 WMH131100 WWD131100 V196636 JR196636 TN196636 ADJ196636 ANF196636 AXB196636 BGX196636 BQT196636 CAP196636 CKL196636 CUH196636 DED196636 DNZ196636 DXV196636 EHR196636 ERN196636 FBJ196636 FLF196636 FVB196636 GEX196636 GOT196636 GYP196636 HIL196636 HSH196636 ICD196636 ILZ196636 IVV196636 JFR196636 JPN196636 JZJ196636 KJF196636 KTB196636 LCX196636 LMT196636 LWP196636 MGL196636 MQH196636 NAD196636 NJZ196636 NTV196636 ODR196636 ONN196636 OXJ196636 PHF196636 PRB196636 QAX196636 QKT196636 QUP196636 REL196636 ROH196636 RYD196636 SHZ196636 SRV196636 TBR196636 TLN196636 TVJ196636 UFF196636 UPB196636 UYX196636 VIT196636 VSP196636 WCL196636 WMH196636 WWD196636 V262172 JR262172 TN262172 ADJ262172 ANF262172 AXB262172 BGX262172 BQT262172 CAP262172 CKL262172 CUH262172 DED262172 DNZ262172 DXV262172 EHR262172 ERN262172 FBJ262172 FLF262172 FVB262172 GEX262172 GOT262172 GYP262172 HIL262172 HSH262172 ICD262172 ILZ262172 IVV262172 JFR262172 JPN262172 JZJ262172 KJF262172 KTB262172 LCX262172 LMT262172 LWP262172 MGL262172 MQH262172 NAD262172 NJZ262172 NTV262172 ODR262172 ONN262172 OXJ262172 PHF262172 PRB262172 QAX262172 QKT262172 QUP262172 REL262172 ROH262172 RYD262172 SHZ262172 SRV262172 TBR262172 TLN262172 TVJ262172 UFF262172 UPB262172 UYX262172 VIT262172 VSP262172 WCL262172 WMH262172 WWD262172 V327708 JR327708 TN327708 ADJ327708 ANF327708 AXB327708 BGX327708 BQT327708 CAP327708 CKL327708 CUH327708 DED327708 DNZ327708 DXV327708 EHR327708 ERN327708 FBJ327708 FLF327708 FVB327708 GEX327708 GOT327708 GYP327708 HIL327708 HSH327708 ICD327708 ILZ327708 IVV327708 JFR327708 JPN327708 JZJ327708 KJF327708 KTB327708 LCX327708 LMT327708 LWP327708 MGL327708 MQH327708 NAD327708 NJZ327708 NTV327708 ODR327708 ONN327708 OXJ327708 PHF327708 PRB327708 QAX327708 QKT327708 QUP327708 REL327708 ROH327708 RYD327708 SHZ327708 SRV327708 TBR327708 TLN327708 TVJ327708 UFF327708 UPB327708 UYX327708 VIT327708 VSP327708 WCL327708 WMH327708 WWD327708 V393244 JR393244 TN393244 ADJ393244 ANF393244 AXB393244 BGX393244 BQT393244 CAP393244 CKL393244 CUH393244 DED393244 DNZ393244 DXV393244 EHR393244 ERN393244 FBJ393244 FLF393244 FVB393244 GEX393244 GOT393244 GYP393244 HIL393244 HSH393244 ICD393244 ILZ393244 IVV393244 JFR393244 JPN393244 JZJ393244 KJF393244 KTB393244 LCX393244 LMT393244 LWP393244 MGL393244 MQH393244 NAD393244 NJZ393244 NTV393244 ODR393244 ONN393244 OXJ393244 PHF393244 PRB393244 QAX393244 QKT393244 QUP393244 REL393244 ROH393244 RYD393244 SHZ393244 SRV393244 TBR393244 TLN393244 TVJ393244 UFF393244 UPB393244 UYX393244 VIT393244 VSP393244 WCL393244 WMH393244 WWD393244 V458780 JR458780 TN458780 ADJ458780 ANF458780 AXB458780 BGX458780 BQT458780 CAP458780 CKL458780 CUH458780 DED458780 DNZ458780 DXV458780 EHR458780 ERN458780 FBJ458780 FLF458780 FVB458780 GEX458780 GOT458780 GYP458780 HIL458780 HSH458780 ICD458780 ILZ458780 IVV458780 JFR458780 JPN458780 JZJ458780 KJF458780 KTB458780 LCX458780 LMT458780 LWP458780 MGL458780 MQH458780 NAD458780 NJZ458780 NTV458780 ODR458780 ONN458780 OXJ458780 PHF458780 PRB458780 QAX458780 QKT458780 QUP458780 REL458780 ROH458780 RYD458780 SHZ458780 SRV458780 TBR458780 TLN458780 TVJ458780 UFF458780 UPB458780 UYX458780 VIT458780 VSP458780 WCL458780 WMH458780 WWD458780 V524316 JR524316 TN524316 ADJ524316 ANF524316 AXB524316 BGX524316 BQT524316 CAP524316 CKL524316 CUH524316 DED524316 DNZ524316 DXV524316 EHR524316 ERN524316 FBJ524316 FLF524316 FVB524316 GEX524316 GOT524316 GYP524316 HIL524316 HSH524316 ICD524316 ILZ524316 IVV524316 JFR524316 JPN524316 JZJ524316 KJF524316 KTB524316 LCX524316 LMT524316 LWP524316 MGL524316 MQH524316 NAD524316 NJZ524316 NTV524316 ODR524316 ONN524316 OXJ524316 PHF524316 PRB524316 QAX524316 QKT524316 QUP524316 REL524316 ROH524316 RYD524316 SHZ524316 SRV524316 TBR524316 TLN524316 TVJ524316 UFF524316 UPB524316 UYX524316 VIT524316 VSP524316 WCL524316 WMH524316 WWD524316 V589852 JR589852 TN589852 ADJ589852 ANF589852 AXB589852 BGX589852 BQT589852 CAP589852 CKL589852 CUH589852 DED589852 DNZ589852 DXV589852 EHR589852 ERN589852 FBJ589852 FLF589852 FVB589852 GEX589852 GOT589852 GYP589852 HIL589852 HSH589852 ICD589852 ILZ589852 IVV589852 JFR589852 JPN589852 JZJ589852 KJF589852 KTB589852 LCX589852 LMT589852 LWP589852 MGL589852 MQH589852 NAD589852 NJZ589852 NTV589852 ODR589852 ONN589852 OXJ589852 PHF589852 PRB589852 QAX589852 QKT589852 QUP589852 REL589852 ROH589852 RYD589852 SHZ589852 SRV589852 TBR589852 TLN589852 TVJ589852 UFF589852 UPB589852 UYX589852 VIT589852 VSP589852 WCL589852 WMH589852 WWD589852 V655388 JR655388 TN655388 ADJ655388 ANF655388 AXB655388 BGX655388 BQT655388 CAP655388 CKL655388 CUH655388 DED655388 DNZ655388 DXV655388 EHR655388 ERN655388 FBJ655388 FLF655388 FVB655388 GEX655388 GOT655388 GYP655388 HIL655388 HSH655388 ICD655388 ILZ655388 IVV655388 JFR655388 JPN655388 JZJ655388 KJF655388 KTB655388 LCX655388 LMT655388 LWP655388 MGL655388 MQH655388 NAD655388 NJZ655388 NTV655388 ODR655388 ONN655388 OXJ655388 PHF655388 PRB655388 QAX655388 QKT655388 QUP655388 REL655388 ROH655388 RYD655388 SHZ655388 SRV655388 TBR655388 TLN655388 TVJ655388 UFF655388 UPB655388 UYX655388 VIT655388 VSP655388 WCL655388 WMH655388 WWD655388 V720924 JR720924 TN720924 ADJ720924 ANF720924 AXB720924 BGX720924 BQT720924 CAP720924 CKL720924 CUH720924 DED720924 DNZ720924 DXV720924 EHR720924 ERN720924 FBJ720924 FLF720924 FVB720924 GEX720924 GOT720924 GYP720924 HIL720924 HSH720924 ICD720924 ILZ720924 IVV720924 JFR720924 JPN720924 JZJ720924 KJF720924 KTB720924 LCX720924 LMT720924 LWP720924 MGL720924 MQH720924 NAD720924 NJZ720924 NTV720924 ODR720924 ONN720924 OXJ720924 PHF720924 PRB720924 QAX720924 QKT720924 QUP720924 REL720924 ROH720924 RYD720924 SHZ720924 SRV720924 TBR720924 TLN720924 TVJ720924 UFF720924 UPB720924 UYX720924 VIT720924 VSP720924 WCL720924 WMH720924 WWD720924 V786460 JR786460 TN786460 ADJ786460 ANF786460 AXB786460 BGX786460 BQT786460 CAP786460 CKL786460 CUH786460 DED786460 DNZ786460 DXV786460 EHR786460 ERN786460 FBJ786460 FLF786460 FVB786460 GEX786460 GOT786460 GYP786460 HIL786460 HSH786460 ICD786460 ILZ786460 IVV786460 JFR786460 JPN786460 JZJ786460 KJF786460 KTB786460 LCX786460 LMT786460 LWP786460 MGL786460 MQH786460 NAD786460 NJZ786460 NTV786460 ODR786460 ONN786460 OXJ786460 PHF786460 PRB786460 QAX786460 QKT786460 QUP786460 REL786460 ROH786460 RYD786460 SHZ786460 SRV786460 TBR786460 TLN786460 TVJ786460 UFF786460 UPB786460 UYX786460 VIT786460 VSP786460 WCL786460 WMH786460 WWD786460 V851996 JR851996 TN851996 ADJ851996 ANF851996 AXB851996 BGX851996 BQT851996 CAP851996 CKL851996 CUH851996 DED851996 DNZ851996 DXV851996 EHR851996 ERN851996 FBJ851996 FLF851996 FVB851996 GEX851996 GOT851996 GYP851996 HIL851996 HSH851996 ICD851996 ILZ851996 IVV851996 JFR851996 JPN851996 JZJ851996 KJF851996 KTB851996 LCX851996 LMT851996 LWP851996 MGL851996 MQH851996 NAD851996 NJZ851996 NTV851996 ODR851996 ONN851996 OXJ851996 PHF851996 PRB851996 QAX851996 QKT851996 QUP851996 REL851996 ROH851996 RYD851996 SHZ851996 SRV851996 TBR851996 TLN851996 TVJ851996 UFF851996 UPB851996 UYX851996 VIT851996 VSP851996 WCL851996 WMH851996 WWD851996 V917532 JR917532 TN917532 ADJ917532 ANF917532 AXB917532 BGX917532 BQT917532 CAP917532 CKL917532 CUH917532 DED917532 DNZ917532 DXV917532 EHR917532 ERN917532 FBJ917532 FLF917532 FVB917532 GEX917532 GOT917532 GYP917532 HIL917532 HSH917532 ICD917532 ILZ917532 IVV917532 JFR917532 JPN917532 JZJ917532 KJF917532 KTB917532 LCX917532 LMT917532 LWP917532 MGL917532 MQH917532 NAD917532 NJZ917532 NTV917532 ODR917532 ONN917532 OXJ917532 PHF917532 PRB917532 QAX917532 QKT917532 QUP917532 REL917532 ROH917532 RYD917532 SHZ917532 SRV917532 TBR917532 TLN917532 TVJ917532 UFF917532 UPB917532 UYX917532 VIT917532 VSP917532 WCL917532 WMH917532 WWD917532 V983068 JR983068 TN983068 ADJ983068 ANF983068 AXB983068 BGX983068 BQT983068 CAP983068 CKL983068 CUH983068 DED983068 DNZ983068 DXV983068 EHR983068 ERN983068 FBJ983068 FLF983068 FVB983068 GEX983068 GOT983068 GYP983068 HIL983068 HSH983068 ICD983068 ILZ983068 IVV983068 JFR983068 JPN983068 JZJ983068 KJF983068 KTB983068 LCX983068 LMT983068 LWP983068 MGL983068 MQH983068 NAD983068 NJZ983068 NTV983068 ODR983068 ONN983068 OXJ983068 PHF983068 PRB983068 QAX983068 QKT983068 QUP983068 REL983068 ROH983068 RYD983068 SHZ983068 SRV983068 TBR983068 TLN983068 TVJ983068 UFF983068 UPB983068 UYX983068 VIT983068 VSP983068 WCL983068 WMH983068 WWD983068 V26 JR26 TN26 ADJ26 ANF26 AXB26 BGX26 BQT26 CAP26 CKL26 CUH26 DED26 DNZ26 DXV26 EHR26 ERN26 FBJ26 FLF26 FVB26 GEX26 GOT26 GYP26 HIL26 HSH26 ICD26 ILZ26 IVV26 JFR26 JPN26 JZJ26 KJF26 KTB26 LCX26 LMT26 LWP26 MGL26 MQH26 NAD26 NJZ26 NTV26 ODR26 ONN26 OXJ26 PHF26 PRB26 QAX26 QKT26 QUP26 REL26 ROH26 RYD26 SHZ26 SRV26 TBR26 TLN26 TVJ26 UFF26 UPB26 UYX26 VIT26 VSP26 WCL26 WMH26 WWD26 V65562 JR65562 TN65562 ADJ65562 ANF65562 AXB65562 BGX65562 BQT65562 CAP65562 CKL65562 CUH65562 DED65562 DNZ65562 DXV65562 EHR65562 ERN65562 FBJ65562 FLF65562 FVB65562 GEX65562 GOT65562 GYP65562 HIL65562 HSH65562 ICD65562 ILZ65562 IVV65562 JFR65562 JPN65562 JZJ65562 KJF65562 KTB65562 LCX65562 LMT65562 LWP65562 MGL65562 MQH65562 NAD65562 NJZ65562 NTV65562 ODR65562 ONN65562 OXJ65562 PHF65562 PRB65562 QAX65562 QKT65562 QUP65562 REL65562 ROH65562 RYD65562 SHZ65562 SRV65562 TBR65562 TLN65562 TVJ65562 UFF65562 UPB65562 UYX65562 VIT65562 VSP65562 WCL65562 WMH65562 WWD65562 V131098 JR131098 TN131098 ADJ131098 ANF131098 AXB131098 BGX131098 BQT131098 CAP131098 CKL131098 CUH131098 DED131098 DNZ131098 DXV131098 EHR131098 ERN131098 FBJ131098 FLF131098 FVB131098 GEX131098 GOT131098 GYP131098 HIL131098 HSH131098 ICD131098 ILZ131098 IVV131098 JFR131098 JPN131098 JZJ131098 KJF131098 KTB131098 LCX131098 LMT131098 LWP131098 MGL131098 MQH131098 NAD131098 NJZ131098 NTV131098 ODR131098 ONN131098 OXJ131098 PHF131098 PRB131098 QAX131098 QKT131098 QUP131098 REL131098 ROH131098 RYD131098 SHZ131098 SRV131098 TBR131098 TLN131098 TVJ131098 UFF131098 UPB131098 UYX131098 VIT131098 VSP131098 WCL131098 WMH131098 WWD131098 V196634 JR196634 TN196634 ADJ196634 ANF196634 AXB196634 BGX196634 BQT196634 CAP196634 CKL196634 CUH196634 DED196634 DNZ196634 DXV196634 EHR196634 ERN196634 FBJ196634 FLF196634 FVB196634 GEX196634 GOT196634 GYP196634 HIL196634 HSH196634 ICD196634 ILZ196634 IVV196634 JFR196634 JPN196634 JZJ196634 KJF196634 KTB196634 LCX196634 LMT196634 LWP196634 MGL196634 MQH196634 NAD196634 NJZ196634 NTV196634 ODR196634 ONN196634 OXJ196634 PHF196634 PRB196634 QAX196634 QKT196634 QUP196634 REL196634 ROH196634 RYD196634 SHZ196634 SRV196634 TBR196634 TLN196634 TVJ196634 UFF196634 UPB196634 UYX196634 VIT196634 VSP196634 WCL196634 WMH196634 WWD196634 V262170 JR262170 TN262170 ADJ262170 ANF262170 AXB262170 BGX262170 BQT262170 CAP262170 CKL262170 CUH262170 DED262170 DNZ262170 DXV262170 EHR262170 ERN262170 FBJ262170 FLF262170 FVB262170 GEX262170 GOT262170 GYP262170 HIL262170 HSH262170 ICD262170 ILZ262170 IVV262170 JFR262170 JPN262170 JZJ262170 KJF262170 KTB262170 LCX262170 LMT262170 LWP262170 MGL262170 MQH262170 NAD262170 NJZ262170 NTV262170 ODR262170 ONN262170 OXJ262170 PHF262170 PRB262170 QAX262170 QKT262170 QUP262170 REL262170 ROH262170 RYD262170 SHZ262170 SRV262170 TBR262170 TLN262170 TVJ262170 UFF262170 UPB262170 UYX262170 VIT262170 VSP262170 WCL262170 WMH262170 WWD262170 V327706 JR327706 TN327706 ADJ327706 ANF327706 AXB327706 BGX327706 BQT327706 CAP327706 CKL327706 CUH327706 DED327706 DNZ327706 DXV327706 EHR327706 ERN327706 FBJ327706 FLF327706 FVB327706 GEX327706 GOT327706 GYP327706 HIL327706 HSH327706 ICD327706 ILZ327706 IVV327706 JFR327706 JPN327706 JZJ327706 KJF327706 KTB327706 LCX327706 LMT327706 LWP327706 MGL327706 MQH327706 NAD327706 NJZ327706 NTV327706 ODR327706 ONN327706 OXJ327706 PHF327706 PRB327706 QAX327706 QKT327706 QUP327706 REL327706 ROH327706 RYD327706 SHZ327706 SRV327706 TBR327706 TLN327706 TVJ327706 UFF327706 UPB327706 UYX327706 VIT327706 VSP327706 WCL327706 WMH327706 WWD327706 V393242 JR393242 TN393242 ADJ393242 ANF393242 AXB393242 BGX393242 BQT393242 CAP393242 CKL393242 CUH393242 DED393242 DNZ393242 DXV393242 EHR393242 ERN393242 FBJ393242 FLF393242 FVB393242 GEX393242 GOT393242 GYP393242 HIL393242 HSH393242 ICD393242 ILZ393242 IVV393242 JFR393242 JPN393242 JZJ393242 KJF393242 KTB393242 LCX393242 LMT393242 LWP393242 MGL393242 MQH393242 NAD393242 NJZ393242 NTV393242 ODR393242 ONN393242 OXJ393242 PHF393242 PRB393242 QAX393242 QKT393242 QUP393242 REL393242 ROH393242 RYD393242 SHZ393242 SRV393242 TBR393242 TLN393242 TVJ393242 UFF393242 UPB393242 UYX393242 VIT393242 VSP393242 WCL393242 WMH393242 WWD393242 V458778 JR458778 TN458778 ADJ458778 ANF458778 AXB458778 BGX458778 BQT458778 CAP458778 CKL458778 CUH458778 DED458778 DNZ458778 DXV458778 EHR458778 ERN458778 FBJ458778 FLF458778 FVB458778 GEX458778 GOT458778 GYP458778 HIL458778 HSH458778 ICD458778 ILZ458778 IVV458778 JFR458778 JPN458778 JZJ458778 KJF458778 KTB458778 LCX458778 LMT458778 LWP458778 MGL458778 MQH458778 NAD458778 NJZ458778 NTV458778 ODR458778 ONN458778 OXJ458778 PHF458778 PRB458778 QAX458778 QKT458778 QUP458778 REL458778 ROH458778 RYD458778 SHZ458778 SRV458778 TBR458778 TLN458778 TVJ458778 UFF458778 UPB458778 UYX458778 VIT458778 VSP458778 WCL458778 WMH458778 WWD458778 V524314 JR524314 TN524314 ADJ524314 ANF524314 AXB524314 BGX524314 BQT524314 CAP524314 CKL524314 CUH524314 DED524314 DNZ524314 DXV524314 EHR524314 ERN524314 FBJ524314 FLF524314 FVB524314 GEX524314 GOT524314 GYP524314 HIL524314 HSH524314 ICD524314 ILZ524314 IVV524314 JFR524314 JPN524314 JZJ524314 KJF524314 KTB524314 LCX524314 LMT524314 LWP524314 MGL524314 MQH524314 NAD524314 NJZ524314 NTV524314 ODR524314 ONN524314 OXJ524314 PHF524314 PRB524314 QAX524314 QKT524314 QUP524314 REL524314 ROH524314 RYD524314 SHZ524314 SRV524314 TBR524314 TLN524314 TVJ524314 UFF524314 UPB524314 UYX524314 VIT524314 VSP524314 WCL524314 WMH524314 WWD524314 V589850 JR589850 TN589850 ADJ589850 ANF589850 AXB589850 BGX589850 BQT589850 CAP589850 CKL589850 CUH589850 DED589850 DNZ589850 DXV589850 EHR589850 ERN589850 FBJ589850 FLF589850 FVB589850 GEX589850 GOT589850 GYP589850 HIL589850 HSH589850 ICD589850 ILZ589850 IVV589850 JFR589850 JPN589850 JZJ589850 KJF589850 KTB589850 LCX589850 LMT589850 LWP589850 MGL589850 MQH589850 NAD589850 NJZ589850 NTV589850 ODR589850 ONN589850 OXJ589850 PHF589850 PRB589850 QAX589850 QKT589850 QUP589850 REL589850 ROH589850 RYD589850 SHZ589850 SRV589850 TBR589850 TLN589850 TVJ589850 UFF589850 UPB589850 UYX589850 VIT589850 VSP589850 WCL589850 WMH589850 WWD589850 V655386 JR655386 TN655386 ADJ655386 ANF655386 AXB655386 BGX655386 BQT655386 CAP655386 CKL655386 CUH655386 DED655386 DNZ655386 DXV655386 EHR655386 ERN655386 FBJ655386 FLF655386 FVB655386 GEX655386 GOT655386 GYP655386 HIL655386 HSH655386 ICD655386 ILZ655386 IVV655386 JFR655386 JPN655386 JZJ655386 KJF655386 KTB655386 LCX655386 LMT655386 LWP655386 MGL655386 MQH655386 NAD655386 NJZ655386 NTV655386 ODR655386 ONN655386 OXJ655386 PHF655386 PRB655386 QAX655386 QKT655386 QUP655386 REL655386 ROH655386 RYD655386 SHZ655386 SRV655386 TBR655386 TLN655386 TVJ655386 UFF655386 UPB655386 UYX655386 VIT655386 VSP655386 WCL655386 WMH655386 WWD655386 V720922 JR720922 TN720922 ADJ720922 ANF720922 AXB720922 BGX720922 BQT720922 CAP720922 CKL720922 CUH720922 DED720922 DNZ720922 DXV720922 EHR720922 ERN720922 FBJ720922 FLF720922 FVB720922 GEX720922 GOT720922 GYP720922 HIL720922 HSH720922 ICD720922 ILZ720922 IVV720922 JFR720922 JPN720922 JZJ720922 KJF720922 KTB720922 LCX720922 LMT720922 LWP720922 MGL720922 MQH720922 NAD720922 NJZ720922 NTV720922 ODR720922 ONN720922 OXJ720922 PHF720922 PRB720922 QAX720922 QKT720922 QUP720922 REL720922 ROH720922 RYD720922 SHZ720922 SRV720922 TBR720922 TLN720922 TVJ720922 UFF720922 UPB720922 UYX720922 VIT720922 VSP720922 WCL720922 WMH720922 WWD720922 V786458 JR786458 TN786458 ADJ786458 ANF786458 AXB786458 BGX786458 BQT786458 CAP786458 CKL786458 CUH786458 DED786458 DNZ786458 DXV786458 EHR786458 ERN786458 FBJ786458 FLF786458 FVB786458 GEX786458 GOT786458 GYP786458 HIL786458 HSH786458 ICD786458 ILZ786458 IVV786458 JFR786458 JPN786458 JZJ786458 KJF786458 KTB786458 LCX786458 LMT786458 LWP786458 MGL786458 MQH786458 NAD786458 NJZ786458 NTV786458 ODR786458 ONN786458 OXJ786458 PHF786458 PRB786458 QAX786458 QKT786458 QUP786458 REL786458 ROH786458 RYD786458 SHZ786458 SRV786458 TBR786458 TLN786458 TVJ786458 UFF786458 UPB786458 UYX786458 VIT786458 VSP786458 WCL786458 WMH786458 WWD786458 V851994 JR851994 TN851994 ADJ851994 ANF851994 AXB851994 BGX851994 BQT851994 CAP851994 CKL851994 CUH851994 DED851994 DNZ851994 DXV851994 EHR851994 ERN851994 FBJ851994 FLF851994 FVB851994 GEX851994 GOT851994 GYP851994 HIL851994 HSH851994 ICD851994 ILZ851994 IVV851994 JFR851994 JPN851994 JZJ851994 KJF851994 KTB851994 LCX851994 LMT851994 LWP851994 MGL851994 MQH851994 NAD851994 NJZ851994 NTV851994 ODR851994 ONN851994 OXJ851994 PHF851994 PRB851994 QAX851994 QKT851994 QUP851994 REL851994 ROH851994 RYD851994 SHZ851994 SRV851994 TBR851994 TLN851994 TVJ851994 UFF851994 UPB851994 UYX851994 VIT851994 VSP851994 WCL851994 WMH851994 WWD851994 V917530 JR917530 TN917530 ADJ917530 ANF917530 AXB917530 BGX917530 BQT917530 CAP917530 CKL917530 CUH917530 DED917530 DNZ917530 DXV917530 EHR917530 ERN917530 FBJ917530 FLF917530 FVB917530 GEX917530 GOT917530 GYP917530 HIL917530 HSH917530 ICD917530 ILZ917530 IVV917530 JFR917530 JPN917530 JZJ917530 KJF917530 KTB917530 LCX917530 LMT917530 LWP917530 MGL917530 MQH917530 NAD917530 NJZ917530 NTV917530 ODR917530 ONN917530 OXJ917530 PHF917530 PRB917530 QAX917530 QKT917530 QUP917530 REL917530 ROH917530 RYD917530 SHZ917530 SRV917530 TBR917530 TLN917530 TVJ917530 UFF917530 UPB917530 UYX917530 VIT917530 VSP917530 WCL917530 WMH917530 WWD917530 V983066 JR983066 TN983066 ADJ983066 ANF983066 AXB983066 BGX983066 BQT983066 CAP983066 CKL983066 CUH983066 DED983066 DNZ983066 DXV983066 EHR983066 ERN983066 FBJ983066 FLF983066 FVB983066 GEX983066 GOT983066 GYP983066 HIL983066 HSH983066 ICD983066 ILZ983066 IVV983066 JFR983066 JPN983066 JZJ983066 KJF983066 KTB983066 LCX983066 LMT983066 LWP983066 MGL983066 MQH983066 NAD983066 NJZ983066 NTV983066 ODR983066 ONN983066 OXJ983066 PHF983066 PRB983066 QAX983066 QKT983066 QUP983066 REL983066 ROH983066 RYD983066 SHZ983066 SRV983066 TBR983066 TLN983066 TVJ983066 UFF983066 UPB983066 UYX983066 VIT983066 VSP983066 WCL983066 WMH983066 WWD983066 V24 JR24 TN24 ADJ24 ANF24 AXB24 BGX24 BQT24 CAP24 CKL24 CUH24 DED24 DNZ24 DXV24 EHR24 ERN24 FBJ24 FLF24 FVB24 GEX24 GOT24 GYP24 HIL24 HSH24 ICD24 ILZ24 IVV24 JFR24 JPN24 JZJ24 KJF24 KTB24 LCX24 LMT24 LWP24 MGL24 MQH24 NAD24 NJZ24 NTV24 ODR24 ONN24 OXJ24 PHF24 PRB24 QAX24 QKT24 QUP24 REL24 ROH24 RYD24 SHZ24 SRV24 TBR24 TLN24 TVJ24 UFF24 UPB24 UYX24 VIT24 VSP24 WCL24 WMH24 WWD24 V65560 JR65560 TN65560 ADJ65560 ANF65560 AXB65560 BGX65560 BQT65560 CAP65560 CKL65560 CUH65560 DED65560 DNZ65560 DXV65560 EHR65560 ERN65560 FBJ65560 FLF65560 FVB65560 GEX65560 GOT65560 GYP65560 HIL65560 HSH65560 ICD65560 ILZ65560 IVV65560 JFR65560 JPN65560 JZJ65560 KJF65560 KTB65560 LCX65560 LMT65560 LWP65560 MGL65560 MQH65560 NAD65560 NJZ65560 NTV65560 ODR65560 ONN65560 OXJ65560 PHF65560 PRB65560 QAX65560 QKT65560 QUP65560 REL65560 ROH65560 RYD65560 SHZ65560 SRV65560 TBR65560 TLN65560 TVJ65560 UFF65560 UPB65560 UYX65560 VIT65560 VSP65560 WCL65560 WMH65560 WWD65560 V131096 JR131096 TN131096 ADJ131096 ANF131096 AXB131096 BGX131096 BQT131096 CAP131096 CKL131096 CUH131096 DED131096 DNZ131096 DXV131096 EHR131096 ERN131096 FBJ131096 FLF131096 FVB131096 GEX131096 GOT131096 GYP131096 HIL131096 HSH131096 ICD131096 ILZ131096 IVV131096 JFR131096 JPN131096 JZJ131096 KJF131096 KTB131096 LCX131096 LMT131096 LWP131096 MGL131096 MQH131096 NAD131096 NJZ131096 NTV131096 ODR131096 ONN131096 OXJ131096 PHF131096 PRB131096 QAX131096 QKT131096 QUP131096 REL131096 ROH131096 RYD131096 SHZ131096 SRV131096 TBR131096 TLN131096 TVJ131096 UFF131096 UPB131096 UYX131096 VIT131096 VSP131096 WCL131096 WMH131096 WWD131096 V196632 JR196632 TN196632 ADJ196632 ANF196632 AXB196632 BGX196632 BQT196632 CAP196632 CKL196632 CUH196632 DED196632 DNZ196632 DXV196632 EHR196632 ERN196632 FBJ196632 FLF196632 FVB196632 GEX196632 GOT196632 GYP196632 HIL196632 HSH196632 ICD196632 ILZ196632 IVV196632 JFR196632 JPN196632 JZJ196632 KJF196632 KTB196632 LCX196632 LMT196632 LWP196632 MGL196632 MQH196632 NAD196632 NJZ196632 NTV196632 ODR196632 ONN196632 OXJ196632 PHF196632 PRB196632 QAX196632 QKT196632 QUP196632 REL196632 ROH196632 RYD196632 SHZ196632 SRV196632 TBR196632 TLN196632 TVJ196632 UFF196632 UPB196632 UYX196632 VIT196632 VSP196632 WCL196632 WMH196632 WWD196632 V262168 JR262168 TN262168 ADJ262168 ANF262168 AXB262168 BGX262168 BQT262168 CAP262168 CKL262168 CUH262168 DED262168 DNZ262168 DXV262168 EHR262168 ERN262168 FBJ262168 FLF262168 FVB262168 GEX262168 GOT262168 GYP262168 HIL262168 HSH262168 ICD262168 ILZ262168 IVV262168 JFR262168 JPN262168 JZJ262168 KJF262168 KTB262168 LCX262168 LMT262168 LWP262168 MGL262168 MQH262168 NAD262168 NJZ262168 NTV262168 ODR262168 ONN262168 OXJ262168 PHF262168 PRB262168 QAX262168 QKT262168 QUP262168 REL262168 ROH262168 RYD262168 SHZ262168 SRV262168 TBR262168 TLN262168 TVJ262168 UFF262168 UPB262168 UYX262168 VIT262168 VSP262168 WCL262168 WMH262168 WWD262168 V327704 JR327704 TN327704 ADJ327704 ANF327704 AXB327704 BGX327704 BQT327704 CAP327704 CKL327704 CUH327704 DED327704 DNZ327704 DXV327704 EHR327704 ERN327704 FBJ327704 FLF327704 FVB327704 GEX327704 GOT327704 GYP327704 HIL327704 HSH327704 ICD327704 ILZ327704 IVV327704 JFR327704 JPN327704 JZJ327704 KJF327704 KTB327704 LCX327704 LMT327704 LWP327704 MGL327704 MQH327704 NAD327704 NJZ327704 NTV327704 ODR327704 ONN327704 OXJ327704 PHF327704 PRB327704 QAX327704 QKT327704 QUP327704 REL327704 ROH327704 RYD327704 SHZ327704 SRV327704 TBR327704 TLN327704 TVJ327704 UFF327704 UPB327704 UYX327704 VIT327704 VSP327704 WCL327704 WMH327704 WWD327704 V393240 JR393240 TN393240 ADJ393240 ANF393240 AXB393240 BGX393240 BQT393240 CAP393240 CKL393240 CUH393240 DED393240 DNZ393240 DXV393240 EHR393240 ERN393240 FBJ393240 FLF393240 FVB393240 GEX393240 GOT393240 GYP393240 HIL393240 HSH393240 ICD393240 ILZ393240 IVV393240 JFR393240 JPN393240 JZJ393240 KJF393240 KTB393240 LCX393240 LMT393240 LWP393240 MGL393240 MQH393240 NAD393240 NJZ393240 NTV393240 ODR393240 ONN393240 OXJ393240 PHF393240 PRB393240 QAX393240 QKT393240 QUP393240 REL393240 ROH393240 RYD393240 SHZ393240 SRV393240 TBR393240 TLN393240 TVJ393240 UFF393240 UPB393240 UYX393240 VIT393240 VSP393240 WCL393240 WMH393240 WWD393240 V458776 JR458776 TN458776 ADJ458776 ANF458776 AXB458776 BGX458776 BQT458776 CAP458776 CKL458776 CUH458776 DED458776 DNZ458776 DXV458776 EHR458776 ERN458776 FBJ458776 FLF458776 FVB458776 GEX458776 GOT458776 GYP458776 HIL458776 HSH458776 ICD458776 ILZ458776 IVV458776 JFR458776 JPN458776 JZJ458776 KJF458776 KTB458776 LCX458776 LMT458776 LWP458776 MGL458776 MQH458776 NAD458776 NJZ458776 NTV458776 ODR458776 ONN458776 OXJ458776 PHF458776 PRB458776 QAX458776 QKT458776 QUP458776 REL458776 ROH458776 RYD458776 SHZ458776 SRV458776 TBR458776 TLN458776 TVJ458776 UFF458776 UPB458776 UYX458776 VIT458776 VSP458776 WCL458776 WMH458776 WWD458776 V524312 JR524312 TN524312 ADJ524312 ANF524312 AXB524312 BGX524312 BQT524312 CAP524312 CKL524312 CUH524312 DED524312 DNZ524312 DXV524312 EHR524312 ERN524312 FBJ524312 FLF524312 FVB524312 GEX524312 GOT524312 GYP524312 HIL524312 HSH524312 ICD524312 ILZ524312 IVV524312 JFR524312 JPN524312 JZJ524312 KJF524312 KTB524312 LCX524312 LMT524312 LWP524312 MGL524312 MQH524312 NAD524312 NJZ524312 NTV524312 ODR524312 ONN524312 OXJ524312 PHF524312 PRB524312 QAX524312 QKT524312 QUP524312 REL524312 ROH524312 RYD524312 SHZ524312 SRV524312 TBR524312 TLN524312 TVJ524312 UFF524312 UPB524312 UYX524312 VIT524312 VSP524312 WCL524312 WMH524312 WWD524312 V589848 JR589848 TN589848 ADJ589848 ANF589848 AXB589848 BGX589848 BQT589848 CAP589848 CKL589848 CUH589848 DED589848 DNZ589848 DXV589848 EHR589848 ERN589848 FBJ589848 FLF589848 FVB589848 GEX589848 GOT589848 GYP589848 HIL589848 HSH589848 ICD589848 ILZ589848 IVV589848 JFR589848 JPN589848 JZJ589848 KJF589848 KTB589848 LCX589848 LMT589848 LWP589848 MGL589848 MQH589848 NAD589848 NJZ589848 NTV589848 ODR589848 ONN589848 OXJ589848 PHF589848 PRB589848 QAX589848 QKT589848 QUP589848 REL589848 ROH589848 RYD589848 SHZ589848 SRV589848 TBR589848 TLN589848 TVJ589848 UFF589848 UPB589848 UYX589848 VIT589848 VSP589848 WCL589848 WMH589848 WWD589848 V655384 JR655384 TN655384 ADJ655384 ANF655384 AXB655384 BGX655384 BQT655384 CAP655384 CKL655384 CUH655384 DED655384 DNZ655384 DXV655384 EHR655384 ERN655384 FBJ655384 FLF655384 FVB655384 GEX655384 GOT655384 GYP655384 HIL655384 HSH655384 ICD655384 ILZ655384 IVV655384 JFR655384 JPN655384 JZJ655384 KJF655384 KTB655384 LCX655384 LMT655384 LWP655384 MGL655384 MQH655384 NAD655384 NJZ655384 NTV655384 ODR655384 ONN655384 OXJ655384 PHF655384 PRB655384 QAX655384 QKT655384 QUP655384 REL655384 ROH655384 RYD655384 SHZ655384 SRV655384 TBR655384 TLN655384 TVJ655384 UFF655384 UPB655384 UYX655384 VIT655384 VSP655384 WCL655384 WMH655384 WWD655384 V720920 JR720920 TN720920 ADJ720920 ANF720920 AXB720920 BGX720920 BQT720920 CAP720920 CKL720920 CUH720920 DED720920 DNZ720920 DXV720920 EHR720920 ERN720920 FBJ720920 FLF720920 FVB720920 GEX720920 GOT720920 GYP720920 HIL720920 HSH720920 ICD720920 ILZ720920 IVV720920 JFR720920 JPN720920 JZJ720920 KJF720920 KTB720920 LCX720920 LMT720920 LWP720920 MGL720920 MQH720920 NAD720920 NJZ720920 NTV720920 ODR720920 ONN720920 OXJ720920 PHF720920 PRB720920 QAX720920 QKT720920 QUP720920 REL720920 ROH720920 RYD720920 SHZ720920 SRV720920 TBR720920 TLN720920 TVJ720920 UFF720920 UPB720920 UYX720920 VIT720920 VSP720920 WCL720920 WMH720920 WWD720920 V786456 JR786456 TN786456 ADJ786456 ANF786456 AXB786456 BGX786456 BQT786456 CAP786456 CKL786456 CUH786456 DED786456 DNZ786456 DXV786456 EHR786456 ERN786456 FBJ786456 FLF786456 FVB786456 GEX786456 GOT786456 GYP786456 HIL786456 HSH786456 ICD786456 ILZ786456 IVV786456 JFR786456 JPN786456 JZJ786456 KJF786456 KTB786456 LCX786456 LMT786456 LWP786456 MGL786456 MQH786456 NAD786456 NJZ786456 NTV786456 ODR786456 ONN786456 OXJ786456 PHF786456 PRB786456 QAX786456 QKT786456 QUP786456 REL786456 ROH786456 RYD786456 SHZ786456 SRV786456 TBR786456 TLN786456 TVJ786456 UFF786456 UPB786456 UYX786456 VIT786456 VSP786456 WCL786456 WMH786456 WWD786456 V851992 JR851992 TN851992 ADJ851992 ANF851992 AXB851992 BGX851992 BQT851992 CAP851992 CKL851992 CUH851992 DED851992 DNZ851992 DXV851992 EHR851992 ERN851992 FBJ851992 FLF851992 FVB851992 GEX851992 GOT851992 GYP851992 HIL851992 HSH851992 ICD851992 ILZ851992 IVV851992 JFR851992 JPN851992 JZJ851992 KJF851992 KTB851992 LCX851992 LMT851992 LWP851992 MGL851992 MQH851992 NAD851992 NJZ851992 NTV851992 ODR851992 ONN851992 OXJ851992 PHF851992 PRB851992 QAX851992 QKT851992 QUP851992 REL851992 ROH851992 RYD851992 SHZ851992 SRV851992 TBR851992 TLN851992 TVJ851992 UFF851992 UPB851992 UYX851992 VIT851992 VSP851992 WCL851992 WMH851992 WWD851992 V917528 JR917528 TN917528 ADJ917528 ANF917528 AXB917528 BGX917528 BQT917528 CAP917528 CKL917528 CUH917528 DED917528 DNZ917528 DXV917528 EHR917528 ERN917528 FBJ917528 FLF917528 FVB917528 GEX917528 GOT917528 GYP917528 HIL917528 HSH917528 ICD917528 ILZ917528 IVV917528 JFR917528 JPN917528 JZJ917528 KJF917528 KTB917528 LCX917528 LMT917528 LWP917528 MGL917528 MQH917528 NAD917528 NJZ917528 NTV917528 ODR917528 ONN917528 OXJ917528 PHF917528 PRB917528 QAX917528 QKT917528 QUP917528 REL917528 ROH917528 RYD917528 SHZ917528 SRV917528 TBR917528 TLN917528 TVJ917528 UFF917528 UPB917528 UYX917528 VIT917528 VSP917528 WCL917528 WMH917528 WWD917528 V983064 JR983064 TN983064 ADJ983064 ANF983064 AXB983064 BGX983064 BQT983064 CAP983064 CKL983064 CUH983064 DED983064 DNZ983064 DXV983064 EHR983064 ERN983064 FBJ983064 FLF983064 FVB983064 GEX983064 GOT983064 GYP983064 HIL983064 HSH983064 ICD983064 ILZ983064 IVV983064 JFR983064 JPN983064 JZJ983064 KJF983064 KTB983064 LCX983064 LMT983064 LWP983064 MGL983064 MQH983064 NAD983064 NJZ983064 NTV983064 ODR983064 ONN983064 OXJ983064 PHF983064 PRB983064 QAX983064 QKT983064 QUP983064 REL983064 ROH983064 RYD983064 SHZ983064 SRV983064 TBR983064 TLN983064 TVJ983064 UFF983064 UPB983064 UYX983064 VIT983064 VSP983064 WCL983064 WMH983064 WWD983064 V22 JR22 TN22 ADJ22 ANF22 AXB22 BGX22 BQT22 CAP22 CKL22 CUH22 DED22 DNZ22 DXV22 EHR22 ERN22 FBJ22 FLF22 FVB22 GEX22 GOT22 GYP22 HIL22 HSH22 ICD22 ILZ22 IVV22 JFR22 JPN22 JZJ22 KJF22 KTB22 LCX22 LMT22 LWP22 MGL22 MQH22 NAD22 NJZ22 NTV22 ODR22 ONN22 OXJ22 PHF22 PRB22 QAX22 QKT22 QUP22 REL22 ROH22 RYD22 SHZ22 SRV22 TBR22 TLN22 TVJ22 UFF22 UPB22 UYX22 VIT22 VSP22 WCL22 WMH22 WWD22 V65558 JR65558 TN65558 ADJ65558 ANF65558 AXB65558 BGX65558 BQT65558 CAP65558 CKL65558 CUH65558 DED65558 DNZ65558 DXV65558 EHR65558 ERN65558 FBJ65558 FLF65558 FVB65558 GEX65558 GOT65558 GYP65558 HIL65558 HSH65558 ICD65558 ILZ65558 IVV65558 JFR65558 JPN65558 JZJ65558 KJF65558 KTB65558 LCX65558 LMT65558 LWP65558 MGL65558 MQH65558 NAD65558 NJZ65558 NTV65558 ODR65558 ONN65558 OXJ65558 PHF65558 PRB65558 QAX65558 QKT65558 QUP65558 REL65558 ROH65558 RYD65558 SHZ65558 SRV65558 TBR65558 TLN65558 TVJ65558 UFF65558 UPB65558 UYX65558 VIT65558 VSP65558 WCL65558 WMH65558 WWD65558 V131094 JR131094 TN131094 ADJ131094 ANF131094 AXB131094 BGX131094 BQT131094 CAP131094 CKL131094 CUH131094 DED131094 DNZ131094 DXV131094 EHR131094 ERN131094 FBJ131094 FLF131094 FVB131094 GEX131094 GOT131094 GYP131094 HIL131094 HSH131094 ICD131094 ILZ131094 IVV131094 JFR131094 JPN131094 JZJ131094 KJF131094 KTB131094 LCX131094 LMT131094 LWP131094 MGL131094 MQH131094 NAD131094 NJZ131094 NTV131094 ODR131094 ONN131094 OXJ131094 PHF131094 PRB131094 QAX131094 QKT131094 QUP131094 REL131094 ROH131094 RYD131094 SHZ131094 SRV131094 TBR131094 TLN131094 TVJ131094 UFF131094 UPB131094 UYX131094 VIT131094 VSP131094 WCL131094 WMH131094 WWD131094 V196630 JR196630 TN196630 ADJ196630 ANF196630 AXB196630 BGX196630 BQT196630 CAP196630 CKL196630 CUH196630 DED196630 DNZ196630 DXV196630 EHR196630 ERN196630 FBJ196630 FLF196630 FVB196630 GEX196630 GOT196630 GYP196630 HIL196630 HSH196630 ICD196630 ILZ196630 IVV196630 JFR196630 JPN196630 JZJ196630 KJF196630 KTB196630 LCX196630 LMT196630 LWP196630 MGL196630 MQH196630 NAD196630 NJZ196630 NTV196630 ODR196630 ONN196630 OXJ196630 PHF196630 PRB196630 QAX196630 QKT196630 QUP196630 REL196630 ROH196630 RYD196630 SHZ196630 SRV196630 TBR196630 TLN196630 TVJ196630 UFF196630 UPB196630 UYX196630 VIT196630 VSP196630 WCL196630 WMH196630 WWD196630 V262166 JR262166 TN262166 ADJ262166 ANF262166 AXB262166 BGX262166 BQT262166 CAP262166 CKL262166 CUH262166 DED262166 DNZ262166 DXV262166 EHR262166 ERN262166 FBJ262166 FLF262166 FVB262166 GEX262166 GOT262166 GYP262166 HIL262166 HSH262166 ICD262166 ILZ262166 IVV262166 JFR262166 JPN262166 JZJ262166 KJF262166 KTB262166 LCX262166 LMT262166 LWP262166 MGL262166 MQH262166 NAD262166 NJZ262166 NTV262166 ODR262166 ONN262166 OXJ262166 PHF262166 PRB262166 QAX262166 QKT262166 QUP262166 REL262166 ROH262166 RYD262166 SHZ262166 SRV262166 TBR262166 TLN262166 TVJ262166 UFF262166 UPB262166 UYX262166 VIT262166 VSP262166 WCL262166 WMH262166 WWD262166 V327702 JR327702 TN327702 ADJ327702 ANF327702 AXB327702 BGX327702 BQT327702 CAP327702 CKL327702 CUH327702 DED327702 DNZ327702 DXV327702 EHR327702 ERN327702 FBJ327702 FLF327702 FVB327702 GEX327702 GOT327702 GYP327702 HIL327702 HSH327702 ICD327702 ILZ327702 IVV327702 JFR327702 JPN327702 JZJ327702 KJF327702 KTB327702 LCX327702 LMT327702 LWP327702 MGL327702 MQH327702 NAD327702 NJZ327702 NTV327702 ODR327702 ONN327702 OXJ327702 PHF327702 PRB327702 QAX327702 QKT327702 QUP327702 REL327702 ROH327702 RYD327702 SHZ327702 SRV327702 TBR327702 TLN327702 TVJ327702 UFF327702 UPB327702 UYX327702 VIT327702 VSP327702 WCL327702 WMH327702 WWD327702 V393238 JR393238 TN393238 ADJ393238 ANF393238 AXB393238 BGX393238 BQT393238 CAP393238 CKL393238 CUH393238 DED393238 DNZ393238 DXV393238 EHR393238 ERN393238 FBJ393238 FLF393238 FVB393238 GEX393238 GOT393238 GYP393238 HIL393238 HSH393238 ICD393238 ILZ393238 IVV393238 JFR393238 JPN393238 JZJ393238 KJF393238 KTB393238 LCX393238 LMT393238 LWP393238 MGL393238 MQH393238 NAD393238 NJZ393238 NTV393238 ODR393238 ONN393238 OXJ393238 PHF393238 PRB393238 QAX393238 QKT393238 QUP393238 REL393238 ROH393238 RYD393238 SHZ393238 SRV393238 TBR393238 TLN393238 TVJ393238 UFF393238 UPB393238 UYX393238 VIT393238 VSP393238 WCL393238 WMH393238 WWD393238 V458774 JR458774 TN458774 ADJ458774 ANF458774 AXB458774 BGX458774 BQT458774 CAP458774 CKL458774 CUH458774 DED458774 DNZ458774 DXV458774 EHR458774 ERN458774 FBJ458774 FLF458774 FVB458774 GEX458774 GOT458774 GYP458774 HIL458774 HSH458774 ICD458774 ILZ458774 IVV458774 JFR458774 JPN458774 JZJ458774 KJF458774 KTB458774 LCX458774 LMT458774 LWP458774 MGL458774 MQH458774 NAD458774 NJZ458774 NTV458774 ODR458774 ONN458774 OXJ458774 PHF458774 PRB458774 QAX458774 QKT458774 QUP458774 REL458774 ROH458774 RYD458774 SHZ458774 SRV458774 TBR458774 TLN458774 TVJ458774 UFF458774 UPB458774 UYX458774 VIT458774 VSP458774 WCL458774 WMH458774 WWD458774 V524310 JR524310 TN524310 ADJ524310 ANF524310 AXB524310 BGX524310 BQT524310 CAP524310 CKL524310 CUH524310 DED524310 DNZ524310 DXV524310 EHR524310 ERN524310 FBJ524310 FLF524310 FVB524310 GEX524310 GOT524310 GYP524310 HIL524310 HSH524310 ICD524310 ILZ524310 IVV524310 JFR524310 JPN524310 JZJ524310 KJF524310 KTB524310 LCX524310 LMT524310 LWP524310 MGL524310 MQH524310 NAD524310 NJZ524310 NTV524310 ODR524310 ONN524310 OXJ524310 PHF524310 PRB524310 QAX524310 QKT524310 QUP524310 REL524310 ROH524310 RYD524310 SHZ524310 SRV524310 TBR524310 TLN524310 TVJ524310 UFF524310 UPB524310 UYX524310 VIT524310 VSP524310 WCL524310 WMH524310 WWD524310 V589846 JR589846 TN589846 ADJ589846 ANF589846 AXB589846 BGX589846 BQT589846 CAP589846 CKL589846 CUH589846 DED589846 DNZ589846 DXV589846 EHR589846 ERN589846 FBJ589846 FLF589846 FVB589846 GEX589846 GOT589846 GYP589846 HIL589846 HSH589846 ICD589846 ILZ589846 IVV589846 JFR589846 JPN589846 JZJ589846 KJF589846 KTB589846 LCX589846 LMT589846 LWP589846 MGL589846 MQH589846 NAD589846 NJZ589846 NTV589846 ODR589846 ONN589846 OXJ589846 PHF589846 PRB589846 QAX589846 QKT589846 QUP589846 REL589846 ROH589846 RYD589846 SHZ589846 SRV589846 TBR589846 TLN589846 TVJ589846 UFF589846 UPB589846 UYX589846 VIT589846 VSP589846 WCL589846 WMH589846 WWD589846 V655382 JR655382 TN655382 ADJ655382 ANF655382 AXB655382 BGX655382 BQT655382 CAP655382 CKL655382 CUH655382 DED655382 DNZ655382 DXV655382 EHR655382 ERN655382 FBJ655382 FLF655382 FVB655382 GEX655382 GOT655382 GYP655382 HIL655382 HSH655382 ICD655382 ILZ655382 IVV655382 JFR655382 JPN655382 JZJ655382 KJF655382 KTB655382 LCX655382 LMT655382 LWP655382 MGL655382 MQH655382 NAD655382 NJZ655382 NTV655382 ODR655382 ONN655382 OXJ655382 PHF655382 PRB655382 QAX655382 QKT655382 QUP655382 REL655382 ROH655382 RYD655382 SHZ655382 SRV655382 TBR655382 TLN655382 TVJ655382 UFF655382 UPB655382 UYX655382 VIT655382 VSP655382 WCL655382 WMH655382 WWD655382 V720918 JR720918 TN720918 ADJ720918 ANF720918 AXB720918 BGX720918 BQT720918 CAP720918 CKL720918 CUH720918 DED720918 DNZ720918 DXV720918 EHR720918 ERN720918 FBJ720918 FLF720918 FVB720918 GEX720918 GOT720918 GYP720918 HIL720918 HSH720918 ICD720918 ILZ720918 IVV720918 JFR720918 JPN720918 JZJ720918 KJF720918 KTB720918 LCX720918 LMT720918 LWP720918 MGL720918 MQH720918 NAD720918 NJZ720918 NTV720918 ODR720918 ONN720918 OXJ720918 PHF720918 PRB720918 QAX720918 QKT720918 QUP720918 REL720918 ROH720918 RYD720918 SHZ720918 SRV720918 TBR720918 TLN720918 TVJ720918 UFF720918 UPB720918 UYX720918 VIT720918 VSP720918 WCL720918 WMH720918 WWD720918 V786454 JR786454 TN786454 ADJ786454 ANF786454 AXB786454 BGX786454 BQT786454 CAP786454 CKL786454 CUH786454 DED786454 DNZ786454 DXV786454 EHR786454 ERN786454 FBJ786454 FLF786454 FVB786454 GEX786454 GOT786454 GYP786454 HIL786454 HSH786454 ICD786454 ILZ786454 IVV786454 JFR786454 JPN786454 JZJ786454 KJF786454 KTB786454 LCX786454 LMT786454 LWP786454 MGL786454 MQH786454 NAD786454 NJZ786454 NTV786454 ODR786454 ONN786454 OXJ786454 PHF786454 PRB786454 QAX786454 QKT786454 QUP786454 REL786454 ROH786454 RYD786454 SHZ786454 SRV786454 TBR786454 TLN786454 TVJ786454 UFF786454 UPB786454 UYX786454 VIT786454 VSP786454 WCL786454 WMH786454 WWD786454 V851990 JR851990 TN851990 ADJ851990 ANF851990 AXB851990 BGX851990 BQT851990 CAP851990 CKL851990 CUH851990 DED851990 DNZ851990 DXV851990 EHR851990 ERN851990 FBJ851990 FLF851990 FVB851990 GEX851990 GOT851990 GYP851990 HIL851990 HSH851990 ICD851990 ILZ851990 IVV851990 JFR851990 JPN851990 JZJ851990 KJF851990 KTB851990 LCX851990 LMT851990 LWP851990 MGL851990 MQH851990 NAD851990 NJZ851990 NTV851990 ODR851990 ONN851990 OXJ851990 PHF851990 PRB851990 QAX851990 QKT851990 QUP851990 REL851990 ROH851990 RYD851990 SHZ851990 SRV851990 TBR851990 TLN851990 TVJ851990 UFF851990 UPB851990 UYX851990 VIT851990 VSP851990 WCL851990 WMH851990 WWD851990 V917526 JR917526 TN917526 ADJ917526 ANF917526 AXB917526 BGX917526 BQT917526 CAP917526 CKL917526 CUH917526 DED917526 DNZ917526 DXV917526 EHR917526 ERN917526 FBJ917526 FLF917526 FVB917526 GEX917526 GOT917526 GYP917526 HIL917526 HSH917526 ICD917526 ILZ917526 IVV917526 JFR917526 JPN917526 JZJ917526 KJF917526 KTB917526 LCX917526 LMT917526 LWP917526 MGL917526 MQH917526 NAD917526 NJZ917526 NTV917526 ODR917526 ONN917526 OXJ917526 PHF917526 PRB917526 QAX917526 QKT917526 QUP917526 REL917526 ROH917526 RYD917526 SHZ917526 SRV917526 TBR917526 TLN917526 TVJ917526 UFF917526 UPB917526 UYX917526 VIT917526 VSP917526 WCL917526 WMH917526 WWD917526 V983062 JR983062 TN983062 ADJ983062 ANF983062 AXB983062 BGX983062 BQT983062 CAP983062 CKL983062 CUH983062 DED983062 DNZ983062 DXV983062 EHR983062 ERN983062 FBJ983062 FLF983062 FVB983062 GEX983062 GOT983062 GYP983062 HIL983062 HSH983062 ICD983062 ILZ983062 IVV983062 JFR983062 JPN983062 JZJ983062 KJF983062 KTB983062 LCX983062 LMT983062 LWP983062 MGL983062 MQH983062 NAD983062 NJZ983062 NTV983062 ODR983062 ONN983062 OXJ983062 PHF983062 PRB983062 QAX983062 QKT983062 QUP983062 REL983062 ROH983062 RYD983062 SHZ983062 SRV983062 TBR983062 TLN983062 TVJ983062 UFF983062 UPB983062 UYX983062 VIT983062 VSP983062 WCL983062 WMH983062 WWD983062 V20 JR20 TN20 ADJ20 ANF20 AXB20 BGX20 BQT20 CAP20 CKL20 CUH20 DED20 DNZ20 DXV20 EHR20 ERN20 FBJ20 FLF20 FVB20 GEX20 GOT20 GYP20 HIL20 HSH20 ICD20 ILZ20 IVV20 JFR20 JPN20 JZJ20 KJF20 KTB20 LCX20 LMT20 LWP20 MGL20 MQH20 NAD20 NJZ20 NTV20 ODR20 ONN20 OXJ20 PHF20 PRB20 QAX20 QKT20 QUP20 REL20 ROH20 RYD20 SHZ20 SRV20 TBR20 TLN20 TVJ20 UFF20 UPB20 UYX20 VIT20 VSP20 WCL20 WMH20 WWD20 V65556 JR65556 TN65556 ADJ65556 ANF65556 AXB65556 BGX65556 BQT65556 CAP65556 CKL65556 CUH65556 DED65556 DNZ65556 DXV65556 EHR65556 ERN65556 FBJ65556 FLF65556 FVB65556 GEX65556 GOT65556 GYP65556 HIL65556 HSH65556 ICD65556 ILZ65556 IVV65556 JFR65556 JPN65556 JZJ65556 KJF65556 KTB65556 LCX65556 LMT65556 LWP65556 MGL65556 MQH65556 NAD65556 NJZ65556 NTV65556 ODR65556 ONN65556 OXJ65556 PHF65556 PRB65556 QAX65556 QKT65556 QUP65556 REL65556 ROH65556 RYD65556 SHZ65556 SRV65556 TBR65556 TLN65556 TVJ65556 UFF65556 UPB65556 UYX65556 VIT65556 VSP65556 WCL65556 WMH65556 WWD65556 V131092 JR131092 TN131092 ADJ131092 ANF131092 AXB131092 BGX131092 BQT131092 CAP131092 CKL131092 CUH131092 DED131092 DNZ131092 DXV131092 EHR131092 ERN131092 FBJ131092 FLF131092 FVB131092 GEX131092 GOT131092 GYP131092 HIL131092 HSH131092 ICD131092 ILZ131092 IVV131092 JFR131092 JPN131092 JZJ131092 KJF131092 KTB131092 LCX131092 LMT131092 LWP131092 MGL131092 MQH131092 NAD131092 NJZ131092 NTV131092 ODR131092 ONN131092 OXJ131092 PHF131092 PRB131092 QAX131092 QKT131092 QUP131092 REL131092 ROH131092 RYD131092 SHZ131092 SRV131092 TBR131092 TLN131092 TVJ131092 UFF131092 UPB131092 UYX131092 VIT131092 VSP131092 WCL131092 WMH131092 WWD131092 V196628 JR196628 TN196628 ADJ196628 ANF196628 AXB196628 BGX196628 BQT196628 CAP196628 CKL196628 CUH196628 DED196628 DNZ196628 DXV196628 EHR196628 ERN196628 FBJ196628 FLF196628 FVB196628 GEX196628 GOT196628 GYP196628 HIL196628 HSH196628 ICD196628 ILZ196628 IVV196628 JFR196628 JPN196628 JZJ196628 KJF196628 KTB196628 LCX196628 LMT196628 LWP196628 MGL196628 MQH196628 NAD196628 NJZ196628 NTV196628 ODR196628 ONN196628 OXJ196628 PHF196628 PRB196628 QAX196628 QKT196628 QUP196628 REL196628 ROH196628 RYD196628 SHZ196628 SRV196628 TBR196628 TLN196628 TVJ196628 UFF196628 UPB196628 UYX196628 VIT196628 VSP196628 WCL196628 WMH196628 WWD196628 V262164 JR262164 TN262164 ADJ262164 ANF262164 AXB262164 BGX262164 BQT262164 CAP262164 CKL262164 CUH262164 DED262164 DNZ262164 DXV262164 EHR262164 ERN262164 FBJ262164 FLF262164 FVB262164 GEX262164 GOT262164 GYP262164 HIL262164 HSH262164 ICD262164 ILZ262164 IVV262164 JFR262164 JPN262164 JZJ262164 KJF262164 KTB262164 LCX262164 LMT262164 LWP262164 MGL262164 MQH262164 NAD262164 NJZ262164 NTV262164 ODR262164 ONN262164 OXJ262164 PHF262164 PRB262164 QAX262164 QKT262164 QUP262164 REL262164 ROH262164 RYD262164 SHZ262164 SRV262164 TBR262164 TLN262164 TVJ262164 UFF262164 UPB262164 UYX262164 VIT262164 VSP262164 WCL262164 WMH262164 WWD262164 V327700 JR327700 TN327700 ADJ327700 ANF327700 AXB327700 BGX327700 BQT327700 CAP327700 CKL327700 CUH327700 DED327700 DNZ327700 DXV327700 EHR327700 ERN327700 FBJ327700 FLF327700 FVB327700 GEX327700 GOT327700 GYP327700 HIL327700 HSH327700 ICD327700 ILZ327700 IVV327700 JFR327700 JPN327700 JZJ327700 KJF327700 KTB327700 LCX327700 LMT327700 LWP327700 MGL327700 MQH327700 NAD327700 NJZ327700 NTV327700 ODR327700 ONN327700 OXJ327700 PHF327700 PRB327700 QAX327700 QKT327700 QUP327700 REL327700 ROH327700 RYD327700 SHZ327700 SRV327700 TBR327700 TLN327700 TVJ327700 UFF327700 UPB327700 UYX327700 VIT327700 VSP327700 WCL327700 WMH327700 WWD327700 V393236 JR393236 TN393236 ADJ393236 ANF393236 AXB393236 BGX393236 BQT393236 CAP393236 CKL393236 CUH393236 DED393236 DNZ393236 DXV393236 EHR393236 ERN393236 FBJ393236 FLF393236 FVB393236 GEX393236 GOT393236 GYP393236 HIL393236 HSH393236 ICD393236 ILZ393236 IVV393236 JFR393236 JPN393236 JZJ393236 KJF393236 KTB393236 LCX393236 LMT393236 LWP393236 MGL393236 MQH393236 NAD393236 NJZ393236 NTV393236 ODR393236 ONN393236 OXJ393236 PHF393236 PRB393236 QAX393236 QKT393236 QUP393236 REL393236 ROH393236 RYD393236 SHZ393236 SRV393236 TBR393236 TLN393236 TVJ393236 UFF393236 UPB393236 UYX393236 VIT393236 VSP393236 WCL393236 WMH393236 WWD393236 V458772 JR458772 TN458772 ADJ458772 ANF458772 AXB458772 BGX458772 BQT458772 CAP458772 CKL458772 CUH458772 DED458772 DNZ458772 DXV458772 EHR458772 ERN458772 FBJ458772 FLF458772 FVB458772 GEX458772 GOT458772 GYP458772 HIL458772 HSH458772 ICD458772 ILZ458772 IVV458772 JFR458772 JPN458772 JZJ458772 KJF458772 KTB458772 LCX458772 LMT458772 LWP458772 MGL458772 MQH458772 NAD458772 NJZ458772 NTV458772 ODR458772 ONN458772 OXJ458772 PHF458772 PRB458772 QAX458772 QKT458772 QUP458772 REL458772 ROH458772 RYD458772 SHZ458772 SRV458772 TBR458772 TLN458772 TVJ458772 UFF458772 UPB458772 UYX458772 VIT458772 VSP458772 WCL458772 WMH458772 WWD458772 V524308 JR524308 TN524308 ADJ524308 ANF524308 AXB524308 BGX524308 BQT524308 CAP524308 CKL524308 CUH524308 DED524308 DNZ524308 DXV524308 EHR524308 ERN524308 FBJ524308 FLF524308 FVB524308 GEX524308 GOT524308 GYP524308 HIL524308 HSH524308 ICD524308 ILZ524308 IVV524308 JFR524308 JPN524308 JZJ524308 KJF524308 KTB524308 LCX524308 LMT524308 LWP524308 MGL524308 MQH524308 NAD524308 NJZ524308 NTV524308 ODR524308 ONN524308 OXJ524308 PHF524308 PRB524308 QAX524308 QKT524308 QUP524308 REL524308 ROH524308 RYD524308 SHZ524308 SRV524308 TBR524308 TLN524308 TVJ524308 UFF524308 UPB524308 UYX524308 VIT524308 VSP524308 WCL524308 WMH524308 WWD524308 V589844 JR589844 TN589844 ADJ589844 ANF589844 AXB589844 BGX589844 BQT589844 CAP589844 CKL589844 CUH589844 DED589844 DNZ589844 DXV589844 EHR589844 ERN589844 FBJ589844 FLF589844 FVB589844 GEX589844 GOT589844 GYP589844 HIL589844 HSH589844 ICD589844 ILZ589844 IVV589844 JFR589844 JPN589844 JZJ589844 KJF589844 KTB589844 LCX589844 LMT589844 LWP589844 MGL589844 MQH589844 NAD589844 NJZ589844 NTV589844 ODR589844 ONN589844 OXJ589844 PHF589844 PRB589844 QAX589844 QKT589844 QUP589844 REL589844 ROH589844 RYD589844 SHZ589844 SRV589844 TBR589844 TLN589844 TVJ589844 UFF589844 UPB589844 UYX589844 VIT589844 VSP589844 WCL589844 WMH589844 WWD589844 V655380 JR655380 TN655380 ADJ655380 ANF655380 AXB655380 BGX655380 BQT655380 CAP655380 CKL655380 CUH655380 DED655380 DNZ655380 DXV655380 EHR655380 ERN655380 FBJ655380 FLF655380 FVB655380 GEX655380 GOT655380 GYP655380 HIL655380 HSH655380 ICD655380 ILZ655380 IVV655380 JFR655380 JPN655380 JZJ655380 KJF655380 KTB655380 LCX655380 LMT655380 LWP655380 MGL655380 MQH655380 NAD655380 NJZ655380 NTV655380 ODR655380 ONN655380 OXJ655380 PHF655380 PRB655380 QAX655380 QKT655380 QUP655380 REL655380 ROH655380 RYD655380 SHZ655380 SRV655380 TBR655380 TLN655380 TVJ655380 UFF655380 UPB655380 UYX655380 VIT655380 VSP655380 WCL655380 WMH655380 WWD655380 V720916 JR720916 TN720916 ADJ720916 ANF720916 AXB720916 BGX720916 BQT720916 CAP720916 CKL720916 CUH720916 DED720916 DNZ720916 DXV720916 EHR720916 ERN720916 FBJ720916 FLF720916 FVB720916 GEX720916 GOT720916 GYP720916 HIL720916 HSH720916 ICD720916 ILZ720916 IVV720916 JFR720916 JPN720916 JZJ720916 KJF720916 KTB720916 LCX720916 LMT720916 LWP720916 MGL720916 MQH720916 NAD720916 NJZ720916 NTV720916 ODR720916 ONN720916 OXJ720916 PHF720916 PRB720916 QAX720916 QKT720916 QUP720916 REL720916 ROH720916 RYD720916 SHZ720916 SRV720916 TBR720916 TLN720916 TVJ720916 UFF720916 UPB720916 UYX720916 VIT720916 VSP720916 WCL720916 WMH720916 WWD720916 V786452 JR786452 TN786452 ADJ786452 ANF786452 AXB786452 BGX786452 BQT786452 CAP786452 CKL786452 CUH786452 DED786452 DNZ786452 DXV786452 EHR786452 ERN786452 FBJ786452 FLF786452 FVB786452 GEX786452 GOT786452 GYP786452 HIL786452 HSH786452 ICD786452 ILZ786452 IVV786452 JFR786452 JPN786452 JZJ786452 KJF786452 KTB786452 LCX786452 LMT786452 LWP786452 MGL786452 MQH786452 NAD786452 NJZ786452 NTV786452 ODR786452 ONN786452 OXJ786452 PHF786452 PRB786452 QAX786452 QKT786452 QUP786452 REL786452 ROH786452 RYD786452 SHZ786452 SRV786452 TBR786452 TLN786452 TVJ786452 UFF786452 UPB786452 UYX786452 VIT786452 VSP786452 WCL786452 WMH786452 WWD786452 V851988 JR851988 TN851988 ADJ851988 ANF851988 AXB851988 BGX851988 BQT851988 CAP851988 CKL851988 CUH851988 DED851988 DNZ851988 DXV851988 EHR851988 ERN851988 FBJ851988 FLF851988 FVB851988 GEX851988 GOT851988 GYP851988 HIL851988 HSH851988 ICD851988 ILZ851988 IVV851988 JFR851988 JPN851988 JZJ851988 KJF851988 KTB851988 LCX851988 LMT851988 LWP851988 MGL851988 MQH851988 NAD851988 NJZ851988 NTV851988 ODR851988 ONN851988 OXJ851988 PHF851988 PRB851988 QAX851988 QKT851988 QUP851988 REL851988 ROH851988 RYD851988 SHZ851988 SRV851988 TBR851988 TLN851988 TVJ851988 UFF851988 UPB851988 UYX851988 VIT851988 VSP851988 WCL851988 WMH851988 WWD851988 V917524 JR917524 TN917524 ADJ917524 ANF917524 AXB917524 BGX917524 BQT917524 CAP917524 CKL917524 CUH917524 DED917524 DNZ917524 DXV917524 EHR917524 ERN917524 FBJ917524 FLF917524 FVB917524 GEX917524 GOT917524 GYP917524 HIL917524 HSH917524 ICD917524 ILZ917524 IVV917524 JFR917524 JPN917524 JZJ917524 KJF917524 KTB917524 LCX917524 LMT917524 LWP917524 MGL917524 MQH917524 NAD917524 NJZ917524 NTV917524 ODR917524 ONN917524 OXJ917524 PHF917524 PRB917524 QAX917524 QKT917524 QUP917524 REL917524 ROH917524 RYD917524 SHZ917524 SRV917524 TBR917524 TLN917524 TVJ917524 UFF917524 UPB917524 UYX917524 VIT917524 VSP917524 WCL917524 WMH917524 WWD917524 V983060 JR983060 TN983060 ADJ983060 ANF983060 AXB983060 BGX983060 BQT983060 CAP983060 CKL983060 CUH983060 DED983060 DNZ983060 DXV983060 EHR983060 ERN983060 FBJ983060 FLF983060 FVB983060 GEX983060 GOT983060 GYP983060 HIL983060 HSH983060 ICD983060 ILZ983060 IVV983060 JFR983060 JPN983060 JZJ983060 KJF983060 KTB983060 LCX983060 LMT983060 LWP983060 MGL983060 MQH983060 NAD983060 NJZ983060 NTV983060 ODR983060 ONN983060 OXJ983060 PHF983060 PRB983060 QAX983060 QKT983060 QUP983060 REL983060 ROH983060 RYD983060 SHZ983060 SRV983060 TBR983060 TLN983060 TVJ983060 UFF983060 UPB983060 UYX983060 VIT983060 VSP983060 WCL983060 WMH983060 WWD983060 V18 JR18 TN18 ADJ18 ANF18 AXB18 BGX18 BQT18 CAP18 CKL18 CUH18 DED18 DNZ18 DXV18 EHR18 ERN18 FBJ18 FLF18 FVB18 GEX18 GOT18 GYP18 HIL18 HSH18 ICD18 ILZ18 IVV18 JFR18 JPN18 JZJ18 KJF18 KTB18 LCX18 LMT18 LWP18 MGL18 MQH18 NAD18 NJZ18 NTV18 ODR18 ONN18 OXJ18 PHF18 PRB18 QAX18 QKT18 QUP18 REL18 ROH18 RYD18 SHZ18 SRV18 TBR18 TLN18 TVJ18 UFF18 UPB18 UYX18 VIT18 VSP18 WCL18 WMH18 WWD18 V65554 JR65554 TN65554 ADJ65554 ANF65554 AXB65554 BGX65554 BQT65554 CAP65554 CKL65554 CUH65554 DED65554 DNZ65554 DXV65554 EHR65554 ERN65554 FBJ65554 FLF65554 FVB65554 GEX65554 GOT65554 GYP65554 HIL65554 HSH65554 ICD65554 ILZ65554 IVV65554 JFR65554 JPN65554 JZJ65554 KJF65554 KTB65554 LCX65554 LMT65554 LWP65554 MGL65554 MQH65554 NAD65554 NJZ65554 NTV65554 ODR65554 ONN65554 OXJ65554 PHF65554 PRB65554 QAX65554 QKT65554 QUP65554 REL65554 ROH65554 RYD65554 SHZ65554 SRV65554 TBR65554 TLN65554 TVJ65554 UFF65554 UPB65554 UYX65554 VIT65554 VSP65554 WCL65554 WMH65554 WWD65554 V131090 JR131090 TN131090 ADJ131090 ANF131090 AXB131090 BGX131090 BQT131090 CAP131090 CKL131090 CUH131090 DED131090 DNZ131090 DXV131090 EHR131090 ERN131090 FBJ131090 FLF131090 FVB131090 GEX131090 GOT131090 GYP131090 HIL131090 HSH131090 ICD131090 ILZ131090 IVV131090 JFR131090 JPN131090 JZJ131090 KJF131090 KTB131090 LCX131090 LMT131090 LWP131090 MGL131090 MQH131090 NAD131090 NJZ131090 NTV131090 ODR131090 ONN131090 OXJ131090 PHF131090 PRB131090 QAX131090 QKT131090 QUP131090 REL131090 ROH131090 RYD131090 SHZ131090 SRV131090 TBR131090 TLN131090 TVJ131090 UFF131090 UPB131090 UYX131090 VIT131090 VSP131090 WCL131090 WMH131090 WWD131090 V196626 JR196626 TN196626 ADJ196626 ANF196626 AXB196626 BGX196626 BQT196626 CAP196626 CKL196626 CUH196626 DED196626 DNZ196626 DXV196626 EHR196626 ERN196626 FBJ196626 FLF196626 FVB196626 GEX196626 GOT196626 GYP196626 HIL196626 HSH196626 ICD196626 ILZ196626 IVV196626 JFR196626 JPN196626 JZJ196626 KJF196626 KTB196626 LCX196626 LMT196626 LWP196626 MGL196626 MQH196626 NAD196626 NJZ196626 NTV196626 ODR196626 ONN196626 OXJ196626 PHF196626 PRB196626 QAX196626 QKT196626 QUP196626 REL196626 ROH196626 RYD196626 SHZ196626 SRV196626 TBR196626 TLN196626 TVJ196626 UFF196626 UPB196626 UYX196626 VIT196626 VSP196626 WCL196626 WMH196626 WWD196626 V262162 JR262162 TN262162 ADJ262162 ANF262162 AXB262162 BGX262162 BQT262162 CAP262162 CKL262162 CUH262162 DED262162 DNZ262162 DXV262162 EHR262162 ERN262162 FBJ262162 FLF262162 FVB262162 GEX262162 GOT262162 GYP262162 HIL262162 HSH262162 ICD262162 ILZ262162 IVV262162 JFR262162 JPN262162 JZJ262162 KJF262162 KTB262162 LCX262162 LMT262162 LWP262162 MGL262162 MQH262162 NAD262162 NJZ262162 NTV262162 ODR262162 ONN262162 OXJ262162 PHF262162 PRB262162 QAX262162 QKT262162 QUP262162 REL262162 ROH262162 RYD262162 SHZ262162 SRV262162 TBR262162 TLN262162 TVJ262162 UFF262162 UPB262162 UYX262162 VIT262162 VSP262162 WCL262162 WMH262162 WWD262162 V327698 JR327698 TN327698 ADJ327698 ANF327698 AXB327698 BGX327698 BQT327698 CAP327698 CKL327698 CUH327698 DED327698 DNZ327698 DXV327698 EHR327698 ERN327698 FBJ327698 FLF327698 FVB327698 GEX327698 GOT327698 GYP327698 HIL327698 HSH327698 ICD327698 ILZ327698 IVV327698 JFR327698 JPN327698 JZJ327698 KJF327698 KTB327698 LCX327698 LMT327698 LWP327698 MGL327698 MQH327698 NAD327698 NJZ327698 NTV327698 ODR327698 ONN327698 OXJ327698 PHF327698 PRB327698 QAX327698 QKT327698 QUP327698 REL327698 ROH327698 RYD327698 SHZ327698 SRV327698 TBR327698 TLN327698 TVJ327698 UFF327698 UPB327698 UYX327698 VIT327698 VSP327698 WCL327698 WMH327698 WWD327698 V393234 JR393234 TN393234 ADJ393234 ANF393234 AXB393234 BGX393234 BQT393234 CAP393234 CKL393234 CUH393234 DED393234 DNZ393234 DXV393234 EHR393234 ERN393234 FBJ393234 FLF393234 FVB393234 GEX393234 GOT393234 GYP393234 HIL393234 HSH393234 ICD393234 ILZ393234 IVV393234 JFR393234 JPN393234 JZJ393234 KJF393234 KTB393234 LCX393234 LMT393234 LWP393234 MGL393234 MQH393234 NAD393234 NJZ393234 NTV393234 ODR393234 ONN393234 OXJ393234 PHF393234 PRB393234 QAX393234 QKT393234 QUP393234 REL393234 ROH393234 RYD393234 SHZ393234 SRV393234 TBR393234 TLN393234 TVJ393234 UFF393234 UPB393234 UYX393234 VIT393234 VSP393234 WCL393234 WMH393234 WWD393234 V458770 JR458770 TN458770 ADJ458770 ANF458770 AXB458770 BGX458770 BQT458770 CAP458770 CKL458770 CUH458770 DED458770 DNZ458770 DXV458770 EHR458770 ERN458770 FBJ458770 FLF458770 FVB458770 GEX458770 GOT458770 GYP458770 HIL458770 HSH458770 ICD458770 ILZ458770 IVV458770 JFR458770 JPN458770 JZJ458770 KJF458770 KTB458770 LCX458770 LMT458770 LWP458770 MGL458770 MQH458770 NAD458770 NJZ458770 NTV458770 ODR458770 ONN458770 OXJ458770 PHF458770 PRB458770 QAX458770 QKT458770 QUP458770 REL458770 ROH458770 RYD458770 SHZ458770 SRV458770 TBR458770 TLN458770 TVJ458770 UFF458770 UPB458770 UYX458770 VIT458770 VSP458770 WCL458770 WMH458770 WWD458770 V524306 JR524306 TN524306 ADJ524306 ANF524306 AXB524306 BGX524306 BQT524306 CAP524306 CKL524306 CUH524306 DED524306 DNZ524306 DXV524306 EHR524306 ERN524306 FBJ524306 FLF524306 FVB524306 GEX524306 GOT524306 GYP524306 HIL524306 HSH524306 ICD524306 ILZ524306 IVV524306 JFR524306 JPN524306 JZJ524306 KJF524306 KTB524306 LCX524306 LMT524306 LWP524306 MGL524306 MQH524306 NAD524306 NJZ524306 NTV524306 ODR524306 ONN524306 OXJ524306 PHF524306 PRB524306 QAX524306 QKT524306 QUP524306 REL524306 ROH524306 RYD524306 SHZ524306 SRV524306 TBR524306 TLN524306 TVJ524306 UFF524306 UPB524306 UYX524306 VIT524306 VSP524306 WCL524306 WMH524306 WWD524306 V589842 JR589842 TN589842 ADJ589842 ANF589842 AXB589842 BGX589842 BQT589842 CAP589842 CKL589842 CUH589842 DED589842 DNZ589842 DXV589842 EHR589842 ERN589842 FBJ589842 FLF589842 FVB589842 GEX589842 GOT589842 GYP589842 HIL589842 HSH589842 ICD589842 ILZ589842 IVV589842 JFR589842 JPN589842 JZJ589842 KJF589842 KTB589842 LCX589842 LMT589842 LWP589842 MGL589842 MQH589842 NAD589842 NJZ589842 NTV589842 ODR589842 ONN589842 OXJ589842 PHF589842 PRB589842 QAX589842 QKT589842 QUP589842 REL589842 ROH589842 RYD589842 SHZ589842 SRV589842 TBR589842 TLN589842 TVJ589842 UFF589842 UPB589842 UYX589842 VIT589842 VSP589842 WCL589842 WMH589842 WWD589842 V655378 JR655378 TN655378 ADJ655378 ANF655378 AXB655378 BGX655378 BQT655378 CAP655378 CKL655378 CUH655378 DED655378 DNZ655378 DXV655378 EHR655378 ERN655378 FBJ655378 FLF655378 FVB655378 GEX655378 GOT655378 GYP655378 HIL655378 HSH655378 ICD655378 ILZ655378 IVV655378 JFR655378 JPN655378 JZJ655378 KJF655378 KTB655378 LCX655378 LMT655378 LWP655378 MGL655378 MQH655378 NAD655378 NJZ655378 NTV655378 ODR655378 ONN655378 OXJ655378 PHF655378 PRB655378 QAX655378 QKT655378 QUP655378 REL655378 ROH655378 RYD655378 SHZ655378 SRV655378 TBR655378 TLN655378 TVJ655378 UFF655378 UPB655378 UYX655378 VIT655378 VSP655378 WCL655378 WMH655378 WWD655378 V720914 JR720914 TN720914 ADJ720914 ANF720914 AXB720914 BGX720914 BQT720914 CAP720914 CKL720914 CUH720914 DED720914 DNZ720914 DXV720914 EHR720914 ERN720914 FBJ720914 FLF720914 FVB720914 GEX720914 GOT720914 GYP720914 HIL720914 HSH720914 ICD720914 ILZ720914 IVV720914 JFR720914 JPN720914 JZJ720914 KJF720914 KTB720914 LCX720914 LMT720914 LWP720914 MGL720914 MQH720914 NAD720914 NJZ720914 NTV720914 ODR720914 ONN720914 OXJ720914 PHF720914 PRB720914 QAX720914 QKT720914 QUP720914 REL720914 ROH720914 RYD720914 SHZ720914 SRV720914 TBR720914 TLN720914 TVJ720914 UFF720914 UPB720914 UYX720914 VIT720914 VSP720914 WCL720914 WMH720914 WWD720914 V786450 JR786450 TN786450 ADJ786450 ANF786450 AXB786450 BGX786450 BQT786450 CAP786450 CKL786450 CUH786450 DED786450 DNZ786450 DXV786450 EHR786450 ERN786450 FBJ786450 FLF786450 FVB786450 GEX786450 GOT786450 GYP786450 HIL786450 HSH786450 ICD786450 ILZ786450 IVV786450 JFR786450 JPN786450 JZJ786450 KJF786450 KTB786450 LCX786450 LMT786450 LWP786450 MGL786450 MQH786450 NAD786450 NJZ786450 NTV786450 ODR786450 ONN786450 OXJ786450 PHF786450 PRB786450 QAX786450 QKT786450 QUP786450 REL786450 ROH786450 RYD786450 SHZ786450 SRV786450 TBR786450 TLN786450 TVJ786450 UFF786450 UPB786450 UYX786450 VIT786450 VSP786450 WCL786450 WMH786450 WWD786450 V851986 JR851986 TN851986 ADJ851986 ANF851986 AXB851986 BGX851986 BQT851986 CAP851986 CKL851986 CUH851986 DED851986 DNZ851986 DXV851986 EHR851986 ERN851986 FBJ851986 FLF851986 FVB851986 GEX851986 GOT851986 GYP851986 HIL851986 HSH851986 ICD851986 ILZ851986 IVV851986 JFR851986 JPN851986 JZJ851986 KJF851986 KTB851986 LCX851986 LMT851986 LWP851986 MGL851986 MQH851986 NAD851986 NJZ851986 NTV851986 ODR851986 ONN851986 OXJ851986 PHF851986 PRB851986 QAX851986 QKT851986 QUP851986 REL851986 ROH851986 RYD851986 SHZ851986 SRV851986 TBR851986 TLN851986 TVJ851986 UFF851986 UPB851986 UYX851986 VIT851986 VSP851986 WCL851986 WMH851986 WWD851986 V917522 JR917522 TN917522 ADJ917522 ANF917522 AXB917522 BGX917522 BQT917522 CAP917522 CKL917522 CUH917522 DED917522 DNZ917522 DXV917522 EHR917522 ERN917522 FBJ917522 FLF917522 FVB917522 GEX917522 GOT917522 GYP917522 HIL917522 HSH917522 ICD917522 ILZ917522 IVV917522 JFR917522 JPN917522 JZJ917522 KJF917522 KTB917522 LCX917522 LMT917522 LWP917522 MGL917522 MQH917522 NAD917522 NJZ917522 NTV917522 ODR917522 ONN917522 OXJ917522 PHF917522 PRB917522 QAX917522 QKT917522 QUP917522 REL917522 ROH917522 RYD917522 SHZ917522 SRV917522 TBR917522 TLN917522 TVJ917522 UFF917522 UPB917522 UYX917522 VIT917522 VSP917522 WCL917522 WMH917522 WWD917522 V983058 JR983058 TN983058 ADJ983058 ANF983058 AXB983058 BGX983058 BQT983058 CAP983058 CKL983058 CUH983058 DED983058 DNZ983058 DXV983058 EHR983058 ERN983058 FBJ983058 FLF983058 FVB983058 GEX983058 GOT983058 GYP983058 HIL983058 HSH983058 ICD983058 ILZ983058 IVV983058 JFR983058 JPN983058 JZJ983058 KJF983058 KTB983058 LCX983058 LMT983058 LWP983058 MGL983058 MQH983058 NAD983058 NJZ983058 NTV983058 ODR983058 ONN983058 OXJ983058 PHF983058 PRB983058 QAX983058 QKT983058 QUP983058 REL983058 ROH983058 RYD983058 SHZ983058 SRV983058 TBR983058 TLN983058 TVJ983058 UFF983058 UPB983058 UYX983058 VIT983058 VSP983058 WCL983058 WMH983058 WWD983058 V16 JR16 TN16 ADJ16 ANF16 AXB16 BGX16 BQT16 CAP16 CKL16 CUH16 DED16 DNZ16 DXV16 EHR16 ERN16 FBJ16 FLF16 FVB16 GEX16 GOT16 GYP16 HIL16 HSH16 ICD16 ILZ16 IVV16 JFR16 JPN16 JZJ16 KJF16 KTB16 LCX16 LMT16 LWP16 MGL16 MQH16 NAD16 NJZ16 NTV16 ODR16 ONN16 OXJ16 PHF16 PRB16 QAX16 QKT16 QUP16 REL16 ROH16 RYD16 SHZ16 SRV16 TBR16 TLN16 TVJ16 UFF16 UPB16 UYX16 VIT16 VSP16 WCL16 WMH16 WWD16 V65552 JR65552 TN65552 ADJ65552 ANF65552 AXB65552 BGX65552 BQT65552 CAP65552 CKL65552 CUH65552 DED65552 DNZ65552 DXV65552 EHR65552 ERN65552 FBJ65552 FLF65552 FVB65552 GEX65552 GOT65552 GYP65552 HIL65552 HSH65552 ICD65552 ILZ65552 IVV65552 JFR65552 JPN65552 JZJ65552 KJF65552 KTB65552 LCX65552 LMT65552 LWP65552 MGL65552 MQH65552 NAD65552 NJZ65552 NTV65552 ODR65552 ONN65552 OXJ65552 PHF65552 PRB65552 QAX65552 QKT65552 QUP65552 REL65552 ROH65552 RYD65552 SHZ65552 SRV65552 TBR65552 TLN65552 TVJ65552 UFF65552 UPB65552 UYX65552 VIT65552 VSP65552 WCL65552 WMH65552 WWD65552 V131088 JR131088 TN131088 ADJ131088 ANF131088 AXB131088 BGX131088 BQT131088 CAP131088 CKL131088 CUH131088 DED131088 DNZ131088 DXV131088 EHR131088 ERN131088 FBJ131088 FLF131088 FVB131088 GEX131088 GOT131088 GYP131088 HIL131088 HSH131088 ICD131088 ILZ131088 IVV131088 JFR131088 JPN131088 JZJ131088 KJF131088 KTB131088 LCX131088 LMT131088 LWP131088 MGL131088 MQH131088 NAD131088 NJZ131088 NTV131088 ODR131088 ONN131088 OXJ131088 PHF131088 PRB131088 QAX131088 QKT131088 QUP131088 REL131088 ROH131088 RYD131088 SHZ131088 SRV131088 TBR131088 TLN131088 TVJ131088 UFF131088 UPB131088 UYX131088 VIT131088 VSP131088 WCL131088 WMH131088 WWD131088 V196624 JR196624 TN196624 ADJ196624 ANF196624 AXB196624 BGX196624 BQT196624 CAP196624 CKL196624 CUH196624 DED196624 DNZ196624 DXV196624 EHR196624 ERN196624 FBJ196624 FLF196624 FVB196624 GEX196624 GOT196624 GYP196624 HIL196624 HSH196624 ICD196624 ILZ196624 IVV196624 JFR196624 JPN196624 JZJ196624 KJF196624 KTB196624 LCX196624 LMT196624 LWP196624 MGL196624 MQH196624 NAD196624 NJZ196624 NTV196624 ODR196624 ONN196624 OXJ196624 PHF196624 PRB196624 QAX196624 QKT196624 QUP196624 REL196624 ROH196624 RYD196624 SHZ196624 SRV196624 TBR196624 TLN196624 TVJ196624 UFF196624 UPB196624 UYX196624 VIT196624 VSP196624 WCL196624 WMH196624 WWD196624 V262160 JR262160 TN262160 ADJ262160 ANF262160 AXB262160 BGX262160 BQT262160 CAP262160 CKL262160 CUH262160 DED262160 DNZ262160 DXV262160 EHR262160 ERN262160 FBJ262160 FLF262160 FVB262160 GEX262160 GOT262160 GYP262160 HIL262160 HSH262160 ICD262160 ILZ262160 IVV262160 JFR262160 JPN262160 JZJ262160 KJF262160 KTB262160 LCX262160 LMT262160 LWP262160 MGL262160 MQH262160 NAD262160 NJZ262160 NTV262160 ODR262160 ONN262160 OXJ262160 PHF262160 PRB262160 QAX262160 QKT262160 QUP262160 REL262160 ROH262160 RYD262160 SHZ262160 SRV262160 TBR262160 TLN262160 TVJ262160 UFF262160 UPB262160 UYX262160 VIT262160 VSP262160 WCL262160 WMH262160 WWD262160 V327696 JR327696 TN327696 ADJ327696 ANF327696 AXB327696 BGX327696 BQT327696 CAP327696 CKL327696 CUH327696 DED327696 DNZ327696 DXV327696 EHR327696 ERN327696 FBJ327696 FLF327696 FVB327696 GEX327696 GOT327696 GYP327696 HIL327696 HSH327696 ICD327696 ILZ327696 IVV327696 JFR327696 JPN327696 JZJ327696 KJF327696 KTB327696 LCX327696 LMT327696 LWP327696 MGL327696 MQH327696 NAD327696 NJZ327696 NTV327696 ODR327696 ONN327696 OXJ327696 PHF327696 PRB327696 QAX327696 QKT327696 QUP327696 REL327696 ROH327696 RYD327696 SHZ327696 SRV327696 TBR327696 TLN327696 TVJ327696 UFF327696 UPB327696 UYX327696 VIT327696 VSP327696 WCL327696 WMH327696 WWD327696 V393232 JR393232 TN393232 ADJ393232 ANF393232 AXB393232 BGX393232 BQT393232 CAP393232 CKL393232 CUH393232 DED393232 DNZ393232 DXV393232 EHR393232 ERN393232 FBJ393232 FLF393232 FVB393232 GEX393232 GOT393232 GYP393232 HIL393232 HSH393232 ICD393232 ILZ393232 IVV393232 JFR393232 JPN393232 JZJ393232 KJF393232 KTB393232 LCX393232 LMT393232 LWP393232 MGL393232 MQH393232 NAD393232 NJZ393232 NTV393232 ODR393232 ONN393232 OXJ393232 PHF393232 PRB393232 QAX393232 QKT393232 QUP393232 REL393232 ROH393232 RYD393232 SHZ393232 SRV393232 TBR393232 TLN393232 TVJ393232 UFF393232 UPB393232 UYX393232 VIT393232 VSP393232 WCL393232 WMH393232 WWD393232 V458768 JR458768 TN458768 ADJ458768 ANF458768 AXB458768 BGX458768 BQT458768 CAP458768 CKL458768 CUH458768 DED458768 DNZ458768 DXV458768 EHR458768 ERN458768 FBJ458768 FLF458768 FVB458768 GEX458768 GOT458768 GYP458768 HIL458768 HSH458768 ICD458768 ILZ458768 IVV458768 JFR458768 JPN458768 JZJ458768 KJF458768 KTB458768 LCX458768 LMT458768 LWP458768 MGL458768 MQH458768 NAD458768 NJZ458768 NTV458768 ODR458768 ONN458768 OXJ458768 PHF458768 PRB458768 QAX458768 QKT458768 QUP458768 REL458768 ROH458768 RYD458768 SHZ458768 SRV458768 TBR458768 TLN458768 TVJ458768 UFF458768 UPB458768 UYX458768 VIT458768 VSP458768 WCL458768 WMH458768 WWD458768 V524304 JR524304 TN524304 ADJ524304 ANF524304 AXB524304 BGX524304 BQT524304 CAP524304 CKL524304 CUH524304 DED524304 DNZ524304 DXV524304 EHR524304 ERN524304 FBJ524304 FLF524304 FVB524304 GEX524304 GOT524304 GYP524304 HIL524304 HSH524304 ICD524304 ILZ524304 IVV524304 JFR524304 JPN524304 JZJ524304 KJF524304 KTB524304 LCX524304 LMT524304 LWP524304 MGL524304 MQH524304 NAD524304 NJZ524304 NTV524304 ODR524304 ONN524304 OXJ524304 PHF524304 PRB524304 QAX524304 QKT524304 QUP524304 REL524304 ROH524304 RYD524304 SHZ524304 SRV524304 TBR524304 TLN524304 TVJ524304 UFF524304 UPB524304 UYX524304 VIT524304 VSP524304 WCL524304 WMH524304 WWD524304 V589840 JR589840 TN589840 ADJ589840 ANF589840 AXB589840 BGX589840 BQT589840 CAP589840 CKL589840 CUH589840 DED589840 DNZ589840 DXV589840 EHR589840 ERN589840 FBJ589840 FLF589840 FVB589840 GEX589840 GOT589840 GYP589840 HIL589840 HSH589840 ICD589840 ILZ589840 IVV589840 JFR589840 JPN589840 JZJ589840 KJF589840 KTB589840 LCX589840 LMT589840 LWP589840 MGL589840 MQH589840 NAD589840 NJZ589840 NTV589840 ODR589840 ONN589840 OXJ589840 PHF589840 PRB589840 QAX589840 QKT589840 QUP589840 REL589840 ROH589840 RYD589840 SHZ589840 SRV589840 TBR589840 TLN589840 TVJ589840 UFF589840 UPB589840 UYX589840 VIT589840 VSP589840 WCL589840 WMH589840 WWD589840 V655376 JR655376 TN655376 ADJ655376 ANF655376 AXB655376 BGX655376 BQT655376 CAP655376 CKL655376 CUH655376 DED655376 DNZ655376 DXV655376 EHR655376 ERN655376 FBJ655376 FLF655376 FVB655376 GEX655376 GOT655376 GYP655376 HIL655376 HSH655376 ICD655376 ILZ655376 IVV655376 JFR655376 JPN655376 JZJ655376 KJF655376 KTB655376 LCX655376 LMT655376 LWP655376 MGL655376 MQH655376 NAD655376 NJZ655376 NTV655376 ODR655376 ONN655376 OXJ655376 PHF655376 PRB655376 QAX655376 QKT655376 QUP655376 REL655376 ROH655376 RYD655376 SHZ655376 SRV655376 TBR655376 TLN655376 TVJ655376 UFF655376 UPB655376 UYX655376 VIT655376 VSP655376 WCL655376 WMH655376 WWD655376 V720912 JR720912 TN720912 ADJ720912 ANF720912 AXB720912 BGX720912 BQT720912 CAP720912 CKL720912 CUH720912 DED720912 DNZ720912 DXV720912 EHR720912 ERN720912 FBJ720912 FLF720912 FVB720912 GEX720912 GOT720912 GYP720912 HIL720912 HSH720912 ICD720912 ILZ720912 IVV720912 JFR720912 JPN720912 JZJ720912 KJF720912 KTB720912 LCX720912 LMT720912 LWP720912 MGL720912 MQH720912 NAD720912 NJZ720912 NTV720912 ODR720912 ONN720912 OXJ720912 PHF720912 PRB720912 QAX720912 QKT720912 QUP720912 REL720912 ROH720912 RYD720912 SHZ720912 SRV720912 TBR720912 TLN720912 TVJ720912 UFF720912 UPB720912 UYX720912 VIT720912 VSP720912 WCL720912 WMH720912 WWD720912 V786448 JR786448 TN786448 ADJ786448 ANF786448 AXB786448 BGX786448 BQT786448 CAP786448 CKL786448 CUH786448 DED786448 DNZ786448 DXV786448 EHR786448 ERN786448 FBJ786448 FLF786448 FVB786448 GEX786448 GOT786448 GYP786448 HIL786448 HSH786448 ICD786448 ILZ786448 IVV786448 JFR786448 JPN786448 JZJ786448 KJF786448 KTB786448 LCX786448 LMT786448 LWP786448 MGL786448 MQH786448 NAD786448 NJZ786448 NTV786448 ODR786448 ONN786448 OXJ786448 PHF786448 PRB786448 QAX786448 QKT786448 QUP786448 REL786448 ROH786448 RYD786448 SHZ786448 SRV786448 TBR786448 TLN786448 TVJ786448 UFF786448 UPB786448 UYX786448 VIT786448 VSP786448 WCL786448 WMH786448 WWD786448 V851984 JR851984 TN851984 ADJ851984 ANF851984 AXB851984 BGX851984 BQT851984 CAP851984 CKL851984 CUH851984 DED851984 DNZ851984 DXV851984 EHR851984 ERN851984 FBJ851984 FLF851984 FVB851984 GEX851984 GOT851984 GYP851984 HIL851984 HSH851984 ICD851984 ILZ851984 IVV851984 JFR851984 JPN851984 JZJ851984 KJF851984 KTB851984 LCX851984 LMT851984 LWP851984 MGL851984 MQH851984 NAD851984 NJZ851984 NTV851984 ODR851984 ONN851984 OXJ851984 PHF851984 PRB851984 QAX851984 QKT851984 QUP851984 REL851984 ROH851984 RYD851984 SHZ851984 SRV851984 TBR851984 TLN851984 TVJ851984 UFF851984 UPB851984 UYX851984 VIT851984 VSP851984 WCL851984 WMH851984 WWD851984 V917520 JR917520 TN917520 ADJ917520 ANF917520 AXB917520 BGX917520 BQT917520 CAP917520 CKL917520 CUH917520 DED917520 DNZ917520 DXV917520 EHR917520 ERN917520 FBJ917520 FLF917520 FVB917520 GEX917520 GOT917520 GYP917520 HIL917520 HSH917520 ICD917520 ILZ917520 IVV917520 JFR917520 JPN917520 JZJ917520 KJF917520 KTB917520 LCX917520 LMT917520 LWP917520 MGL917520 MQH917520 NAD917520 NJZ917520 NTV917520 ODR917520 ONN917520 OXJ917520 PHF917520 PRB917520 QAX917520 QKT917520 QUP917520 REL917520 ROH917520 RYD917520 SHZ917520 SRV917520 TBR917520 TLN917520 TVJ917520 UFF917520 UPB917520 UYX917520 VIT917520 VSP917520 WCL917520 WMH917520 WWD917520 V983056 JR983056 TN983056 ADJ983056 ANF983056 AXB983056 BGX983056 BQT983056 CAP983056 CKL983056 CUH983056 DED983056 DNZ983056 DXV983056 EHR983056 ERN983056 FBJ983056 FLF983056 FVB983056 GEX983056 GOT983056 GYP983056 HIL983056 HSH983056 ICD983056 ILZ983056 IVV983056 JFR983056 JPN983056 JZJ983056 KJF983056 KTB983056 LCX983056 LMT983056 LWP983056 MGL983056 MQH983056 NAD983056 NJZ983056 NTV983056 ODR983056 ONN983056 OXJ983056 PHF983056 PRB983056 QAX983056 QKT983056 QUP983056 REL983056 ROH983056 RYD983056 SHZ983056 SRV983056 TBR983056 TLN983056 TVJ983056 UFF983056 UPB983056 UYX983056 VIT983056 VSP983056 WCL983056 WMH983056 WWD983056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N76"/>
  <sheetViews>
    <sheetView zoomScale="85" zoomScaleNormal="85" workbookViewId="0">
      <selection activeCell="E1" sqref="E1:G1"/>
    </sheetView>
  </sheetViews>
  <sheetFormatPr defaultRowHeight="15"/>
  <cols>
    <col min="1" max="1" width="3.7109375" customWidth="1"/>
    <col min="2" max="2" width="29.42578125" customWidth="1"/>
    <col min="3" max="3" width="10.7109375" customWidth="1"/>
    <col min="4" max="4" width="11.5703125" customWidth="1"/>
    <col min="10" max="10" width="35.140625" bestFit="1" customWidth="1"/>
    <col min="11" max="11" width="10.28515625" bestFit="1" customWidth="1"/>
  </cols>
  <sheetData>
    <row r="1" spans="1:14" ht="24" thickBot="1">
      <c r="D1" s="435"/>
      <c r="E1" s="2777" t="s">
        <v>1749</v>
      </c>
      <c r="F1" s="2778"/>
      <c r="G1" s="2779"/>
      <c r="H1" s="435"/>
    </row>
    <row r="2" spans="1:14" ht="15.75" thickBot="1">
      <c r="A2" s="56"/>
    </row>
    <row r="3" spans="1:14">
      <c r="A3" s="56"/>
      <c r="B3" s="741" t="s">
        <v>1871</v>
      </c>
      <c r="C3" s="507"/>
      <c r="D3" s="507"/>
      <c r="E3" s="507"/>
      <c r="F3" s="507"/>
      <c r="G3" s="708"/>
      <c r="J3" s="741" t="s">
        <v>1871</v>
      </c>
      <c r="K3" s="507"/>
      <c r="L3" s="507"/>
      <c r="M3" s="507"/>
      <c r="N3" s="1126"/>
    </row>
    <row r="4" spans="1:14">
      <c r="A4" s="56"/>
      <c r="B4" s="562"/>
      <c r="C4" s="438"/>
      <c r="D4" s="438"/>
      <c r="E4" s="438"/>
      <c r="F4" s="438"/>
      <c r="G4" s="710"/>
      <c r="J4" s="562"/>
      <c r="K4" s="438"/>
      <c r="L4" s="438"/>
      <c r="M4" s="438"/>
      <c r="N4" s="1136"/>
    </row>
    <row r="5" spans="1:14" ht="34.9" customHeight="1">
      <c r="A5" s="56"/>
      <c r="B5" s="1134" t="s">
        <v>1863</v>
      </c>
      <c r="C5" s="437"/>
      <c r="D5" s="438"/>
      <c r="E5" s="438"/>
      <c r="F5" s="712"/>
      <c r="G5" s="713"/>
      <c r="J5" s="2892" t="s">
        <v>1892</v>
      </c>
      <c r="K5" s="2893"/>
      <c r="L5" s="2893"/>
      <c r="M5" s="2893"/>
      <c r="N5" s="1136"/>
    </row>
    <row r="6" spans="1:14" ht="15.75" thickBot="1">
      <c r="A6" s="56"/>
      <c r="B6" s="436"/>
      <c r="C6" s="437"/>
      <c r="D6" s="438"/>
      <c r="E6" s="438"/>
      <c r="F6" s="438"/>
      <c r="G6" s="710"/>
      <c r="J6" s="436"/>
      <c r="K6" s="437"/>
      <c r="L6" s="438"/>
      <c r="M6" s="438"/>
      <c r="N6" s="1136"/>
    </row>
    <row r="7" spans="1:14">
      <c r="A7" s="56"/>
      <c r="B7" s="611" t="s">
        <v>887</v>
      </c>
      <c r="C7" s="714">
        <v>3000</v>
      </c>
      <c r="D7" s="716" t="s">
        <v>357</v>
      </c>
      <c r="E7" s="646" t="s">
        <v>573</v>
      </c>
      <c r="F7" s="438"/>
      <c r="G7" s="439"/>
      <c r="J7" s="722" t="s">
        <v>1897</v>
      </c>
      <c r="K7" s="2065">
        <v>0.2</v>
      </c>
      <c r="L7" s="2069" t="s">
        <v>1898</v>
      </c>
      <c r="M7" s="828" t="s">
        <v>573</v>
      </c>
      <c r="N7" s="1136"/>
    </row>
    <row r="8" spans="1:14">
      <c r="A8" s="56"/>
      <c r="B8" s="2052" t="s">
        <v>1890</v>
      </c>
      <c r="C8" s="717">
        <v>20</v>
      </c>
      <c r="D8" s="718" t="s">
        <v>889</v>
      </c>
      <c r="E8" s="652" t="s">
        <v>573</v>
      </c>
      <c r="F8" s="438"/>
      <c r="G8" s="439"/>
      <c r="J8" s="2052" t="s">
        <v>1894</v>
      </c>
      <c r="K8" s="717">
        <v>1</v>
      </c>
      <c r="L8" s="1868" t="s">
        <v>192</v>
      </c>
      <c r="M8" s="1294" t="s">
        <v>573</v>
      </c>
      <c r="N8" s="1136"/>
    </row>
    <row r="9" spans="1:14" ht="15.75" thickBot="1">
      <c r="A9" s="56"/>
      <c r="B9" s="2052" t="s">
        <v>1866</v>
      </c>
      <c r="C9" s="717">
        <v>1.29</v>
      </c>
      <c r="D9" s="718" t="s">
        <v>728</v>
      </c>
      <c r="E9" s="646" t="s">
        <v>573</v>
      </c>
      <c r="F9" s="438"/>
      <c r="G9" s="439"/>
      <c r="J9" s="2052" t="s">
        <v>1895</v>
      </c>
      <c r="K9" s="717">
        <v>1</v>
      </c>
      <c r="L9" s="1868" t="s">
        <v>575</v>
      </c>
      <c r="M9" s="442" t="s">
        <v>573</v>
      </c>
      <c r="N9" s="1136"/>
    </row>
    <row r="10" spans="1:14" ht="15.75" thickBot="1">
      <c r="A10" s="56"/>
      <c r="B10" s="722" t="s">
        <v>1865</v>
      </c>
      <c r="C10" s="723">
        <v>3.2000000000000002E-3</v>
      </c>
      <c r="D10" s="724" t="s">
        <v>893</v>
      </c>
      <c r="E10" s="646" t="s">
        <v>573</v>
      </c>
      <c r="F10" s="438"/>
      <c r="G10" s="439"/>
      <c r="J10" s="611" t="s">
        <v>887</v>
      </c>
      <c r="K10" s="717">
        <v>3000</v>
      </c>
      <c r="L10" s="716" t="s">
        <v>357</v>
      </c>
      <c r="M10" s="442" t="s">
        <v>573</v>
      </c>
      <c r="N10" s="1136"/>
    </row>
    <row r="11" spans="1:14" ht="15.75" thickBot="1">
      <c r="A11" s="56"/>
      <c r="B11" s="2050" t="s">
        <v>1867</v>
      </c>
      <c r="C11" s="723">
        <v>150</v>
      </c>
      <c r="D11" s="2056" t="s">
        <v>286</v>
      </c>
      <c r="E11" s="646" t="s">
        <v>573</v>
      </c>
      <c r="F11" s="438"/>
      <c r="G11" s="439"/>
      <c r="J11" s="2066" t="s">
        <v>1867</v>
      </c>
      <c r="K11" s="2067">
        <v>5.0999999999999997E-2</v>
      </c>
      <c r="L11" s="2068" t="s">
        <v>357</v>
      </c>
      <c r="M11" s="855" t="s">
        <v>573</v>
      </c>
      <c r="N11" s="1136"/>
    </row>
    <row r="12" spans="1:14" ht="16.5" thickBot="1">
      <c r="A12" s="56"/>
      <c r="B12" s="2050" t="s">
        <v>1867</v>
      </c>
      <c r="C12" s="2683">
        <f>C11/1000</f>
        <v>0.15</v>
      </c>
      <c r="D12" s="2056" t="s">
        <v>357</v>
      </c>
      <c r="E12" s="646" t="s">
        <v>573</v>
      </c>
      <c r="F12" s="438"/>
      <c r="G12" s="439"/>
      <c r="J12" s="2063" t="s">
        <v>1893</v>
      </c>
      <c r="K12" s="2686">
        <f>K7*K8*K9</f>
        <v>0.2</v>
      </c>
      <c r="L12" s="2064" t="s">
        <v>1898</v>
      </c>
      <c r="M12" s="734"/>
      <c r="N12" s="1136"/>
    </row>
    <row r="13" spans="1:14" ht="16.5" thickBot="1">
      <c r="A13" s="56"/>
      <c r="B13" s="2049" t="s">
        <v>1864</v>
      </c>
      <c r="C13" s="2684">
        <f>((C10*C7)*(C8*C8)*(C9))/(2*C12)</f>
        <v>16512.000000000004</v>
      </c>
      <c r="D13" s="733" t="s">
        <v>220</v>
      </c>
      <c r="E13" s="734"/>
      <c r="F13" s="734"/>
      <c r="G13" s="735"/>
      <c r="J13" s="2049" t="s">
        <v>1896</v>
      </c>
      <c r="K13" s="2684">
        <f>K12*K10</f>
        <v>600</v>
      </c>
      <c r="L13" s="733" t="s">
        <v>192</v>
      </c>
      <c r="M13" s="734"/>
      <c r="N13" s="1136"/>
    </row>
    <row r="14" spans="1:14" s="56" customFormat="1" ht="16.5" thickBot="1">
      <c r="B14" s="2049" t="s">
        <v>1888</v>
      </c>
      <c r="C14" s="2684">
        <f>C13/1000</f>
        <v>16.512000000000004</v>
      </c>
      <c r="D14" s="733" t="s">
        <v>1886</v>
      </c>
      <c r="E14" s="734"/>
      <c r="F14" s="734"/>
      <c r="G14" s="735"/>
      <c r="J14" s="1559"/>
      <c r="K14" s="1174"/>
      <c r="L14" s="1174"/>
      <c r="M14" s="1174"/>
      <c r="N14" s="1175"/>
    </row>
    <row r="15" spans="1:14" s="56" customFormat="1" ht="16.5" thickBot="1">
      <c r="B15" s="2049" t="s">
        <v>1889</v>
      </c>
      <c r="C15" s="2685">
        <f>C14/1000</f>
        <v>1.6512000000000002E-2</v>
      </c>
      <c r="D15" s="733" t="s">
        <v>1887</v>
      </c>
      <c r="E15" s="448"/>
      <c r="F15" s="448"/>
      <c r="G15" s="450"/>
    </row>
    <row r="16" spans="1:14">
      <c r="A16" s="56"/>
      <c r="B16" s="438"/>
      <c r="C16" s="2059"/>
      <c r="D16" s="438"/>
      <c r="E16" s="438"/>
      <c r="F16" s="438"/>
      <c r="G16" s="438"/>
    </row>
    <row r="17" spans="1:7" ht="15.75" thickBot="1">
      <c r="A17" s="56"/>
    </row>
    <row r="18" spans="1:7">
      <c r="A18" s="56"/>
      <c r="B18" s="2672" t="s">
        <v>1868</v>
      </c>
      <c r="C18" s="1125"/>
      <c r="D18" s="1125"/>
      <c r="E18" s="1125"/>
      <c r="F18" s="1125"/>
      <c r="G18" s="1126"/>
    </row>
    <row r="19" spans="1:7">
      <c r="A19" s="56"/>
      <c r="B19" s="1134"/>
      <c r="C19" s="1128"/>
      <c r="D19" s="1128"/>
      <c r="E19" s="1128"/>
      <c r="F19" s="1128"/>
      <c r="G19" s="1136"/>
    </row>
    <row r="20" spans="1:7">
      <c r="A20" s="56"/>
      <c r="B20" s="1134" t="s">
        <v>1863</v>
      </c>
      <c r="C20" s="1128"/>
      <c r="D20" s="1128"/>
      <c r="E20" s="1128"/>
      <c r="F20" s="1128"/>
      <c r="G20" s="1136"/>
    </row>
    <row r="21" spans="1:7">
      <c r="A21" s="56"/>
      <c r="B21" s="1134"/>
      <c r="C21" s="1128"/>
      <c r="D21" s="1128"/>
      <c r="E21" s="1128"/>
      <c r="F21" s="1128"/>
      <c r="G21" s="1136"/>
    </row>
    <row r="22" spans="1:7">
      <c r="A22" s="56"/>
      <c r="B22" s="2055" t="s">
        <v>1867</v>
      </c>
      <c r="C22" s="1128"/>
      <c r="D22" s="1128"/>
      <c r="E22" s="1128"/>
      <c r="F22" s="1128"/>
      <c r="G22" s="1136"/>
    </row>
    <row r="23" spans="1:7">
      <c r="A23" s="56"/>
      <c r="B23" s="2055" t="s">
        <v>1870</v>
      </c>
      <c r="C23" s="1128"/>
      <c r="D23" s="1128"/>
      <c r="E23" s="1128"/>
      <c r="F23" s="1128"/>
      <c r="G23" s="1136"/>
    </row>
    <row r="24" spans="1:7" s="56" customFormat="1" ht="15.75" thickBot="1">
      <c r="B24" s="2890" t="s">
        <v>1891</v>
      </c>
      <c r="C24" s="2891"/>
      <c r="D24" s="1128"/>
      <c r="E24" s="1128"/>
      <c r="F24" s="1128"/>
      <c r="G24" s="1136"/>
    </row>
    <row r="25" spans="1:7">
      <c r="A25" s="56"/>
      <c r="B25" s="2051" t="s">
        <v>1873</v>
      </c>
      <c r="C25" s="723">
        <v>150</v>
      </c>
      <c r="D25" s="724" t="s">
        <v>286</v>
      </c>
      <c r="E25" s="1128"/>
      <c r="F25" s="1128"/>
      <c r="G25" s="1136"/>
    </row>
    <row r="26" spans="1:7">
      <c r="A26" s="56"/>
      <c r="B26" s="2687" t="s">
        <v>1867</v>
      </c>
      <c r="C26" s="2688">
        <f>C25/1000</f>
        <v>0.15</v>
      </c>
      <c r="D26" s="2056" t="s">
        <v>357</v>
      </c>
      <c r="E26" s="1128"/>
      <c r="F26" s="1128"/>
      <c r="G26" s="1136"/>
    </row>
    <row r="27" spans="1:7" ht="15.75" thickBot="1">
      <c r="A27" s="56"/>
      <c r="B27" s="2052" t="s">
        <v>1870</v>
      </c>
      <c r="C27" s="717">
        <v>20</v>
      </c>
      <c r="D27" s="2053" t="s">
        <v>889</v>
      </c>
      <c r="E27" s="1128"/>
      <c r="F27" s="1128"/>
      <c r="G27" s="1136"/>
    </row>
    <row r="28" spans="1:7" ht="16.5" thickBot="1">
      <c r="A28" s="56"/>
      <c r="B28" s="2049" t="s">
        <v>1869</v>
      </c>
      <c r="C28" s="2684">
        <f>(60*PI())*(C27*((C26/2)*(C26/2)))</f>
        <v>21.205750411731099</v>
      </c>
      <c r="D28" s="733" t="s">
        <v>1872</v>
      </c>
      <c r="E28" s="1128"/>
      <c r="F28" s="1128"/>
      <c r="G28" s="1136"/>
    </row>
    <row r="29" spans="1:7" ht="16.5" thickBot="1">
      <c r="A29" s="56"/>
      <c r="B29" s="1134"/>
      <c r="C29" s="2684">
        <f>C28/60</f>
        <v>0.35342917352885167</v>
      </c>
      <c r="D29" s="733" t="s">
        <v>732</v>
      </c>
      <c r="E29" s="1128"/>
      <c r="F29" s="1128"/>
      <c r="G29" s="1136"/>
    </row>
    <row r="30" spans="1:7" ht="15.75" thickBot="1">
      <c r="A30" s="56"/>
      <c r="B30" s="1559"/>
      <c r="C30" s="1174"/>
      <c r="D30" s="1174"/>
      <c r="E30" s="1174"/>
      <c r="F30" s="1174"/>
      <c r="G30" s="1175"/>
    </row>
    <row r="31" spans="1:7" ht="15.75" thickBot="1">
      <c r="A31" s="56"/>
    </row>
    <row r="32" spans="1:7" ht="60">
      <c r="A32" s="56"/>
      <c r="B32" s="2665" t="s">
        <v>1884</v>
      </c>
      <c r="C32" s="2666" t="s">
        <v>2131</v>
      </c>
      <c r="D32" s="2667" t="s">
        <v>1883</v>
      </c>
    </row>
    <row r="33" spans="1:4">
      <c r="A33" s="56"/>
      <c r="B33" s="1134"/>
      <c r="C33" s="2594">
        <v>25</v>
      </c>
      <c r="D33" s="1136">
        <f>3*POWER(10,6)</f>
        <v>3000000</v>
      </c>
    </row>
    <row r="34" spans="1:4">
      <c r="A34" s="56"/>
      <c r="B34" s="1134"/>
      <c r="C34" s="2594">
        <v>50</v>
      </c>
      <c r="D34" s="1136">
        <f>66*POWER(10,3)</f>
        <v>66000</v>
      </c>
    </row>
    <row r="35" spans="1:4">
      <c r="A35" s="56"/>
      <c r="B35" s="1134"/>
      <c r="C35" s="2594">
        <v>100</v>
      </c>
      <c r="D35" s="1136">
        <f>1.7*POWER(10,3)</f>
        <v>1700</v>
      </c>
    </row>
    <row r="36" spans="1:4">
      <c r="A36" s="56"/>
      <c r="B36" s="1134"/>
      <c r="C36" s="2594">
        <v>150</v>
      </c>
      <c r="D36" s="1136">
        <f>0.2*POWER(10,3)</f>
        <v>200</v>
      </c>
    </row>
    <row r="37" spans="1:4">
      <c r="A37" s="56"/>
      <c r="B37" s="1134"/>
      <c r="C37" s="2594">
        <v>200</v>
      </c>
      <c r="D37" s="1136">
        <v>45</v>
      </c>
    </row>
    <row r="38" spans="1:4">
      <c r="A38" s="56"/>
      <c r="B38" s="1134"/>
      <c r="C38" s="2594">
        <v>250</v>
      </c>
      <c r="D38" s="1136">
        <v>14</v>
      </c>
    </row>
    <row r="39" spans="1:4">
      <c r="A39" s="56"/>
      <c r="B39" s="1134"/>
      <c r="C39" s="2594">
        <v>300</v>
      </c>
      <c r="D39" s="1136">
        <v>5.3</v>
      </c>
    </row>
    <row r="40" spans="1:4">
      <c r="A40" s="56"/>
      <c r="B40" s="1134"/>
      <c r="C40" s="2594">
        <v>350</v>
      </c>
      <c r="D40" s="1136">
        <v>2.2999999999999998</v>
      </c>
    </row>
    <row r="41" spans="1:4">
      <c r="A41" s="56"/>
      <c r="B41" s="1134"/>
      <c r="C41" s="2594">
        <v>400</v>
      </c>
      <c r="D41" s="1136">
        <v>1.2</v>
      </c>
    </row>
    <row r="42" spans="1:4">
      <c r="A42" s="56"/>
      <c r="B42" s="1134"/>
      <c r="C42" s="2594">
        <v>450</v>
      </c>
      <c r="D42" s="1136">
        <v>0.63</v>
      </c>
    </row>
    <row r="43" spans="1:4">
      <c r="A43" s="56"/>
      <c r="B43" s="1134"/>
      <c r="C43" s="2594">
        <v>500</v>
      </c>
      <c r="D43" s="1136">
        <v>0.36</v>
      </c>
    </row>
    <row r="44" spans="1:4">
      <c r="A44" s="56"/>
      <c r="B44" s="1134"/>
      <c r="C44" s="2594">
        <v>550</v>
      </c>
      <c r="D44" s="1136">
        <v>0.22</v>
      </c>
    </row>
    <row r="45" spans="1:4">
      <c r="A45" s="56"/>
      <c r="B45" s="1134"/>
      <c r="C45" s="2594">
        <v>600</v>
      </c>
      <c r="D45" s="1136">
        <v>0.14000000000000001</v>
      </c>
    </row>
    <row r="46" spans="1:4">
      <c r="A46" s="56"/>
      <c r="B46" s="1134"/>
      <c r="C46" s="2594">
        <v>650</v>
      </c>
      <c r="D46" s="1136">
        <v>9.2999999999999999E-2</v>
      </c>
    </row>
    <row r="47" spans="1:4">
      <c r="A47" s="56"/>
      <c r="B47" s="2668"/>
      <c r="C47" s="2494">
        <v>700</v>
      </c>
      <c r="D47" s="2669">
        <v>6.3E-2</v>
      </c>
    </row>
    <row r="48" spans="1:4" ht="10.15" customHeight="1">
      <c r="A48" s="56"/>
      <c r="B48" s="1134"/>
      <c r="C48" s="1128"/>
      <c r="D48" s="1136"/>
    </row>
    <row r="49" spans="1:7">
      <c r="A49" s="56"/>
      <c r="B49" s="2894" t="s">
        <v>1885</v>
      </c>
      <c r="C49" s="1423">
        <v>25</v>
      </c>
      <c r="D49" s="2670">
        <f>2*POWER(10,6)</f>
        <v>2000000</v>
      </c>
    </row>
    <row r="50" spans="1:7" ht="15.75" thickBot="1">
      <c r="A50" s="56"/>
      <c r="B50" s="2895"/>
      <c r="C50" s="2671">
        <v>30</v>
      </c>
      <c r="D50" s="1175">
        <f>0.5*POWER(10,6)</f>
        <v>500000</v>
      </c>
    </row>
    <row r="51" spans="1:7">
      <c r="A51" s="56"/>
    </row>
    <row r="52" spans="1:7" ht="15.75" thickBot="1">
      <c r="A52" s="56"/>
    </row>
    <row r="53" spans="1:7">
      <c r="A53" s="56"/>
      <c r="B53" s="741" t="s">
        <v>2167</v>
      </c>
      <c r="C53" s="507"/>
      <c r="D53" s="507"/>
      <c r="E53" s="507"/>
      <c r="F53" s="507"/>
      <c r="G53" s="708"/>
    </row>
    <row r="54" spans="1:7">
      <c r="A54" s="56"/>
      <c r="B54" s="562"/>
      <c r="C54" s="438"/>
      <c r="D54" s="438"/>
      <c r="E54" s="438"/>
      <c r="F54" s="438"/>
      <c r="G54" s="710"/>
    </row>
    <row r="55" spans="1:7">
      <c r="A55" s="56"/>
      <c r="B55" s="1134" t="s">
        <v>1863</v>
      </c>
      <c r="C55" s="437"/>
      <c r="D55" s="438"/>
      <c r="E55" s="438"/>
      <c r="F55" s="712"/>
      <c r="G55" s="713"/>
    </row>
    <row r="56" spans="1:7" ht="15.75" thickBot="1">
      <c r="A56" s="56"/>
      <c r="B56" s="436"/>
      <c r="C56" s="437"/>
      <c r="D56" s="438"/>
      <c r="E56" s="438"/>
      <c r="F56" s="438"/>
      <c r="G56" s="710"/>
    </row>
    <row r="57" spans="1:7">
      <c r="A57" s="56"/>
      <c r="B57" s="2896" t="s">
        <v>2175</v>
      </c>
      <c r="C57" s="2897"/>
      <c r="D57" s="2678">
        <v>3000</v>
      </c>
      <c r="E57" s="2679" t="s">
        <v>192</v>
      </c>
      <c r="F57" s="572" t="s">
        <v>573</v>
      </c>
      <c r="G57" s="439"/>
    </row>
    <row r="58" spans="1:7">
      <c r="A58" s="56"/>
      <c r="B58" s="2898" t="s">
        <v>2170</v>
      </c>
      <c r="C58" s="2899"/>
      <c r="D58" s="717">
        <v>1200</v>
      </c>
      <c r="E58" s="2680" t="s">
        <v>357</v>
      </c>
      <c r="F58" s="742" t="s">
        <v>573</v>
      </c>
      <c r="G58" s="439"/>
    </row>
    <row r="59" spans="1:7">
      <c r="A59" s="56"/>
      <c r="B59" s="2898" t="s">
        <v>2171</v>
      </c>
      <c r="C59" s="2899"/>
      <c r="D59" s="2673">
        <v>287</v>
      </c>
      <c r="E59" s="2680" t="s">
        <v>2172</v>
      </c>
      <c r="F59" s="2689" t="s">
        <v>573</v>
      </c>
      <c r="G59" s="439"/>
    </row>
    <row r="60" spans="1:7">
      <c r="A60" s="56"/>
      <c r="B60" s="2898" t="s">
        <v>2168</v>
      </c>
      <c r="C60" s="2899"/>
      <c r="D60" s="2673">
        <v>9.7899999999999991</v>
      </c>
      <c r="E60" s="2680" t="s">
        <v>2169</v>
      </c>
      <c r="F60" s="2689" t="s">
        <v>573</v>
      </c>
      <c r="G60" s="439"/>
    </row>
    <row r="61" spans="1:7">
      <c r="A61" s="56"/>
      <c r="B61" s="2898" t="s">
        <v>2173</v>
      </c>
      <c r="C61" s="2899"/>
      <c r="D61" s="2674">
        <v>273</v>
      </c>
      <c r="E61" s="782" t="s">
        <v>203</v>
      </c>
      <c r="F61" s="2689" t="s">
        <v>573</v>
      </c>
      <c r="G61" s="439"/>
    </row>
    <row r="62" spans="1:7" ht="28.15" customHeight="1" thickBot="1">
      <c r="A62" s="56"/>
      <c r="B62" s="2888" t="s">
        <v>2174</v>
      </c>
      <c r="C62" s="2889"/>
      <c r="D62" s="2675">
        <f>D57*EXP((D60*D58)/(D59*D61))</f>
        <v>3485.2958756016142</v>
      </c>
      <c r="E62" s="2681" t="s">
        <v>220</v>
      </c>
      <c r="F62" s="2676"/>
      <c r="G62" s="2677"/>
    </row>
    <row r="63" spans="1:7">
      <c r="A63" s="56"/>
    </row>
    <row r="64" spans="1:7">
      <c r="A64" s="56"/>
    </row>
    <row r="65" spans="1:1">
      <c r="A65" s="56"/>
    </row>
    <row r="66" spans="1:1">
      <c r="A66" s="56"/>
    </row>
    <row r="67" spans="1:1">
      <c r="A67" s="56"/>
    </row>
    <row r="68" spans="1:1">
      <c r="A68" s="56"/>
    </row>
    <row r="69" spans="1:1">
      <c r="A69" s="56"/>
    </row>
    <row r="70" spans="1:1">
      <c r="A70" s="56"/>
    </row>
    <row r="71" spans="1:1">
      <c r="A71" s="56"/>
    </row>
    <row r="72" spans="1:1">
      <c r="A72" s="56"/>
    </row>
    <row r="73" spans="1:1">
      <c r="A73" s="56"/>
    </row>
    <row r="74" spans="1:1">
      <c r="A74" s="56"/>
    </row>
    <row r="75" spans="1:1">
      <c r="A75" s="56"/>
    </row>
    <row r="76" spans="1:1">
      <c r="A76" s="56"/>
    </row>
  </sheetData>
  <mergeCells count="10">
    <mergeCell ref="E1:G1"/>
    <mergeCell ref="B60:C60"/>
    <mergeCell ref="B58:C58"/>
    <mergeCell ref="B59:C59"/>
    <mergeCell ref="B61:C61"/>
    <mergeCell ref="B62:C62"/>
    <mergeCell ref="B24:C24"/>
    <mergeCell ref="J5:M5"/>
    <mergeCell ref="B49:B50"/>
    <mergeCell ref="B57:C57"/>
  </mergeCells>
  <hyperlinks>
    <hyperlink ref="E1" location="INDEX!A1" display="INDEX!A1"/>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CCFF"/>
  </sheetPr>
  <dimension ref="A1:K72"/>
  <sheetViews>
    <sheetView topLeftCell="A25" zoomScale="69" zoomScaleNormal="69" workbookViewId="0">
      <selection activeCell="F44" sqref="F44:G44"/>
    </sheetView>
  </sheetViews>
  <sheetFormatPr defaultRowHeight="12.75"/>
  <cols>
    <col min="1" max="1" width="3.7109375" style="435" customWidth="1"/>
    <col min="2" max="2" width="5.5703125" style="435" customWidth="1"/>
    <col min="3" max="3" width="11.7109375" style="435" customWidth="1"/>
    <col min="4" max="4" width="9.140625" style="435"/>
    <col min="5" max="5" width="8.28515625" style="435" customWidth="1"/>
    <col min="6" max="6" width="9.140625" style="435"/>
    <col min="7" max="7" width="14.140625" style="435" bestFit="1" customWidth="1"/>
    <col min="8" max="8" width="10.28515625" style="435" customWidth="1"/>
    <col min="9" max="256" width="9.140625" style="435"/>
    <col min="257" max="257" width="3.7109375" style="435" customWidth="1"/>
    <col min="258" max="258" width="5.5703125" style="435" customWidth="1"/>
    <col min="259" max="259" width="11.7109375" style="435" customWidth="1"/>
    <col min="260" max="260" width="9.140625" style="435"/>
    <col min="261" max="261" width="6.140625" style="435" customWidth="1"/>
    <col min="262" max="262" width="9.140625" style="435"/>
    <col min="263" max="263" width="14.140625" style="435" bestFit="1" customWidth="1"/>
    <col min="264" max="264" width="10.28515625" style="435" customWidth="1"/>
    <col min="265" max="512" width="9.140625" style="435"/>
    <col min="513" max="513" width="3.7109375" style="435" customWidth="1"/>
    <col min="514" max="514" width="5.5703125" style="435" customWidth="1"/>
    <col min="515" max="515" width="11.7109375" style="435" customWidth="1"/>
    <col min="516" max="516" width="9.140625" style="435"/>
    <col min="517" max="517" width="6.140625" style="435" customWidth="1"/>
    <col min="518" max="518" width="9.140625" style="435"/>
    <col min="519" max="519" width="14.140625" style="435" bestFit="1" customWidth="1"/>
    <col min="520" max="520" width="10.28515625" style="435" customWidth="1"/>
    <col min="521" max="768" width="9.140625" style="435"/>
    <col min="769" max="769" width="3.7109375" style="435" customWidth="1"/>
    <col min="770" max="770" width="5.5703125" style="435" customWidth="1"/>
    <col min="771" max="771" width="11.7109375" style="435" customWidth="1"/>
    <col min="772" max="772" width="9.140625" style="435"/>
    <col min="773" max="773" width="6.140625" style="435" customWidth="1"/>
    <col min="774" max="774" width="9.140625" style="435"/>
    <col min="775" max="775" width="14.140625" style="435" bestFit="1" customWidth="1"/>
    <col min="776" max="776" width="10.28515625" style="435" customWidth="1"/>
    <col min="777" max="1024" width="9.140625" style="435"/>
    <col min="1025" max="1025" width="3.7109375" style="435" customWidth="1"/>
    <col min="1026" max="1026" width="5.5703125" style="435" customWidth="1"/>
    <col min="1027" max="1027" width="11.7109375" style="435" customWidth="1"/>
    <col min="1028" max="1028" width="9.140625" style="435"/>
    <col min="1029" max="1029" width="6.140625" style="435" customWidth="1"/>
    <col min="1030" max="1030" width="9.140625" style="435"/>
    <col min="1031" max="1031" width="14.140625" style="435" bestFit="1" customWidth="1"/>
    <col min="1032" max="1032" width="10.28515625" style="435" customWidth="1"/>
    <col min="1033" max="1280" width="9.140625" style="435"/>
    <col min="1281" max="1281" width="3.7109375" style="435" customWidth="1"/>
    <col min="1282" max="1282" width="5.5703125" style="435" customWidth="1"/>
    <col min="1283" max="1283" width="11.7109375" style="435" customWidth="1"/>
    <col min="1284" max="1284" width="9.140625" style="435"/>
    <col min="1285" max="1285" width="6.140625" style="435" customWidth="1"/>
    <col min="1286" max="1286" width="9.140625" style="435"/>
    <col min="1287" max="1287" width="14.140625" style="435" bestFit="1" customWidth="1"/>
    <col min="1288" max="1288" width="10.28515625" style="435" customWidth="1"/>
    <col min="1289" max="1536" width="9.140625" style="435"/>
    <col min="1537" max="1537" width="3.7109375" style="435" customWidth="1"/>
    <col min="1538" max="1538" width="5.5703125" style="435" customWidth="1"/>
    <col min="1539" max="1539" width="11.7109375" style="435" customWidth="1"/>
    <col min="1540" max="1540" width="9.140625" style="435"/>
    <col min="1541" max="1541" width="6.140625" style="435" customWidth="1"/>
    <col min="1542" max="1542" width="9.140625" style="435"/>
    <col min="1543" max="1543" width="14.140625" style="435" bestFit="1" customWidth="1"/>
    <col min="1544" max="1544" width="10.28515625" style="435" customWidth="1"/>
    <col min="1545" max="1792" width="9.140625" style="435"/>
    <col min="1793" max="1793" width="3.7109375" style="435" customWidth="1"/>
    <col min="1794" max="1794" width="5.5703125" style="435" customWidth="1"/>
    <col min="1795" max="1795" width="11.7109375" style="435" customWidth="1"/>
    <col min="1796" max="1796" width="9.140625" style="435"/>
    <col min="1797" max="1797" width="6.140625" style="435" customWidth="1"/>
    <col min="1798" max="1798" width="9.140625" style="435"/>
    <col min="1799" max="1799" width="14.140625" style="435" bestFit="1" customWidth="1"/>
    <col min="1800" max="1800" width="10.28515625" style="435" customWidth="1"/>
    <col min="1801" max="2048" width="9.140625" style="435"/>
    <col min="2049" max="2049" width="3.7109375" style="435" customWidth="1"/>
    <col min="2050" max="2050" width="5.5703125" style="435" customWidth="1"/>
    <col min="2051" max="2051" width="11.7109375" style="435" customWidth="1"/>
    <col min="2052" max="2052" width="9.140625" style="435"/>
    <col min="2053" max="2053" width="6.140625" style="435" customWidth="1"/>
    <col min="2054" max="2054" width="9.140625" style="435"/>
    <col min="2055" max="2055" width="14.140625" style="435" bestFit="1" customWidth="1"/>
    <col min="2056" max="2056" width="10.28515625" style="435" customWidth="1"/>
    <col min="2057" max="2304" width="9.140625" style="435"/>
    <col min="2305" max="2305" width="3.7109375" style="435" customWidth="1"/>
    <col min="2306" max="2306" width="5.5703125" style="435" customWidth="1"/>
    <col min="2307" max="2307" width="11.7109375" style="435" customWidth="1"/>
    <col min="2308" max="2308" width="9.140625" style="435"/>
    <col min="2309" max="2309" width="6.140625" style="435" customWidth="1"/>
    <col min="2310" max="2310" width="9.140625" style="435"/>
    <col min="2311" max="2311" width="14.140625" style="435" bestFit="1" customWidth="1"/>
    <col min="2312" max="2312" width="10.28515625" style="435" customWidth="1"/>
    <col min="2313" max="2560" width="9.140625" style="435"/>
    <col min="2561" max="2561" width="3.7109375" style="435" customWidth="1"/>
    <col min="2562" max="2562" width="5.5703125" style="435" customWidth="1"/>
    <col min="2563" max="2563" width="11.7109375" style="435" customWidth="1"/>
    <col min="2564" max="2564" width="9.140625" style="435"/>
    <col min="2565" max="2565" width="6.140625" style="435" customWidth="1"/>
    <col min="2566" max="2566" width="9.140625" style="435"/>
    <col min="2567" max="2567" width="14.140625" style="435" bestFit="1" customWidth="1"/>
    <col min="2568" max="2568" width="10.28515625" style="435" customWidth="1"/>
    <col min="2569" max="2816" width="9.140625" style="435"/>
    <col min="2817" max="2817" width="3.7109375" style="435" customWidth="1"/>
    <col min="2818" max="2818" width="5.5703125" style="435" customWidth="1"/>
    <col min="2819" max="2819" width="11.7109375" style="435" customWidth="1"/>
    <col min="2820" max="2820" width="9.140625" style="435"/>
    <col min="2821" max="2821" width="6.140625" style="435" customWidth="1"/>
    <col min="2822" max="2822" width="9.140625" style="435"/>
    <col min="2823" max="2823" width="14.140625" style="435" bestFit="1" customWidth="1"/>
    <col min="2824" max="2824" width="10.28515625" style="435" customWidth="1"/>
    <col min="2825" max="3072" width="9.140625" style="435"/>
    <col min="3073" max="3073" width="3.7109375" style="435" customWidth="1"/>
    <col min="3074" max="3074" width="5.5703125" style="435" customWidth="1"/>
    <col min="3075" max="3075" width="11.7109375" style="435" customWidth="1"/>
    <col min="3076" max="3076" width="9.140625" style="435"/>
    <col min="3077" max="3077" width="6.140625" style="435" customWidth="1"/>
    <col min="3078" max="3078" width="9.140625" style="435"/>
    <col min="3079" max="3079" width="14.140625" style="435" bestFit="1" customWidth="1"/>
    <col min="3080" max="3080" width="10.28515625" style="435" customWidth="1"/>
    <col min="3081" max="3328" width="9.140625" style="435"/>
    <col min="3329" max="3329" width="3.7109375" style="435" customWidth="1"/>
    <col min="3330" max="3330" width="5.5703125" style="435" customWidth="1"/>
    <col min="3331" max="3331" width="11.7109375" style="435" customWidth="1"/>
    <col min="3332" max="3332" width="9.140625" style="435"/>
    <col min="3333" max="3333" width="6.140625" style="435" customWidth="1"/>
    <col min="3334" max="3334" width="9.140625" style="435"/>
    <col min="3335" max="3335" width="14.140625" style="435" bestFit="1" customWidth="1"/>
    <col min="3336" max="3336" width="10.28515625" style="435" customWidth="1"/>
    <col min="3337" max="3584" width="9.140625" style="435"/>
    <col min="3585" max="3585" width="3.7109375" style="435" customWidth="1"/>
    <col min="3586" max="3586" width="5.5703125" style="435" customWidth="1"/>
    <col min="3587" max="3587" width="11.7109375" style="435" customWidth="1"/>
    <col min="3588" max="3588" width="9.140625" style="435"/>
    <col min="3589" max="3589" width="6.140625" style="435" customWidth="1"/>
    <col min="3590" max="3590" width="9.140625" style="435"/>
    <col min="3591" max="3591" width="14.140625" style="435" bestFit="1" customWidth="1"/>
    <col min="3592" max="3592" width="10.28515625" style="435" customWidth="1"/>
    <col min="3593" max="3840" width="9.140625" style="435"/>
    <col min="3841" max="3841" width="3.7109375" style="435" customWidth="1"/>
    <col min="3842" max="3842" width="5.5703125" style="435" customWidth="1"/>
    <col min="3843" max="3843" width="11.7109375" style="435" customWidth="1"/>
    <col min="3844" max="3844" width="9.140625" style="435"/>
    <col min="3845" max="3845" width="6.140625" style="435" customWidth="1"/>
    <col min="3846" max="3846" width="9.140625" style="435"/>
    <col min="3847" max="3847" width="14.140625" style="435" bestFit="1" customWidth="1"/>
    <col min="3848" max="3848" width="10.28515625" style="435" customWidth="1"/>
    <col min="3849" max="4096" width="9.140625" style="435"/>
    <col min="4097" max="4097" width="3.7109375" style="435" customWidth="1"/>
    <col min="4098" max="4098" width="5.5703125" style="435" customWidth="1"/>
    <col min="4099" max="4099" width="11.7109375" style="435" customWidth="1"/>
    <col min="4100" max="4100" width="9.140625" style="435"/>
    <col min="4101" max="4101" width="6.140625" style="435" customWidth="1"/>
    <col min="4102" max="4102" width="9.140625" style="435"/>
    <col min="4103" max="4103" width="14.140625" style="435" bestFit="1" customWidth="1"/>
    <col min="4104" max="4104" width="10.28515625" style="435" customWidth="1"/>
    <col min="4105" max="4352" width="9.140625" style="435"/>
    <col min="4353" max="4353" width="3.7109375" style="435" customWidth="1"/>
    <col min="4354" max="4354" width="5.5703125" style="435" customWidth="1"/>
    <col min="4355" max="4355" width="11.7109375" style="435" customWidth="1"/>
    <col min="4356" max="4356" width="9.140625" style="435"/>
    <col min="4357" max="4357" width="6.140625" style="435" customWidth="1"/>
    <col min="4358" max="4358" width="9.140625" style="435"/>
    <col min="4359" max="4359" width="14.140625" style="435" bestFit="1" customWidth="1"/>
    <col min="4360" max="4360" width="10.28515625" style="435" customWidth="1"/>
    <col min="4361" max="4608" width="9.140625" style="435"/>
    <col min="4609" max="4609" width="3.7109375" style="435" customWidth="1"/>
    <col min="4610" max="4610" width="5.5703125" style="435" customWidth="1"/>
    <col min="4611" max="4611" width="11.7109375" style="435" customWidth="1"/>
    <col min="4612" max="4612" width="9.140625" style="435"/>
    <col min="4613" max="4613" width="6.140625" style="435" customWidth="1"/>
    <col min="4614" max="4614" width="9.140625" style="435"/>
    <col min="4615" max="4615" width="14.140625" style="435" bestFit="1" customWidth="1"/>
    <col min="4616" max="4616" width="10.28515625" style="435" customWidth="1"/>
    <col min="4617" max="4864" width="9.140625" style="435"/>
    <col min="4865" max="4865" width="3.7109375" style="435" customWidth="1"/>
    <col min="4866" max="4866" width="5.5703125" style="435" customWidth="1"/>
    <col min="4867" max="4867" width="11.7109375" style="435" customWidth="1"/>
    <col min="4868" max="4868" width="9.140625" style="435"/>
    <col min="4869" max="4869" width="6.140625" style="435" customWidth="1"/>
    <col min="4870" max="4870" width="9.140625" style="435"/>
    <col min="4871" max="4871" width="14.140625" style="435" bestFit="1" customWidth="1"/>
    <col min="4872" max="4872" width="10.28515625" style="435" customWidth="1"/>
    <col min="4873" max="5120" width="9.140625" style="435"/>
    <col min="5121" max="5121" width="3.7109375" style="435" customWidth="1"/>
    <col min="5122" max="5122" width="5.5703125" style="435" customWidth="1"/>
    <col min="5123" max="5123" width="11.7109375" style="435" customWidth="1"/>
    <col min="5124" max="5124" width="9.140625" style="435"/>
    <col min="5125" max="5125" width="6.140625" style="435" customWidth="1"/>
    <col min="5126" max="5126" width="9.140625" style="435"/>
    <col min="5127" max="5127" width="14.140625" style="435" bestFit="1" customWidth="1"/>
    <col min="5128" max="5128" width="10.28515625" style="435" customWidth="1"/>
    <col min="5129" max="5376" width="9.140625" style="435"/>
    <col min="5377" max="5377" width="3.7109375" style="435" customWidth="1"/>
    <col min="5378" max="5378" width="5.5703125" style="435" customWidth="1"/>
    <col min="5379" max="5379" width="11.7109375" style="435" customWidth="1"/>
    <col min="5380" max="5380" width="9.140625" style="435"/>
    <col min="5381" max="5381" width="6.140625" style="435" customWidth="1"/>
    <col min="5382" max="5382" width="9.140625" style="435"/>
    <col min="5383" max="5383" width="14.140625" style="435" bestFit="1" customWidth="1"/>
    <col min="5384" max="5384" width="10.28515625" style="435" customWidth="1"/>
    <col min="5385" max="5632" width="9.140625" style="435"/>
    <col min="5633" max="5633" width="3.7109375" style="435" customWidth="1"/>
    <col min="5634" max="5634" width="5.5703125" style="435" customWidth="1"/>
    <col min="5635" max="5635" width="11.7109375" style="435" customWidth="1"/>
    <col min="5636" max="5636" width="9.140625" style="435"/>
    <col min="5637" max="5637" width="6.140625" style="435" customWidth="1"/>
    <col min="5638" max="5638" width="9.140625" style="435"/>
    <col min="5639" max="5639" width="14.140625" style="435" bestFit="1" customWidth="1"/>
    <col min="5640" max="5640" width="10.28515625" style="435" customWidth="1"/>
    <col min="5641" max="5888" width="9.140625" style="435"/>
    <col min="5889" max="5889" width="3.7109375" style="435" customWidth="1"/>
    <col min="5890" max="5890" width="5.5703125" style="435" customWidth="1"/>
    <col min="5891" max="5891" width="11.7109375" style="435" customWidth="1"/>
    <col min="5892" max="5892" width="9.140625" style="435"/>
    <col min="5893" max="5893" width="6.140625" style="435" customWidth="1"/>
    <col min="5894" max="5894" width="9.140625" style="435"/>
    <col min="5895" max="5895" width="14.140625" style="435" bestFit="1" customWidth="1"/>
    <col min="5896" max="5896" width="10.28515625" style="435" customWidth="1"/>
    <col min="5897" max="6144" width="9.140625" style="435"/>
    <col min="6145" max="6145" width="3.7109375" style="435" customWidth="1"/>
    <col min="6146" max="6146" width="5.5703125" style="435" customWidth="1"/>
    <col min="6147" max="6147" width="11.7109375" style="435" customWidth="1"/>
    <col min="6148" max="6148" width="9.140625" style="435"/>
    <col min="6149" max="6149" width="6.140625" style="435" customWidth="1"/>
    <col min="6150" max="6150" width="9.140625" style="435"/>
    <col min="6151" max="6151" width="14.140625" style="435" bestFit="1" customWidth="1"/>
    <col min="6152" max="6152" width="10.28515625" style="435" customWidth="1"/>
    <col min="6153" max="6400" width="9.140625" style="435"/>
    <col min="6401" max="6401" width="3.7109375" style="435" customWidth="1"/>
    <col min="6402" max="6402" width="5.5703125" style="435" customWidth="1"/>
    <col min="6403" max="6403" width="11.7109375" style="435" customWidth="1"/>
    <col min="6404" max="6404" width="9.140625" style="435"/>
    <col min="6405" max="6405" width="6.140625" style="435" customWidth="1"/>
    <col min="6406" max="6406" width="9.140625" style="435"/>
    <col min="6407" max="6407" width="14.140625" style="435" bestFit="1" customWidth="1"/>
    <col min="6408" max="6408" width="10.28515625" style="435" customWidth="1"/>
    <col min="6409" max="6656" width="9.140625" style="435"/>
    <col min="6657" max="6657" width="3.7109375" style="435" customWidth="1"/>
    <col min="6658" max="6658" width="5.5703125" style="435" customWidth="1"/>
    <col min="6659" max="6659" width="11.7109375" style="435" customWidth="1"/>
    <col min="6660" max="6660" width="9.140625" style="435"/>
    <col min="6661" max="6661" width="6.140625" style="435" customWidth="1"/>
    <col min="6662" max="6662" width="9.140625" style="435"/>
    <col min="6663" max="6663" width="14.140625" style="435" bestFit="1" customWidth="1"/>
    <col min="6664" max="6664" width="10.28515625" style="435" customWidth="1"/>
    <col min="6665" max="6912" width="9.140625" style="435"/>
    <col min="6913" max="6913" width="3.7109375" style="435" customWidth="1"/>
    <col min="6914" max="6914" width="5.5703125" style="435" customWidth="1"/>
    <col min="6915" max="6915" width="11.7109375" style="435" customWidth="1"/>
    <col min="6916" max="6916" width="9.140625" style="435"/>
    <col min="6917" max="6917" width="6.140625" style="435" customWidth="1"/>
    <col min="6918" max="6918" width="9.140625" style="435"/>
    <col min="6919" max="6919" width="14.140625" style="435" bestFit="1" customWidth="1"/>
    <col min="6920" max="6920" width="10.28515625" style="435" customWidth="1"/>
    <col min="6921" max="7168" width="9.140625" style="435"/>
    <col min="7169" max="7169" width="3.7109375" style="435" customWidth="1"/>
    <col min="7170" max="7170" width="5.5703125" style="435" customWidth="1"/>
    <col min="7171" max="7171" width="11.7109375" style="435" customWidth="1"/>
    <col min="7172" max="7172" width="9.140625" style="435"/>
    <col min="7173" max="7173" width="6.140625" style="435" customWidth="1"/>
    <col min="7174" max="7174" width="9.140625" style="435"/>
    <col min="7175" max="7175" width="14.140625" style="435" bestFit="1" customWidth="1"/>
    <col min="7176" max="7176" width="10.28515625" style="435" customWidth="1"/>
    <col min="7177" max="7424" width="9.140625" style="435"/>
    <col min="7425" max="7425" width="3.7109375" style="435" customWidth="1"/>
    <col min="7426" max="7426" width="5.5703125" style="435" customWidth="1"/>
    <col min="7427" max="7427" width="11.7109375" style="435" customWidth="1"/>
    <col min="7428" max="7428" width="9.140625" style="435"/>
    <col min="7429" max="7429" width="6.140625" style="435" customWidth="1"/>
    <col min="7430" max="7430" width="9.140625" style="435"/>
    <col min="7431" max="7431" width="14.140625" style="435" bestFit="1" customWidth="1"/>
    <col min="7432" max="7432" width="10.28515625" style="435" customWidth="1"/>
    <col min="7433" max="7680" width="9.140625" style="435"/>
    <col min="7681" max="7681" width="3.7109375" style="435" customWidth="1"/>
    <col min="7682" max="7682" width="5.5703125" style="435" customWidth="1"/>
    <col min="7683" max="7683" width="11.7109375" style="435" customWidth="1"/>
    <col min="7684" max="7684" width="9.140625" style="435"/>
    <col min="7685" max="7685" width="6.140625" style="435" customWidth="1"/>
    <col min="7686" max="7686" width="9.140625" style="435"/>
    <col min="7687" max="7687" width="14.140625" style="435" bestFit="1" customWidth="1"/>
    <col min="7688" max="7688" width="10.28515625" style="435" customWidth="1"/>
    <col min="7689" max="7936" width="9.140625" style="435"/>
    <col min="7937" max="7937" width="3.7109375" style="435" customWidth="1"/>
    <col min="7938" max="7938" width="5.5703125" style="435" customWidth="1"/>
    <col min="7939" max="7939" width="11.7109375" style="435" customWidth="1"/>
    <col min="7940" max="7940" width="9.140625" style="435"/>
    <col min="7941" max="7941" width="6.140625" style="435" customWidth="1"/>
    <col min="7942" max="7942" width="9.140625" style="435"/>
    <col min="7943" max="7943" width="14.140625" style="435" bestFit="1" customWidth="1"/>
    <col min="7944" max="7944" width="10.28515625" style="435" customWidth="1"/>
    <col min="7945" max="8192" width="9.140625" style="435"/>
    <col min="8193" max="8193" width="3.7109375" style="435" customWidth="1"/>
    <col min="8194" max="8194" width="5.5703125" style="435" customWidth="1"/>
    <col min="8195" max="8195" width="11.7109375" style="435" customWidth="1"/>
    <col min="8196" max="8196" width="9.140625" style="435"/>
    <col min="8197" max="8197" width="6.140625" style="435" customWidth="1"/>
    <col min="8198" max="8198" width="9.140625" style="435"/>
    <col min="8199" max="8199" width="14.140625" style="435" bestFit="1" customWidth="1"/>
    <col min="8200" max="8200" width="10.28515625" style="435" customWidth="1"/>
    <col min="8201" max="8448" width="9.140625" style="435"/>
    <col min="8449" max="8449" width="3.7109375" style="435" customWidth="1"/>
    <col min="8450" max="8450" width="5.5703125" style="435" customWidth="1"/>
    <col min="8451" max="8451" width="11.7109375" style="435" customWidth="1"/>
    <col min="8452" max="8452" width="9.140625" style="435"/>
    <col min="8453" max="8453" width="6.140625" style="435" customWidth="1"/>
    <col min="8454" max="8454" width="9.140625" style="435"/>
    <col min="8455" max="8455" width="14.140625" style="435" bestFit="1" customWidth="1"/>
    <col min="8456" max="8456" width="10.28515625" style="435" customWidth="1"/>
    <col min="8457" max="8704" width="9.140625" style="435"/>
    <col min="8705" max="8705" width="3.7109375" style="435" customWidth="1"/>
    <col min="8706" max="8706" width="5.5703125" style="435" customWidth="1"/>
    <col min="8707" max="8707" width="11.7109375" style="435" customWidth="1"/>
    <col min="8708" max="8708" width="9.140625" style="435"/>
    <col min="8709" max="8709" width="6.140625" style="435" customWidth="1"/>
    <col min="8710" max="8710" width="9.140625" style="435"/>
    <col min="8711" max="8711" width="14.140625" style="435" bestFit="1" customWidth="1"/>
    <col min="8712" max="8712" width="10.28515625" style="435" customWidth="1"/>
    <col min="8713" max="8960" width="9.140625" style="435"/>
    <col min="8961" max="8961" width="3.7109375" style="435" customWidth="1"/>
    <col min="8962" max="8962" width="5.5703125" style="435" customWidth="1"/>
    <col min="8963" max="8963" width="11.7109375" style="435" customWidth="1"/>
    <col min="8964" max="8964" width="9.140625" style="435"/>
    <col min="8965" max="8965" width="6.140625" style="435" customWidth="1"/>
    <col min="8966" max="8966" width="9.140625" style="435"/>
    <col min="8967" max="8967" width="14.140625" style="435" bestFit="1" customWidth="1"/>
    <col min="8968" max="8968" width="10.28515625" style="435" customWidth="1"/>
    <col min="8969" max="9216" width="9.140625" style="435"/>
    <col min="9217" max="9217" width="3.7109375" style="435" customWidth="1"/>
    <col min="9218" max="9218" width="5.5703125" style="435" customWidth="1"/>
    <col min="9219" max="9219" width="11.7109375" style="435" customWidth="1"/>
    <col min="9220" max="9220" width="9.140625" style="435"/>
    <col min="9221" max="9221" width="6.140625" style="435" customWidth="1"/>
    <col min="9222" max="9222" width="9.140625" style="435"/>
    <col min="9223" max="9223" width="14.140625" style="435" bestFit="1" customWidth="1"/>
    <col min="9224" max="9224" width="10.28515625" style="435" customWidth="1"/>
    <col min="9225" max="9472" width="9.140625" style="435"/>
    <col min="9473" max="9473" width="3.7109375" style="435" customWidth="1"/>
    <col min="9474" max="9474" width="5.5703125" style="435" customWidth="1"/>
    <col min="9475" max="9475" width="11.7109375" style="435" customWidth="1"/>
    <col min="9476" max="9476" width="9.140625" style="435"/>
    <col min="9477" max="9477" width="6.140625" style="435" customWidth="1"/>
    <col min="9478" max="9478" width="9.140625" style="435"/>
    <col min="9479" max="9479" width="14.140625" style="435" bestFit="1" customWidth="1"/>
    <col min="9480" max="9480" width="10.28515625" style="435" customWidth="1"/>
    <col min="9481" max="9728" width="9.140625" style="435"/>
    <col min="9729" max="9729" width="3.7109375" style="435" customWidth="1"/>
    <col min="9730" max="9730" width="5.5703125" style="435" customWidth="1"/>
    <col min="9731" max="9731" width="11.7109375" style="435" customWidth="1"/>
    <col min="9732" max="9732" width="9.140625" style="435"/>
    <col min="9733" max="9733" width="6.140625" style="435" customWidth="1"/>
    <col min="9734" max="9734" width="9.140625" style="435"/>
    <col min="9735" max="9735" width="14.140625" style="435" bestFit="1" customWidth="1"/>
    <col min="9736" max="9736" width="10.28515625" style="435" customWidth="1"/>
    <col min="9737" max="9984" width="9.140625" style="435"/>
    <col min="9985" max="9985" width="3.7109375" style="435" customWidth="1"/>
    <col min="9986" max="9986" width="5.5703125" style="435" customWidth="1"/>
    <col min="9987" max="9987" width="11.7109375" style="435" customWidth="1"/>
    <col min="9988" max="9988" width="9.140625" style="435"/>
    <col min="9989" max="9989" width="6.140625" style="435" customWidth="1"/>
    <col min="9990" max="9990" width="9.140625" style="435"/>
    <col min="9991" max="9991" width="14.140625" style="435" bestFit="1" customWidth="1"/>
    <col min="9992" max="9992" width="10.28515625" style="435" customWidth="1"/>
    <col min="9993" max="10240" width="9.140625" style="435"/>
    <col min="10241" max="10241" width="3.7109375" style="435" customWidth="1"/>
    <col min="10242" max="10242" width="5.5703125" style="435" customWidth="1"/>
    <col min="10243" max="10243" width="11.7109375" style="435" customWidth="1"/>
    <col min="10244" max="10244" width="9.140625" style="435"/>
    <col min="10245" max="10245" width="6.140625" style="435" customWidth="1"/>
    <col min="10246" max="10246" width="9.140625" style="435"/>
    <col min="10247" max="10247" width="14.140625" style="435" bestFit="1" customWidth="1"/>
    <col min="10248" max="10248" width="10.28515625" style="435" customWidth="1"/>
    <col min="10249" max="10496" width="9.140625" style="435"/>
    <col min="10497" max="10497" width="3.7109375" style="435" customWidth="1"/>
    <col min="10498" max="10498" width="5.5703125" style="435" customWidth="1"/>
    <col min="10499" max="10499" width="11.7109375" style="435" customWidth="1"/>
    <col min="10500" max="10500" width="9.140625" style="435"/>
    <col min="10501" max="10501" width="6.140625" style="435" customWidth="1"/>
    <col min="10502" max="10502" width="9.140625" style="435"/>
    <col min="10503" max="10503" width="14.140625" style="435" bestFit="1" customWidth="1"/>
    <col min="10504" max="10504" width="10.28515625" style="435" customWidth="1"/>
    <col min="10505" max="10752" width="9.140625" style="435"/>
    <col min="10753" max="10753" width="3.7109375" style="435" customWidth="1"/>
    <col min="10754" max="10754" width="5.5703125" style="435" customWidth="1"/>
    <col min="10755" max="10755" width="11.7109375" style="435" customWidth="1"/>
    <col min="10756" max="10756" width="9.140625" style="435"/>
    <col min="10757" max="10757" width="6.140625" style="435" customWidth="1"/>
    <col min="10758" max="10758" width="9.140625" style="435"/>
    <col min="10759" max="10759" width="14.140625" style="435" bestFit="1" customWidth="1"/>
    <col min="10760" max="10760" width="10.28515625" style="435" customWidth="1"/>
    <col min="10761" max="11008" width="9.140625" style="435"/>
    <col min="11009" max="11009" width="3.7109375" style="435" customWidth="1"/>
    <col min="11010" max="11010" width="5.5703125" style="435" customWidth="1"/>
    <col min="11011" max="11011" width="11.7109375" style="435" customWidth="1"/>
    <col min="11012" max="11012" width="9.140625" style="435"/>
    <col min="11013" max="11013" width="6.140625" style="435" customWidth="1"/>
    <col min="11014" max="11014" width="9.140625" style="435"/>
    <col min="11015" max="11015" width="14.140625" style="435" bestFit="1" customWidth="1"/>
    <col min="11016" max="11016" width="10.28515625" style="435" customWidth="1"/>
    <col min="11017" max="11264" width="9.140625" style="435"/>
    <col min="11265" max="11265" width="3.7109375" style="435" customWidth="1"/>
    <col min="11266" max="11266" width="5.5703125" style="435" customWidth="1"/>
    <col min="11267" max="11267" width="11.7109375" style="435" customWidth="1"/>
    <col min="11268" max="11268" width="9.140625" style="435"/>
    <col min="11269" max="11269" width="6.140625" style="435" customWidth="1"/>
    <col min="11270" max="11270" width="9.140625" style="435"/>
    <col min="11271" max="11271" width="14.140625" style="435" bestFit="1" customWidth="1"/>
    <col min="11272" max="11272" width="10.28515625" style="435" customWidth="1"/>
    <col min="11273" max="11520" width="9.140625" style="435"/>
    <col min="11521" max="11521" width="3.7109375" style="435" customWidth="1"/>
    <col min="11522" max="11522" width="5.5703125" style="435" customWidth="1"/>
    <col min="11523" max="11523" width="11.7109375" style="435" customWidth="1"/>
    <col min="11524" max="11524" width="9.140625" style="435"/>
    <col min="11525" max="11525" width="6.140625" style="435" customWidth="1"/>
    <col min="11526" max="11526" width="9.140625" style="435"/>
    <col min="11527" max="11527" width="14.140625" style="435" bestFit="1" customWidth="1"/>
    <col min="11528" max="11528" width="10.28515625" style="435" customWidth="1"/>
    <col min="11529" max="11776" width="9.140625" style="435"/>
    <col min="11777" max="11777" width="3.7109375" style="435" customWidth="1"/>
    <col min="11778" max="11778" width="5.5703125" style="435" customWidth="1"/>
    <col min="11779" max="11779" width="11.7109375" style="435" customWidth="1"/>
    <col min="11780" max="11780" width="9.140625" style="435"/>
    <col min="11781" max="11781" width="6.140625" style="435" customWidth="1"/>
    <col min="11782" max="11782" width="9.140625" style="435"/>
    <col min="11783" max="11783" width="14.140625" style="435" bestFit="1" customWidth="1"/>
    <col min="11784" max="11784" width="10.28515625" style="435" customWidth="1"/>
    <col min="11785" max="12032" width="9.140625" style="435"/>
    <col min="12033" max="12033" width="3.7109375" style="435" customWidth="1"/>
    <col min="12034" max="12034" width="5.5703125" style="435" customWidth="1"/>
    <col min="12035" max="12035" width="11.7109375" style="435" customWidth="1"/>
    <col min="12036" max="12036" width="9.140625" style="435"/>
    <col min="12037" max="12037" width="6.140625" style="435" customWidth="1"/>
    <col min="12038" max="12038" width="9.140625" style="435"/>
    <col min="12039" max="12039" width="14.140625" style="435" bestFit="1" customWidth="1"/>
    <col min="12040" max="12040" width="10.28515625" style="435" customWidth="1"/>
    <col min="12041" max="12288" width="9.140625" style="435"/>
    <col min="12289" max="12289" width="3.7109375" style="435" customWidth="1"/>
    <col min="12290" max="12290" width="5.5703125" style="435" customWidth="1"/>
    <col min="12291" max="12291" width="11.7109375" style="435" customWidth="1"/>
    <col min="12292" max="12292" width="9.140625" style="435"/>
    <col min="12293" max="12293" width="6.140625" style="435" customWidth="1"/>
    <col min="12294" max="12294" width="9.140625" style="435"/>
    <col min="12295" max="12295" width="14.140625" style="435" bestFit="1" customWidth="1"/>
    <col min="12296" max="12296" width="10.28515625" style="435" customWidth="1"/>
    <col min="12297" max="12544" width="9.140625" style="435"/>
    <col min="12545" max="12545" width="3.7109375" style="435" customWidth="1"/>
    <col min="12546" max="12546" width="5.5703125" style="435" customWidth="1"/>
    <col min="12547" max="12547" width="11.7109375" style="435" customWidth="1"/>
    <col min="12548" max="12548" width="9.140625" style="435"/>
    <col min="12549" max="12549" width="6.140625" style="435" customWidth="1"/>
    <col min="12550" max="12550" width="9.140625" style="435"/>
    <col min="12551" max="12551" width="14.140625" style="435" bestFit="1" customWidth="1"/>
    <col min="12552" max="12552" width="10.28515625" style="435" customWidth="1"/>
    <col min="12553" max="12800" width="9.140625" style="435"/>
    <col min="12801" max="12801" width="3.7109375" style="435" customWidth="1"/>
    <col min="12802" max="12802" width="5.5703125" style="435" customWidth="1"/>
    <col min="12803" max="12803" width="11.7109375" style="435" customWidth="1"/>
    <col min="12804" max="12804" width="9.140625" style="435"/>
    <col min="12805" max="12805" width="6.140625" style="435" customWidth="1"/>
    <col min="12806" max="12806" width="9.140625" style="435"/>
    <col min="12807" max="12807" width="14.140625" style="435" bestFit="1" customWidth="1"/>
    <col min="12808" max="12808" width="10.28515625" style="435" customWidth="1"/>
    <col min="12809" max="13056" width="9.140625" style="435"/>
    <col min="13057" max="13057" width="3.7109375" style="435" customWidth="1"/>
    <col min="13058" max="13058" width="5.5703125" style="435" customWidth="1"/>
    <col min="13059" max="13059" width="11.7109375" style="435" customWidth="1"/>
    <col min="13060" max="13060" width="9.140625" style="435"/>
    <col min="13061" max="13061" width="6.140625" style="435" customWidth="1"/>
    <col min="13062" max="13062" width="9.140625" style="435"/>
    <col min="13063" max="13063" width="14.140625" style="435" bestFit="1" customWidth="1"/>
    <col min="13064" max="13064" width="10.28515625" style="435" customWidth="1"/>
    <col min="13065" max="13312" width="9.140625" style="435"/>
    <col min="13313" max="13313" width="3.7109375" style="435" customWidth="1"/>
    <col min="13314" max="13314" width="5.5703125" style="435" customWidth="1"/>
    <col min="13315" max="13315" width="11.7109375" style="435" customWidth="1"/>
    <col min="13316" max="13316" width="9.140625" style="435"/>
    <col min="13317" max="13317" width="6.140625" style="435" customWidth="1"/>
    <col min="13318" max="13318" width="9.140625" style="435"/>
    <col min="13319" max="13319" width="14.140625" style="435" bestFit="1" customWidth="1"/>
    <col min="13320" max="13320" width="10.28515625" style="435" customWidth="1"/>
    <col min="13321" max="13568" width="9.140625" style="435"/>
    <col min="13569" max="13569" width="3.7109375" style="435" customWidth="1"/>
    <col min="13570" max="13570" width="5.5703125" style="435" customWidth="1"/>
    <col min="13571" max="13571" width="11.7109375" style="435" customWidth="1"/>
    <col min="13572" max="13572" width="9.140625" style="435"/>
    <col min="13573" max="13573" width="6.140625" style="435" customWidth="1"/>
    <col min="13574" max="13574" width="9.140625" style="435"/>
    <col min="13575" max="13575" width="14.140625" style="435" bestFit="1" customWidth="1"/>
    <col min="13576" max="13576" width="10.28515625" style="435" customWidth="1"/>
    <col min="13577" max="13824" width="9.140625" style="435"/>
    <col min="13825" max="13825" width="3.7109375" style="435" customWidth="1"/>
    <col min="13826" max="13826" width="5.5703125" style="435" customWidth="1"/>
    <col min="13827" max="13827" width="11.7109375" style="435" customWidth="1"/>
    <col min="13828" max="13828" width="9.140625" style="435"/>
    <col min="13829" max="13829" width="6.140625" style="435" customWidth="1"/>
    <col min="13830" max="13830" width="9.140625" style="435"/>
    <col min="13831" max="13831" width="14.140625" style="435" bestFit="1" customWidth="1"/>
    <col min="13832" max="13832" width="10.28515625" style="435" customWidth="1"/>
    <col min="13833" max="14080" width="9.140625" style="435"/>
    <col min="14081" max="14081" width="3.7109375" style="435" customWidth="1"/>
    <col min="14082" max="14082" width="5.5703125" style="435" customWidth="1"/>
    <col min="14083" max="14083" width="11.7109375" style="435" customWidth="1"/>
    <col min="14084" max="14084" width="9.140625" style="435"/>
    <col min="14085" max="14085" width="6.140625" style="435" customWidth="1"/>
    <col min="14086" max="14086" width="9.140625" style="435"/>
    <col min="14087" max="14087" width="14.140625" style="435" bestFit="1" customWidth="1"/>
    <col min="14088" max="14088" width="10.28515625" style="435" customWidth="1"/>
    <col min="14089" max="14336" width="9.140625" style="435"/>
    <col min="14337" max="14337" width="3.7109375" style="435" customWidth="1"/>
    <col min="14338" max="14338" width="5.5703125" style="435" customWidth="1"/>
    <col min="14339" max="14339" width="11.7109375" style="435" customWidth="1"/>
    <col min="14340" max="14340" width="9.140625" style="435"/>
    <col min="14341" max="14341" width="6.140625" style="435" customWidth="1"/>
    <col min="14342" max="14342" width="9.140625" style="435"/>
    <col min="14343" max="14343" width="14.140625" style="435" bestFit="1" customWidth="1"/>
    <col min="14344" max="14344" width="10.28515625" style="435" customWidth="1"/>
    <col min="14345" max="14592" width="9.140625" style="435"/>
    <col min="14593" max="14593" width="3.7109375" style="435" customWidth="1"/>
    <col min="14594" max="14594" width="5.5703125" style="435" customWidth="1"/>
    <col min="14595" max="14595" width="11.7109375" style="435" customWidth="1"/>
    <col min="14596" max="14596" width="9.140625" style="435"/>
    <col min="14597" max="14597" width="6.140625" style="435" customWidth="1"/>
    <col min="14598" max="14598" width="9.140625" style="435"/>
    <col min="14599" max="14599" width="14.140625" style="435" bestFit="1" customWidth="1"/>
    <col min="14600" max="14600" width="10.28515625" style="435" customWidth="1"/>
    <col min="14601" max="14848" width="9.140625" style="435"/>
    <col min="14849" max="14849" width="3.7109375" style="435" customWidth="1"/>
    <col min="14850" max="14850" width="5.5703125" style="435" customWidth="1"/>
    <col min="14851" max="14851" width="11.7109375" style="435" customWidth="1"/>
    <col min="14852" max="14852" width="9.140625" style="435"/>
    <col min="14853" max="14853" width="6.140625" style="435" customWidth="1"/>
    <col min="14854" max="14854" width="9.140625" style="435"/>
    <col min="14855" max="14855" width="14.140625" style="435" bestFit="1" customWidth="1"/>
    <col min="14856" max="14856" width="10.28515625" style="435" customWidth="1"/>
    <col min="14857" max="15104" width="9.140625" style="435"/>
    <col min="15105" max="15105" width="3.7109375" style="435" customWidth="1"/>
    <col min="15106" max="15106" width="5.5703125" style="435" customWidth="1"/>
    <col min="15107" max="15107" width="11.7109375" style="435" customWidth="1"/>
    <col min="15108" max="15108" width="9.140625" style="435"/>
    <col min="15109" max="15109" width="6.140625" style="435" customWidth="1"/>
    <col min="15110" max="15110" width="9.140625" style="435"/>
    <col min="15111" max="15111" width="14.140625" style="435" bestFit="1" customWidth="1"/>
    <col min="15112" max="15112" width="10.28515625" style="435" customWidth="1"/>
    <col min="15113" max="15360" width="9.140625" style="435"/>
    <col min="15361" max="15361" width="3.7109375" style="435" customWidth="1"/>
    <col min="15362" max="15362" width="5.5703125" style="435" customWidth="1"/>
    <col min="15363" max="15363" width="11.7109375" style="435" customWidth="1"/>
    <col min="15364" max="15364" width="9.140625" style="435"/>
    <col min="15365" max="15365" width="6.140625" style="435" customWidth="1"/>
    <col min="15366" max="15366" width="9.140625" style="435"/>
    <col min="15367" max="15367" width="14.140625" style="435" bestFit="1" customWidth="1"/>
    <col min="15368" max="15368" width="10.28515625" style="435" customWidth="1"/>
    <col min="15369" max="15616" width="9.140625" style="435"/>
    <col min="15617" max="15617" width="3.7109375" style="435" customWidth="1"/>
    <col min="15618" max="15618" width="5.5703125" style="435" customWidth="1"/>
    <col min="15619" max="15619" width="11.7109375" style="435" customWidth="1"/>
    <col min="15620" max="15620" width="9.140625" style="435"/>
    <col min="15621" max="15621" width="6.140625" style="435" customWidth="1"/>
    <col min="15622" max="15622" width="9.140625" style="435"/>
    <col min="15623" max="15623" width="14.140625" style="435" bestFit="1" customWidth="1"/>
    <col min="15624" max="15624" width="10.28515625" style="435" customWidth="1"/>
    <col min="15625" max="15872" width="9.140625" style="435"/>
    <col min="15873" max="15873" width="3.7109375" style="435" customWidth="1"/>
    <col min="15874" max="15874" width="5.5703125" style="435" customWidth="1"/>
    <col min="15875" max="15875" width="11.7109375" style="435" customWidth="1"/>
    <col min="15876" max="15876" width="9.140625" style="435"/>
    <col min="15877" max="15877" width="6.140625" style="435" customWidth="1"/>
    <col min="15878" max="15878" width="9.140625" style="435"/>
    <col min="15879" max="15879" width="14.140625" style="435" bestFit="1" customWidth="1"/>
    <col min="15880" max="15880" width="10.28515625" style="435" customWidth="1"/>
    <col min="15881" max="16128" width="9.140625" style="435"/>
    <col min="16129" max="16129" width="3.7109375" style="435" customWidth="1"/>
    <col min="16130" max="16130" width="5.5703125" style="435" customWidth="1"/>
    <col min="16131" max="16131" width="11.7109375" style="435" customWidth="1"/>
    <col min="16132" max="16132" width="9.140625" style="435"/>
    <col min="16133" max="16133" width="6.140625" style="435" customWidth="1"/>
    <col min="16134" max="16134" width="9.140625" style="435"/>
    <col min="16135" max="16135" width="14.140625" style="435" bestFit="1" customWidth="1"/>
    <col min="16136" max="16136" width="10.28515625" style="435" customWidth="1"/>
    <col min="16137" max="16384" width="9.140625" style="435"/>
  </cols>
  <sheetData>
    <row r="1" spans="1:8" ht="24" thickBot="1">
      <c r="F1" s="2777" t="s">
        <v>1749</v>
      </c>
      <c r="G1" s="2778"/>
      <c r="H1" s="2779"/>
    </row>
    <row r="2" spans="1:8" ht="13.5" thickBot="1"/>
    <row r="3" spans="1:8">
      <c r="A3" s="557"/>
      <c r="B3" s="507"/>
      <c r="C3" s="507"/>
      <c r="D3" s="507"/>
      <c r="E3" s="507"/>
      <c r="F3" s="507"/>
      <c r="G3" s="507"/>
      <c r="H3" s="509"/>
    </row>
    <row r="4" spans="1:8" ht="15">
      <c r="A4" s="544" t="s">
        <v>772</v>
      </c>
      <c r="B4" s="438"/>
      <c r="C4" s="438"/>
      <c r="D4" s="438"/>
      <c r="E4" s="438"/>
      <c r="F4" s="438"/>
      <c r="G4" s="438"/>
      <c r="H4" s="439"/>
    </row>
    <row r="5" spans="1:8" ht="15">
      <c r="A5" s="544"/>
      <c r="B5" s="438"/>
      <c r="C5" s="438"/>
      <c r="D5" s="438"/>
      <c r="E5" s="438"/>
      <c r="F5" s="438"/>
      <c r="G5" s="438"/>
      <c r="H5" s="439"/>
    </row>
    <row r="6" spans="1:8" ht="15">
      <c r="A6" s="640" t="s">
        <v>773</v>
      </c>
      <c r="B6" s="438"/>
      <c r="C6" s="438"/>
      <c r="D6" s="438"/>
      <c r="E6" s="438"/>
      <c r="F6" s="438"/>
      <c r="G6" s="438"/>
      <c r="H6" s="439"/>
    </row>
    <row r="7" spans="1:8">
      <c r="A7" s="489"/>
      <c r="B7" s="438"/>
      <c r="C7" s="438"/>
      <c r="D7" s="438"/>
      <c r="E7" s="438"/>
      <c r="F7" s="438"/>
      <c r="G7" s="438"/>
      <c r="H7" s="439"/>
    </row>
    <row r="8" spans="1:8" ht="15">
      <c r="A8" s="641" t="s">
        <v>774</v>
      </c>
      <c r="B8" s="546" t="s">
        <v>600</v>
      </c>
      <c r="C8" s="642" t="s">
        <v>775</v>
      </c>
      <c r="D8" s="438"/>
      <c r="E8" s="438"/>
      <c r="F8" s="2601">
        <f>9.79/4.187</f>
        <v>2.3381896345832334</v>
      </c>
      <c r="G8" s="512" t="s">
        <v>776</v>
      </c>
      <c r="H8" s="439"/>
    </row>
    <row r="9" spans="1:8">
      <c r="A9" s="489"/>
      <c r="B9" s="438"/>
      <c r="C9" s="438"/>
      <c r="D9" s="438"/>
      <c r="E9" s="438"/>
      <c r="F9" s="438"/>
      <c r="G9" s="438"/>
      <c r="H9" s="439"/>
    </row>
    <row r="10" spans="1:8">
      <c r="A10" s="489"/>
      <c r="B10" s="438"/>
      <c r="C10" s="438"/>
      <c r="D10" s="438"/>
      <c r="E10" s="438"/>
      <c r="F10" s="438"/>
      <c r="G10" s="438"/>
      <c r="H10" s="439"/>
    </row>
    <row r="11" spans="1:8">
      <c r="A11" s="2902" t="s">
        <v>777</v>
      </c>
      <c r="B11" s="2903"/>
      <c r="C11" s="2903"/>
      <c r="D11" s="858">
        <v>1</v>
      </c>
      <c r="E11" s="643" t="s">
        <v>575</v>
      </c>
      <c r="F11" s="438"/>
      <c r="G11" s="438"/>
      <c r="H11" s="439"/>
    </row>
    <row r="12" spans="1:8">
      <c r="A12" s="2902" t="s">
        <v>778</v>
      </c>
      <c r="B12" s="2903"/>
      <c r="C12" s="2903"/>
      <c r="D12" s="858">
        <v>0</v>
      </c>
      <c r="E12" s="1843" t="s">
        <v>357</v>
      </c>
      <c r="F12" s="438"/>
      <c r="G12" s="438"/>
      <c r="H12" s="439"/>
    </row>
    <row r="13" spans="1:8">
      <c r="A13" s="2902" t="s">
        <v>779</v>
      </c>
      <c r="B13" s="2903"/>
      <c r="C13" s="2903"/>
      <c r="D13" s="858">
        <v>3052</v>
      </c>
      <c r="E13" s="643" t="s">
        <v>357</v>
      </c>
      <c r="F13" s="438"/>
      <c r="G13" s="438"/>
      <c r="H13" s="439"/>
    </row>
    <row r="14" spans="1:8" ht="15">
      <c r="A14" s="2904" t="s">
        <v>780</v>
      </c>
      <c r="B14" s="2903"/>
      <c r="C14" s="2903"/>
      <c r="D14" s="2595">
        <f>D13-D12</f>
        <v>3052</v>
      </c>
      <c r="E14" s="2596" t="s">
        <v>357</v>
      </c>
      <c r="F14" s="438"/>
      <c r="G14" s="438"/>
      <c r="H14" s="439"/>
    </row>
    <row r="15" spans="1:8" ht="13.5" thickBot="1">
      <c r="A15" s="2905" t="s">
        <v>781</v>
      </c>
      <c r="B15" s="2906"/>
      <c r="C15" s="2906"/>
      <c r="D15" s="2597">
        <f>D14/1000*(F8)</f>
        <v>7.1361547647480279</v>
      </c>
      <c r="E15" s="2598" t="s">
        <v>575</v>
      </c>
      <c r="F15" s="438"/>
      <c r="G15" s="438"/>
      <c r="H15" s="439"/>
    </row>
    <row r="16" spans="1:8" ht="16.5" thickBot="1">
      <c r="A16" s="2907" t="s">
        <v>782</v>
      </c>
      <c r="B16" s="2908"/>
      <c r="C16" s="2909"/>
      <c r="D16" s="2599">
        <f>D15+D11</f>
        <v>8.1361547647480279</v>
      </c>
      <c r="E16" s="2600" t="s">
        <v>575</v>
      </c>
      <c r="F16" s="438"/>
      <c r="G16" s="438"/>
      <c r="H16" s="439"/>
    </row>
    <row r="17" spans="1:11" ht="13.5" thickBot="1">
      <c r="A17" s="488"/>
      <c r="B17" s="448"/>
      <c r="C17" s="448"/>
      <c r="D17" s="448"/>
      <c r="E17" s="448"/>
      <c r="F17" s="448"/>
      <c r="G17" s="448"/>
      <c r="H17" s="450"/>
    </row>
    <row r="18" spans="1:11" ht="13.5" thickBot="1"/>
    <row r="19" spans="1:11">
      <c r="A19" s="557"/>
      <c r="B19" s="507"/>
      <c r="C19" s="507"/>
      <c r="D19" s="507"/>
      <c r="E19" s="507"/>
      <c r="F19" s="507"/>
      <c r="G19" s="507"/>
      <c r="H19" s="507"/>
      <c r="I19" s="507"/>
      <c r="J19" s="507"/>
      <c r="K19" s="509"/>
    </row>
    <row r="20" spans="1:11">
      <c r="A20" s="489"/>
      <c r="B20" s="438"/>
      <c r="C20" s="438"/>
      <c r="D20" s="438"/>
      <c r="E20" s="438"/>
      <c r="F20" s="438"/>
      <c r="G20" s="438"/>
      <c r="H20" s="438"/>
      <c r="I20" s="438"/>
      <c r="J20" s="438"/>
      <c r="K20" s="439"/>
    </row>
    <row r="21" spans="1:11" ht="15">
      <c r="A21" s="644" t="s">
        <v>783</v>
      </c>
      <c r="B21" s="438"/>
      <c r="C21" s="438"/>
      <c r="D21" s="438"/>
      <c r="E21" s="438"/>
      <c r="F21" s="438"/>
      <c r="G21" s="438"/>
      <c r="H21" s="438"/>
      <c r="I21" s="438"/>
      <c r="J21" s="438"/>
      <c r="K21" s="439"/>
    </row>
    <row r="22" spans="1:11" ht="14.25">
      <c r="A22" s="489"/>
      <c r="B22" s="438"/>
      <c r="C22" s="645"/>
      <c r="D22" s="438"/>
      <c r="E22" s="438"/>
      <c r="F22" s="438"/>
      <c r="G22" s="438"/>
      <c r="H22" s="438"/>
      <c r="I22" s="438"/>
      <c r="J22" s="438"/>
      <c r="K22" s="439"/>
    </row>
    <row r="23" spans="1:11" ht="14.25">
      <c r="A23" s="489"/>
      <c r="B23" s="438"/>
      <c r="C23" s="645" t="s">
        <v>784</v>
      </c>
      <c r="D23" s="438"/>
      <c r="E23" s="438"/>
      <c r="F23" s="438"/>
      <c r="G23" s="438"/>
      <c r="H23" s="438"/>
      <c r="I23" s="438"/>
      <c r="J23" s="438"/>
      <c r="K23" s="439"/>
    </row>
    <row r="24" spans="1:11">
      <c r="A24" s="489"/>
      <c r="B24" s="438"/>
      <c r="C24" s="438"/>
      <c r="D24" s="438"/>
      <c r="E24" s="438"/>
      <c r="F24" s="438"/>
      <c r="G24" s="438"/>
      <c r="H24" s="438"/>
      <c r="I24" s="438"/>
      <c r="J24" s="438"/>
      <c r="K24" s="439"/>
    </row>
    <row r="25" spans="1:11">
      <c r="A25" s="489"/>
      <c r="B25" s="438"/>
      <c r="C25" s="438"/>
      <c r="D25" s="438"/>
      <c r="E25" s="438"/>
      <c r="F25" s="438"/>
      <c r="G25" s="438"/>
      <c r="H25" s="438"/>
      <c r="I25" s="438"/>
      <c r="J25" s="438"/>
      <c r="K25" s="439"/>
    </row>
    <row r="26" spans="1:11" ht="12.75" customHeight="1">
      <c r="A26" s="489"/>
      <c r="B26" s="2774" t="s">
        <v>785</v>
      </c>
      <c r="C26" s="2774"/>
      <c r="D26" s="2774"/>
      <c r="E26" s="443">
        <v>450</v>
      </c>
      <c r="F26" s="646" t="s">
        <v>357</v>
      </c>
      <c r="G26" s="646" t="s">
        <v>573</v>
      </c>
      <c r="H26" s="438"/>
      <c r="I26" s="438"/>
      <c r="J26" s="438"/>
      <c r="K26" s="439"/>
    </row>
    <row r="27" spans="1:11" ht="12.75" customHeight="1">
      <c r="A27" s="489"/>
      <c r="B27" s="2774" t="s">
        <v>786</v>
      </c>
      <c r="C27" s="2774"/>
      <c r="D27" s="2774"/>
      <c r="E27" s="443">
        <v>60</v>
      </c>
      <c r="F27" s="646" t="s">
        <v>787</v>
      </c>
      <c r="G27" s="646" t="s">
        <v>573</v>
      </c>
      <c r="H27" s="438"/>
      <c r="I27" s="438"/>
      <c r="J27" s="438"/>
      <c r="K27" s="439"/>
    </row>
    <row r="28" spans="1:11" ht="12.75" customHeight="1">
      <c r="A28" s="489"/>
      <c r="B28" s="2774" t="s">
        <v>788</v>
      </c>
      <c r="C28" s="2774"/>
      <c r="D28" s="2774"/>
      <c r="E28" s="2570">
        <v>1</v>
      </c>
      <c r="F28" s="646" t="s">
        <v>789</v>
      </c>
      <c r="G28" s="438"/>
      <c r="H28" s="438"/>
      <c r="I28" s="438"/>
      <c r="J28" s="438"/>
      <c r="K28" s="439"/>
    </row>
    <row r="29" spans="1:11" ht="12.75" customHeight="1">
      <c r="A29" s="489"/>
      <c r="B29" s="2774" t="s">
        <v>790</v>
      </c>
      <c r="C29" s="2774"/>
      <c r="D29" s="2774"/>
      <c r="E29" s="2602">
        <v>9.7899999999999991</v>
      </c>
      <c r="F29" s="646" t="s">
        <v>791</v>
      </c>
      <c r="G29" s="438"/>
      <c r="H29" s="438"/>
      <c r="I29" s="438"/>
      <c r="J29" s="438"/>
      <c r="K29" s="439"/>
    </row>
    <row r="30" spans="1:11" ht="27.75" customHeight="1" thickBot="1">
      <c r="A30" s="489"/>
      <c r="B30" s="2774" t="s">
        <v>792</v>
      </c>
      <c r="C30" s="2910"/>
      <c r="D30" s="2910"/>
      <c r="E30" s="2900">
        <v>800</v>
      </c>
      <c r="F30" s="2901"/>
      <c r="G30" s="648" t="s">
        <v>793</v>
      </c>
      <c r="H30" s="438"/>
      <c r="I30" s="438"/>
      <c r="J30" s="438"/>
      <c r="K30" s="439"/>
    </row>
    <row r="31" spans="1:11" ht="16.5" thickBot="1">
      <c r="A31" s="489"/>
      <c r="B31" s="438"/>
      <c r="C31" s="2912" t="s">
        <v>447</v>
      </c>
      <c r="D31" s="2913"/>
      <c r="E31" s="2914">
        <f>(E27*E26*E29*E28)/E30</f>
        <v>330.41250000000002</v>
      </c>
      <c r="F31" s="2915"/>
      <c r="G31" s="2603" t="s">
        <v>218</v>
      </c>
      <c r="H31" s="438"/>
      <c r="I31" s="438"/>
      <c r="J31" s="438"/>
      <c r="K31" s="439"/>
    </row>
    <row r="32" spans="1:11" ht="13.5" thickBot="1">
      <c r="A32" s="488"/>
      <c r="B32" s="448"/>
      <c r="C32" s="448"/>
      <c r="D32" s="448"/>
      <c r="E32" s="448"/>
      <c r="F32" s="448"/>
      <c r="G32" s="448"/>
      <c r="H32" s="448"/>
      <c r="I32" s="448"/>
      <c r="J32" s="448"/>
      <c r="K32" s="450"/>
    </row>
    <row r="33" spans="1:10" ht="13.5" thickBot="1"/>
    <row r="34" spans="1:10">
      <c r="A34" s="557"/>
      <c r="B34" s="507"/>
      <c r="C34" s="507"/>
      <c r="D34" s="507"/>
      <c r="E34" s="507"/>
      <c r="F34" s="507"/>
      <c r="G34" s="507"/>
      <c r="H34" s="507"/>
      <c r="I34" s="507"/>
      <c r="J34" s="509"/>
    </row>
    <row r="35" spans="1:10" ht="15">
      <c r="A35" s="650" t="s">
        <v>794</v>
      </c>
      <c r="B35" s="438"/>
      <c r="C35" s="438"/>
      <c r="D35" s="438"/>
      <c r="E35" s="438"/>
      <c r="F35" s="438"/>
      <c r="G35" s="438"/>
      <c r="H35" s="438"/>
      <c r="I35" s="438"/>
      <c r="J35" s="439"/>
    </row>
    <row r="36" spans="1:10">
      <c r="A36" s="489"/>
      <c r="B36" s="438"/>
      <c r="C36" s="438"/>
      <c r="D36" s="438"/>
      <c r="E36" s="438"/>
      <c r="F36" s="438"/>
      <c r="G36" s="438"/>
      <c r="H36" s="438"/>
      <c r="I36" s="438"/>
      <c r="J36" s="439"/>
    </row>
    <row r="37" spans="1:10">
      <c r="A37" s="489"/>
      <c r="B37" s="438"/>
      <c r="C37" s="438"/>
      <c r="D37" s="438"/>
      <c r="E37" s="438"/>
      <c r="F37" s="438"/>
      <c r="G37" s="438"/>
      <c r="H37" s="438"/>
      <c r="I37" s="438"/>
      <c r="J37" s="439"/>
    </row>
    <row r="38" spans="1:10" ht="14.25">
      <c r="A38" s="489"/>
      <c r="B38" s="438"/>
      <c r="C38" s="513" t="s">
        <v>795</v>
      </c>
      <c r="D38" s="479" t="s">
        <v>600</v>
      </c>
      <c r="E38" s="438"/>
      <c r="F38" s="438"/>
      <c r="G38" s="438"/>
      <c r="H38" s="438"/>
      <c r="I38" s="438"/>
      <c r="J38" s="439"/>
    </row>
    <row r="39" spans="1:10">
      <c r="A39" s="489"/>
      <c r="B39" s="438"/>
      <c r="C39" s="438"/>
      <c r="D39" s="438"/>
      <c r="E39" s="438"/>
      <c r="F39" s="438"/>
      <c r="G39" s="438"/>
      <c r="H39" s="438"/>
      <c r="I39" s="438"/>
      <c r="J39" s="439"/>
    </row>
    <row r="40" spans="1:10">
      <c r="A40" s="489"/>
      <c r="B40" s="438"/>
      <c r="C40" s="438"/>
      <c r="D40" s="438"/>
      <c r="E40" s="438"/>
      <c r="F40" s="438"/>
      <c r="G40" s="438"/>
      <c r="H40" s="438"/>
      <c r="I40" s="438"/>
      <c r="J40" s="439"/>
    </row>
    <row r="41" spans="1:10">
      <c r="A41" s="489"/>
      <c r="B41" s="438"/>
      <c r="C41" s="438"/>
      <c r="D41" s="438"/>
      <c r="E41" s="438"/>
      <c r="F41" s="438"/>
      <c r="G41" s="438"/>
      <c r="H41" s="438"/>
      <c r="I41" s="438"/>
      <c r="J41" s="439"/>
    </row>
    <row r="42" spans="1:10" ht="14.25">
      <c r="A42" s="489"/>
      <c r="B42" s="531" t="s">
        <v>796</v>
      </c>
      <c r="C42" s="438"/>
      <c r="D42" s="438"/>
      <c r="E42" s="438"/>
      <c r="F42" s="438"/>
      <c r="G42" s="438"/>
      <c r="H42" s="438"/>
      <c r="I42" s="438"/>
      <c r="J42" s="439"/>
    </row>
    <row r="43" spans="1:10">
      <c r="A43" s="489"/>
      <c r="B43" s="438"/>
      <c r="C43" s="438"/>
      <c r="D43" s="438"/>
      <c r="E43" s="438"/>
      <c r="F43" s="438"/>
      <c r="G43" s="438"/>
      <c r="H43" s="438"/>
      <c r="I43" s="438"/>
      <c r="J43" s="439"/>
    </row>
    <row r="44" spans="1:10">
      <c r="A44" s="489"/>
      <c r="B44" s="2774" t="s">
        <v>786</v>
      </c>
      <c r="C44" s="2774"/>
      <c r="D44" s="2774"/>
      <c r="E44" s="443">
        <v>60</v>
      </c>
      <c r="F44" s="646" t="s">
        <v>787</v>
      </c>
      <c r="G44" s="646" t="s">
        <v>573</v>
      </c>
      <c r="H44" s="438"/>
      <c r="I44" s="438"/>
      <c r="J44" s="439"/>
    </row>
    <row r="45" spans="1:10" ht="13.5">
      <c r="A45" s="489"/>
      <c r="B45" s="2774" t="s">
        <v>797</v>
      </c>
      <c r="C45" s="2774"/>
      <c r="D45" s="2774"/>
      <c r="E45" s="443">
        <v>450</v>
      </c>
      <c r="F45" s="646" t="s">
        <v>357</v>
      </c>
      <c r="G45" s="646" t="s">
        <v>573</v>
      </c>
      <c r="H45" s="438"/>
      <c r="I45" s="438"/>
      <c r="J45" s="439"/>
    </row>
    <row r="46" spans="1:10">
      <c r="A46" s="489"/>
      <c r="B46" s="2774" t="s">
        <v>790</v>
      </c>
      <c r="C46" s="2774"/>
      <c r="D46" s="2774"/>
      <c r="E46" s="2602">
        <v>9.7899999999999991</v>
      </c>
      <c r="F46" s="646" t="s">
        <v>791</v>
      </c>
      <c r="G46" s="438"/>
      <c r="H46" s="438"/>
      <c r="I46" s="438"/>
      <c r="J46" s="439"/>
    </row>
    <row r="47" spans="1:10" ht="13.5" thickBot="1">
      <c r="A47" s="489"/>
      <c r="B47" s="2774" t="s">
        <v>788</v>
      </c>
      <c r="C47" s="2774"/>
      <c r="D47" s="2774"/>
      <c r="E47" s="2570">
        <v>1</v>
      </c>
      <c r="F47" s="646" t="s">
        <v>789</v>
      </c>
      <c r="G47" s="438"/>
      <c r="H47" s="438"/>
      <c r="I47" s="438"/>
      <c r="J47" s="439"/>
    </row>
    <row r="48" spans="1:10" ht="16.5" thickBot="1">
      <c r="A48" s="489"/>
      <c r="B48" s="438"/>
      <c r="C48" s="2912" t="s">
        <v>798</v>
      </c>
      <c r="D48" s="2913"/>
      <c r="E48" s="2916">
        <f>(E45*E44*E46*E47)/1000</f>
        <v>264.33</v>
      </c>
      <c r="F48" s="2917"/>
      <c r="G48" s="2603" t="s">
        <v>218</v>
      </c>
      <c r="H48" s="438"/>
      <c r="I48" s="438"/>
      <c r="J48" s="439"/>
    </row>
    <row r="49" spans="1:10">
      <c r="A49" s="489"/>
      <c r="B49" s="438"/>
      <c r="C49" s="438"/>
      <c r="D49" s="438"/>
      <c r="E49" s="438"/>
      <c r="F49" s="438"/>
      <c r="G49" s="438"/>
      <c r="H49" s="438"/>
      <c r="I49" s="438"/>
      <c r="J49" s="439"/>
    </row>
    <row r="50" spans="1:10">
      <c r="A50" s="489"/>
      <c r="B50" s="438"/>
      <c r="C50" s="438"/>
      <c r="D50" s="438"/>
      <c r="E50" s="438"/>
      <c r="F50" s="438"/>
      <c r="G50" s="438"/>
      <c r="H50" s="438"/>
      <c r="I50" s="438"/>
      <c r="J50" s="439"/>
    </row>
    <row r="51" spans="1:10" ht="14.25">
      <c r="A51" s="489"/>
      <c r="B51" s="438" t="s">
        <v>799</v>
      </c>
      <c r="C51" s="513" t="s">
        <v>795</v>
      </c>
      <c r="D51" s="479" t="s">
        <v>600</v>
      </c>
      <c r="E51" s="2903" t="s">
        <v>800</v>
      </c>
      <c r="F51" s="2903"/>
      <c r="G51" s="763">
        <v>300</v>
      </c>
      <c r="H51" s="646" t="s">
        <v>218</v>
      </c>
      <c r="I51" s="438"/>
      <c r="J51" s="439"/>
    </row>
    <row r="52" spans="1:10" ht="13.5" thickBot="1">
      <c r="A52" s="489"/>
      <c r="B52" s="438"/>
      <c r="C52" s="438"/>
      <c r="D52" s="438"/>
      <c r="E52" s="2918" t="s">
        <v>801</v>
      </c>
      <c r="F52" s="2918"/>
      <c r="G52" s="2606">
        <f>E48</f>
        <v>264.33</v>
      </c>
      <c r="H52" s="652" t="s">
        <v>218</v>
      </c>
      <c r="I52" s="438"/>
      <c r="J52" s="439"/>
    </row>
    <row r="53" spans="1:10" ht="16.5" thickBot="1">
      <c r="A53" s="489"/>
      <c r="B53" s="438"/>
      <c r="C53" s="438"/>
      <c r="D53" s="2919" t="s">
        <v>794</v>
      </c>
      <c r="E53" s="2920"/>
      <c r="F53" s="2920"/>
      <c r="G53" s="2604">
        <f>G52/G51*100</f>
        <v>88.11</v>
      </c>
      <c r="H53" s="2605" t="s">
        <v>211</v>
      </c>
      <c r="I53" s="438"/>
      <c r="J53" s="439"/>
    </row>
    <row r="54" spans="1:10" ht="13.5" thickBot="1">
      <c r="A54" s="488"/>
      <c r="B54" s="448"/>
      <c r="C54" s="448"/>
      <c r="D54" s="448"/>
      <c r="E54" s="448"/>
      <c r="F54" s="448"/>
      <c r="G54" s="448"/>
      <c r="H54" s="448"/>
      <c r="I54" s="448"/>
      <c r="J54" s="450"/>
    </row>
    <row r="55" spans="1:10">
      <c r="A55" s="489"/>
      <c r="B55" s="438"/>
      <c r="C55" s="438"/>
      <c r="D55" s="438"/>
      <c r="E55" s="438"/>
      <c r="F55" s="438"/>
      <c r="G55" s="438"/>
      <c r="H55" s="439"/>
    </row>
    <row r="56" spans="1:10" ht="20.25">
      <c r="A56" s="653"/>
      <c r="B56" s="2911" t="s">
        <v>802</v>
      </c>
      <c r="C56" s="2911"/>
      <c r="D56" s="2911"/>
      <c r="E56" s="2911"/>
      <c r="F56" s="2911"/>
      <c r="G56" s="2911"/>
      <c r="H56" s="439"/>
    </row>
    <row r="57" spans="1:10">
      <c r="A57" s="653"/>
      <c r="B57" s="648"/>
      <c r="C57" s="648"/>
      <c r="D57" s="648"/>
      <c r="E57" s="648"/>
      <c r="F57" s="648"/>
      <c r="H57" s="439"/>
    </row>
    <row r="58" spans="1:10">
      <c r="A58" s="653"/>
      <c r="B58" s="648"/>
      <c r="C58" s="2925" t="s">
        <v>803</v>
      </c>
      <c r="D58" s="2925"/>
      <c r="E58" s="1842">
        <v>0.4</v>
      </c>
      <c r="F58" s="654" t="s">
        <v>804</v>
      </c>
      <c r="H58" s="439"/>
    </row>
    <row r="59" spans="1:10">
      <c r="A59" s="653"/>
      <c r="B59" s="648"/>
      <c r="C59" s="2925" t="s">
        <v>805</v>
      </c>
      <c r="D59" s="2925"/>
      <c r="E59" s="1842">
        <v>150</v>
      </c>
      <c r="F59" s="654" t="s">
        <v>806</v>
      </c>
      <c r="H59" s="439"/>
    </row>
    <row r="60" spans="1:10">
      <c r="A60" s="653"/>
      <c r="B60" s="648"/>
      <c r="C60" s="648"/>
      <c r="D60" s="655"/>
      <c r="E60" s="438"/>
      <c r="F60" s="438"/>
      <c r="H60" s="439"/>
    </row>
    <row r="61" spans="1:10">
      <c r="A61" s="653"/>
      <c r="B61" s="2921" t="s">
        <v>807</v>
      </c>
      <c r="C61" s="2921"/>
      <c r="D61" s="2921"/>
      <c r="E61" s="2566">
        <f>E59*1000</f>
        <v>150000</v>
      </c>
      <c r="F61" s="646" t="s">
        <v>808</v>
      </c>
      <c r="H61" s="439"/>
    </row>
    <row r="62" spans="1:10">
      <c r="A62" s="653"/>
      <c r="B62" s="2921" t="s">
        <v>809</v>
      </c>
      <c r="C62" s="2921"/>
      <c r="D62" s="2921"/>
      <c r="E62" s="2566">
        <f>E61*E58</f>
        <v>60000</v>
      </c>
      <c r="F62" s="646" t="s">
        <v>808</v>
      </c>
      <c r="H62" s="439"/>
    </row>
    <row r="63" spans="1:10">
      <c r="A63" s="653"/>
      <c r="B63" s="2921" t="s">
        <v>810</v>
      </c>
      <c r="C63" s="2921"/>
      <c r="D63" s="2921"/>
      <c r="E63" s="2566">
        <f>E62/26</f>
        <v>2307.6923076923076</v>
      </c>
      <c r="F63" s="646" t="s">
        <v>811</v>
      </c>
      <c r="H63" s="439"/>
    </row>
    <row r="64" spans="1:10">
      <c r="A64" s="653"/>
      <c r="B64" s="2921" t="s">
        <v>812</v>
      </c>
      <c r="C64" s="2921"/>
      <c r="D64" s="2921"/>
      <c r="E64" s="2566">
        <f>E63/24</f>
        <v>96.153846153846146</v>
      </c>
      <c r="F64" s="646" t="s">
        <v>813</v>
      </c>
      <c r="H64" s="439"/>
    </row>
    <row r="65" spans="1:8">
      <c r="A65" s="653"/>
      <c r="B65" s="2921" t="s">
        <v>814</v>
      </c>
      <c r="C65" s="2921"/>
      <c r="D65" s="2921"/>
      <c r="E65" s="2566">
        <f>E64/60</f>
        <v>1.6025641025641024</v>
      </c>
      <c r="F65" s="646" t="s">
        <v>815</v>
      </c>
      <c r="H65" s="439"/>
    </row>
    <row r="66" spans="1:8">
      <c r="A66" s="653"/>
      <c r="B66" s="2921" t="s">
        <v>816</v>
      </c>
      <c r="C66" s="2921"/>
      <c r="D66" s="2921"/>
      <c r="E66" s="2566">
        <f>E65/60</f>
        <v>2.6709401709401708E-2</v>
      </c>
      <c r="F66" s="646" t="s">
        <v>817</v>
      </c>
      <c r="H66" s="439"/>
    </row>
    <row r="67" spans="1:8" ht="13.5" thickBot="1">
      <c r="A67" s="653"/>
      <c r="B67" s="2922" t="s">
        <v>818</v>
      </c>
      <c r="C67" s="2922"/>
      <c r="D67" s="2922"/>
      <c r="E67" s="438"/>
      <c r="F67" s="438"/>
      <c r="H67" s="439"/>
    </row>
    <row r="68" spans="1:8" ht="16.5" thickBot="1">
      <c r="A68" s="653"/>
      <c r="B68" s="2923" t="s">
        <v>819</v>
      </c>
      <c r="C68" s="2924"/>
      <c r="D68" s="2924"/>
      <c r="E68" s="2607">
        <f>E66*1000</f>
        <v>26.709401709401707</v>
      </c>
      <c r="F68" s="2608" t="s">
        <v>753</v>
      </c>
      <c r="G68" s="648"/>
      <c r="H68" s="439"/>
    </row>
    <row r="69" spans="1:8">
      <c r="A69" s="653"/>
      <c r="B69" s="648"/>
      <c r="C69" s="648"/>
      <c r="D69" s="648"/>
      <c r="E69" s="648"/>
      <c r="F69" s="648"/>
      <c r="G69" s="648"/>
      <c r="H69" s="439"/>
    </row>
    <row r="70" spans="1:8">
      <c r="A70" s="489"/>
      <c r="B70" s="438"/>
      <c r="C70" s="438"/>
      <c r="D70" s="438"/>
      <c r="E70" s="438"/>
      <c r="F70" s="438"/>
      <c r="G70" s="438"/>
      <c r="H70" s="439"/>
    </row>
    <row r="71" spans="1:8">
      <c r="A71" s="489"/>
      <c r="B71" s="438"/>
      <c r="C71" s="438"/>
      <c r="D71" s="438"/>
      <c r="E71" s="438"/>
      <c r="F71" s="438"/>
      <c r="G71" s="438"/>
      <c r="H71" s="439"/>
    </row>
    <row r="72" spans="1:8" ht="13.5" thickBot="1">
      <c r="A72" s="488"/>
      <c r="B72" s="448"/>
      <c r="C72" s="448"/>
      <c r="D72" s="448"/>
      <c r="E72" s="448"/>
      <c r="F72" s="448"/>
      <c r="G72" s="448"/>
      <c r="H72" s="450"/>
    </row>
  </sheetData>
  <sheetProtection formatCells="0" formatColumns="0" formatRows="0" insertColumns="0" insertRows="0" insertHyperlinks="0"/>
  <mergeCells count="35">
    <mergeCell ref="B65:D65"/>
    <mergeCell ref="B66:D66"/>
    <mergeCell ref="B67:D67"/>
    <mergeCell ref="B68:D68"/>
    <mergeCell ref="C58:D58"/>
    <mergeCell ref="C59:D59"/>
    <mergeCell ref="B61:D61"/>
    <mergeCell ref="B62:D62"/>
    <mergeCell ref="B63:D63"/>
    <mergeCell ref="B64:D64"/>
    <mergeCell ref="B56:G56"/>
    <mergeCell ref="C31:D31"/>
    <mergeCell ref="E31:F31"/>
    <mergeCell ref="B44:D44"/>
    <mergeCell ref="B45:D45"/>
    <mergeCell ref="B46:D46"/>
    <mergeCell ref="B47:D47"/>
    <mergeCell ref="C48:D48"/>
    <mergeCell ref="E48:F48"/>
    <mergeCell ref="E51:F51"/>
    <mergeCell ref="E52:F52"/>
    <mergeCell ref="D53:F53"/>
    <mergeCell ref="F1:H1"/>
    <mergeCell ref="E30:F30"/>
    <mergeCell ref="A11:C11"/>
    <mergeCell ref="A12:C12"/>
    <mergeCell ref="A13:C13"/>
    <mergeCell ref="A14:C14"/>
    <mergeCell ref="A15:C15"/>
    <mergeCell ref="A16:C16"/>
    <mergeCell ref="B26:D26"/>
    <mergeCell ref="B27:D27"/>
    <mergeCell ref="B28:D28"/>
    <mergeCell ref="B29:D29"/>
    <mergeCell ref="B30:D30"/>
  </mergeCells>
  <hyperlinks>
    <hyperlink ref="F1" location="INDEX!A1" display="INDEX!A1"/>
  </hyperlinks>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Equation.3" shapeId="9217" r:id="rId4">
          <objectPr defaultSize="0" autoPict="0" r:id="rId5">
            <anchor moveWithCells="1" sizeWithCells="1">
              <from>
                <xdr:col>2</xdr:col>
                <xdr:colOff>0</xdr:colOff>
                <xdr:row>6</xdr:row>
                <xdr:rowOff>0</xdr:rowOff>
              </from>
              <to>
                <xdr:col>2</xdr:col>
                <xdr:colOff>495300</xdr:colOff>
                <xdr:row>8</xdr:row>
                <xdr:rowOff>57150</xdr:rowOff>
              </to>
            </anchor>
          </objectPr>
        </oleObject>
      </mc:Choice>
      <mc:Fallback>
        <oleObject progId="Equation.3" shapeId="9217" r:id="rId4"/>
      </mc:Fallback>
    </mc:AlternateContent>
    <mc:AlternateContent xmlns:mc="http://schemas.openxmlformats.org/markup-compatibility/2006">
      <mc:Choice Requires="x14">
        <oleObject progId="Equation.3" shapeId="9218" r:id="rId6">
          <objectPr defaultSize="0" autoPict="0" r:id="rId7">
            <anchor moveWithCells="1" sizeWithCells="1">
              <from>
                <xdr:col>3</xdr:col>
                <xdr:colOff>152400</xdr:colOff>
                <xdr:row>21</xdr:row>
                <xdr:rowOff>104775</xdr:rowOff>
              </from>
              <to>
                <xdr:col>6</xdr:col>
                <xdr:colOff>200025</xdr:colOff>
                <xdr:row>24</xdr:row>
                <xdr:rowOff>9525</xdr:rowOff>
              </to>
            </anchor>
          </objectPr>
        </oleObject>
      </mc:Choice>
      <mc:Fallback>
        <oleObject progId="Equation.3" shapeId="9218" r:id="rId6"/>
      </mc:Fallback>
    </mc:AlternateContent>
    <mc:AlternateContent xmlns:mc="http://schemas.openxmlformats.org/markup-compatibility/2006">
      <mc:Choice Requires="x14">
        <oleObject progId="Equation.3" shapeId="9219" r:id="rId8">
          <objectPr defaultSize="0" autoPict="0" r:id="rId9">
            <anchor moveWithCells="1" sizeWithCells="1">
              <from>
                <xdr:col>4</xdr:col>
                <xdr:colOff>0</xdr:colOff>
                <xdr:row>37</xdr:row>
                <xdr:rowOff>0</xdr:rowOff>
              </from>
              <to>
                <xdr:col>6</xdr:col>
                <xdr:colOff>276225</xdr:colOff>
                <xdr:row>39</xdr:row>
                <xdr:rowOff>66675</xdr:rowOff>
              </to>
            </anchor>
          </objectPr>
        </oleObject>
      </mc:Choice>
      <mc:Fallback>
        <oleObject progId="Equation.3" shapeId="9219" r:id="rId8"/>
      </mc:Fallback>
    </mc:AlternateContent>
    <mc:AlternateContent xmlns:mc="http://schemas.openxmlformats.org/markup-compatibility/2006">
      <mc:Choice Requires="x14">
        <oleObject progId="Equation.3" shapeId="9220" r:id="rId10">
          <objectPr defaultSize="0" autoPict="0" r:id="rId11">
            <anchor moveWithCells="1" sizeWithCells="1">
              <from>
                <xdr:col>7</xdr:col>
                <xdr:colOff>0</xdr:colOff>
                <xdr:row>41</xdr:row>
                <xdr:rowOff>0</xdr:rowOff>
              </from>
              <to>
                <xdr:col>9</xdr:col>
                <xdr:colOff>47625</xdr:colOff>
                <xdr:row>43</xdr:row>
                <xdr:rowOff>0</xdr:rowOff>
              </to>
            </anchor>
          </objectPr>
        </oleObject>
      </mc:Choice>
      <mc:Fallback>
        <oleObject progId="Equation.3" shapeId="9220" r:id="rId10"/>
      </mc:Fallback>
    </mc:AlternateContent>
  </oleObjec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808000"/>
  </sheetPr>
  <dimension ref="A1:Y334"/>
  <sheetViews>
    <sheetView topLeftCell="A301" zoomScale="71" zoomScaleNormal="71" workbookViewId="0">
      <selection activeCell="G1" sqref="G1:I1"/>
    </sheetView>
  </sheetViews>
  <sheetFormatPr defaultRowHeight="12.75"/>
  <cols>
    <col min="1" max="1" width="11" style="435" customWidth="1"/>
    <col min="2" max="2" width="9.7109375" style="435" customWidth="1"/>
    <col min="3" max="13" width="10.42578125" style="435" customWidth="1"/>
    <col min="14" max="16" width="9.140625" style="435"/>
    <col min="17" max="17" width="13.5703125" style="435" customWidth="1"/>
    <col min="18" max="19" width="9.140625" style="435"/>
    <col min="20" max="20" width="13.7109375" style="435" bestFit="1" customWidth="1"/>
    <col min="21" max="21" width="14.85546875" style="435" bestFit="1" customWidth="1"/>
    <col min="22" max="24" width="9.140625" style="435"/>
    <col min="25" max="25" width="13.140625" style="435" bestFit="1" customWidth="1"/>
    <col min="26" max="256" width="9.140625" style="435"/>
    <col min="257" max="257" width="11" style="435" customWidth="1"/>
    <col min="258" max="258" width="9.7109375" style="435" customWidth="1"/>
    <col min="259" max="264" width="12.42578125" style="435" customWidth="1"/>
    <col min="265" max="265" width="13.7109375" style="435" bestFit="1" customWidth="1"/>
    <col min="266" max="266" width="13.140625" style="435" customWidth="1"/>
    <col min="267" max="267" width="11.42578125" style="435" bestFit="1" customWidth="1"/>
    <col min="268" max="268" width="12.85546875" style="435" bestFit="1" customWidth="1"/>
    <col min="269" max="272" width="9.140625" style="435"/>
    <col min="273" max="273" width="13.5703125" style="435" customWidth="1"/>
    <col min="274" max="512" width="9.140625" style="435"/>
    <col min="513" max="513" width="11" style="435" customWidth="1"/>
    <col min="514" max="514" width="9.7109375" style="435" customWidth="1"/>
    <col min="515" max="520" width="12.42578125" style="435" customWidth="1"/>
    <col min="521" max="521" width="13.7109375" style="435" bestFit="1" customWidth="1"/>
    <col min="522" max="522" width="13.140625" style="435" customWidth="1"/>
    <col min="523" max="523" width="11.42578125" style="435" bestFit="1" customWidth="1"/>
    <col min="524" max="524" width="12.85546875" style="435" bestFit="1" customWidth="1"/>
    <col min="525" max="528" width="9.140625" style="435"/>
    <col min="529" max="529" width="13.5703125" style="435" customWidth="1"/>
    <col min="530" max="768" width="9.140625" style="435"/>
    <col min="769" max="769" width="11" style="435" customWidth="1"/>
    <col min="770" max="770" width="9.7109375" style="435" customWidth="1"/>
    <col min="771" max="776" width="12.42578125" style="435" customWidth="1"/>
    <col min="777" max="777" width="13.7109375" style="435" bestFit="1" customWidth="1"/>
    <col min="778" max="778" width="13.140625" style="435" customWidth="1"/>
    <col min="779" max="779" width="11.42578125" style="435" bestFit="1" customWidth="1"/>
    <col min="780" max="780" width="12.85546875" style="435" bestFit="1" customWidth="1"/>
    <col min="781" max="784" width="9.140625" style="435"/>
    <col min="785" max="785" width="13.5703125" style="435" customWidth="1"/>
    <col min="786" max="1024" width="9.140625" style="435"/>
    <col min="1025" max="1025" width="11" style="435" customWidth="1"/>
    <col min="1026" max="1026" width="9.7109375" style="435" customWidth="1"/>
    <col min="1027" max="1032" width="12.42578125" style="435" customWidth="1"/>
    <col min="1033" max="1033" width="13.7109375" style="435" bestFit="1" customWidth="1"/>
    <col min="1034" max="1034" width="13.140625" style="435" customWidth="1"/>
    <col min="1035" max="1035" width="11.42578125" style="435" bestFit="1" customWidth="1"/>
    <col min="1036" max="1036" width="12.85546875" style="435" bestFit="1" customWidth="1"/>
    <col min="1037" max="1040" width="9.140625" style="435"/>
    <col min="1041" max="1041" width="13.5703125" style="435" customWidth="1"/>
    <col min="1042" max="1280" width="9.140625" style="435"/>
    <col min="1281" max="1281" width="11" style="435" customWidth="1"/>
    <col min="1282" max="1282" width="9.7109375" style="435" customWidth="1"/>
    <col min="1283" max="1288" width="12.42578125" style="435" customWidth="1"/>
    <col min="1289" max="1289" width="13.7109375" style="435" bestFit="1" customWidth="1"/>
    <col min="1290" max="1290" width="13.140625" style="435" customWidth="1"/>
    <col min="1291" max="1291" width="11.42578125" style="435" bestFit="1" customWidth="1"/>
    <col min="1292" max="1292" width="12.85546875" style="435" bestFit="1" customWidth="1"/>
    <col min="1293" max="1296" width="9.140625" style="435"/>
    <col min="1297" max="1297" width="13.5703125" style="435" customWidth="1"/>
    <col min="1298" max="1536" width="9.140625" style="435"/>
    <col min="1537" max="1537" width="11" style="435" customWidth="1"/>
    <col min="1538" max="1538" width="9.7109375" style="435" customWidth="1"/>
    <col min="1539" max="1544" width="12.42578125" style="435" customWidth="1"/>
    <col min="1545" max="1545" width="13.7109375" style="435" bestFit="1" customWidth="1"/>
    <col min="1546" max="1546" width="13.140625" style="435" customWidth="1"/>
    <col min="1547" max="1547" width="11.42578125" style="435" bestFit="1" customWidth="1"/>
    <col min="1548" max="1548" width="12.85546875" style="435" bestFit="1" customWidth="1"/>
    <col min="1549" max="1552" width="9.140625" style="435"/>
    <col min="1553" max="1553" width="13.5703125" style="435" customWidth="1"/>
    <col min="1554" max="1792" width="9.140625" style="435"/>
    <col min="1793" max="1793" width="11" style="435" customWidth="1"/>
    <col min="1794" max="1794" width="9.7109375" style="435" customWidth="1"/>
    <col min="1795" max="1800" width="12.42578125" style="435" customWidth="1"/>
    <col min="1801" max="1801" width="13.7109375" style="435" bestFit="1" customWidth="1"/>
    <col min="1802" max="1802" width="13.140625" style="435" customWidth="1"/>
    <col min="1803" max="1803" width="11.42578125" style="435" bestFit="1" customWidth="1"/>
    <col min="1804" max="1804" width="12.85546875" style="435" bestFit="1" customWidth="1"/>
    <col min="1805" max="1808" width="9.140625" style="435"/>
    <col min="1809" max="1809" width="13.5703125" style="435" customWidth="1"/>
    <col min="1810" max="2048" width="9.140625" style="435"/>
    <col min="2049" max="2049" width="11" style="435" customWidth="1"/>
    <col min="2050" max="2050" width="9.7109375" style="435" customWidth="1"/>
    <col min="2051" max="2056" width="12.42578125" style="435" customWidth="1"/>
    <col min="2057" max="2057" width="13.7109375" style="435" bestFit="1" customWidth="1"/>
    <col min="2058" max="2058" width="13.140625" style="435" customWidth="1"/>
    <col min="2059" max="2059" width="11.42578125" style="435" bestFit="1" customWidth="1"/>
    <col min="2060" max="2060" width="12.85546875" style="435" bestFit="1" customWidth="1"/>
    <col min="2061" max="2064" width="9.140625" style="435"/>
    <col min="2065" max="2065" width="13.5703125" style="435" customWidth="1"/>
    <col min="2066" max="2304" width="9.140625" style="435"/>
    <col min="2305" max="2305" width="11" style="435" customWidth="1"/>
    <col min="2306" max="2306" width="9.7109375" style="435" customWidth="1"/>
    <col min="2307" max="2312" width="12.42578125" style="435" customWidth="1"/>
    <col min="2313" max="2313" width="13.7109375" style="435" bestFit="1" customWidth="1"/>
    <col min="2314" max="2314" width="13.140625" style="435" customWidth="1"/>
    <col min="2315" max="2315" width="11.42578125" style="435" bestFit="1" customWidth="1"/>
    <col min="2316" max="2316" width="12.85546875" style="435" bestFit="1" customWidth="1"/>
    <col min="2317" max="2320" width="9.140625" style="435"/>
    <col min="2321" max="2321" width="13.5703125" style="435" customWidth="1"/>
    <col min="2322" max="2560" width="9.140625" style="435"/>
    <col min="2561" max="2561" width="11" style="435" customWidth="1"/>
    <col min="2562" max="2562" width="9.7109375" style="435" customWidth="1"/>
    <col min="2563" max="2568" width="12.42578125" style="435" customWidth="1"/>
    <col min="2569" max="2569" width="13.7109375" style="435" bestFit="1" customWidth="1"/>
    <col min="2570" max="2570" width="13.140625" style="435" customWidth="1"/>
    <col min="2571" max="2571" width="11.42578125" style="435" bestFit="1" customWidth="1"/>
    <col min="2572" max="2572" width="12.85546875" style="435" bestFit="1" customWidth="1"/>
    <col min="2573" max="2576" width="9.140625" style="435"/>
    <col min="2577" max="2577" width="13.5703125" style="435" customWidth="1"/>
    <col min="2578" max="2816" width="9.140625" style="435"/>
    <col min="2817" max="2817" width="11" style="435" customWidth="1"/>
    <col min="2818" max="2818" width="9.7109375" style="435" customWidth="1"/>
    <col min="2819" max="2824" width="12.42578125" style="435" customWidth="1"/>
    <col min="2825" max="2825" width="13.7109375" style="435" bestFit="1" customWidth="1"/>
    <col min="2826" max="2826" width="13.140625" style="435" customWidth="1"/>
    <col min="2827" max="2827" width="11.42578125" style="435" bestFit="1" customWidth="1"/>
    <col min="2828" max="2828" width="12.85546875" style="435" bestFit="1" customWidth="1"/>
    <col min="2829" max="2832" width="9.140625" style="435"/>
    <col min="2833" max="2833" width="13.5703125" style="435" customWidth="1"/>
    <col min="2834" max="3072" width="9.140625" style="435"/>
    <col min="3073" max="3073" width="11" style="435" customWidth="1"/>
    <col min="3074" max="3074" width="9.7109375" style="435" customWidth="1"/>
    <col min="3075" max="3080" width="12.42578125" style="435" customWidth="1"/>
    <col min="3081" max="3081" width="13.7109375" style="435" bestFit="1" customWidth="1"/>
    <col min="3082" max="3082" width="13.140625" style="435" customWidth="1"/>
    <col min="3083" max="3083" width="11.42578125" style="435" bestFit="1" customWidth="1"/>
    <col min="3084" max="3084" width="12.85546875" style="435" bestFit="1" customWidth="1"/>
    <col min="3085" max="3088" width="9.140625" style="435"/>
    <col min="3089" max="3089" width="13.5703125" style="435" customWidth="1"/>
    <col min="3090" max="3328" width="9.140625" style="435"/>
    <col min="3329" max="3329" width="11" style="435" customWidth="1"/>
    <col min="3330" max="3330" width="9.7109375" style="435" customWidth="1"/>
    <col min="3331" max="3336" width="12.42578125" style="435" customWidth="1"/>
    <col min="3337" max="3337" width="13.7109375" style="435" bestFit="1" customWidth="1"/>
    <col min="3338" max="3338" width="13.140625" style="435" customWidth="1"/>
    <col min="3339" max="3339" width="11.42578125" style="435" bestFit="1" customWidth="1"/>
    <col min="3340" max="3340" width="12.85546875" style="435" bestFit="1" customWidth="1"/>
    <col min="3341" max="3344" width="9.140625" style="435"/>
    <col min="3345" max="3345" width="13.5703125" style="435" customWidth="1"/>
    <col min="3346" max="3584" width="9.140625" style="435"/>
    <col min="3585" max="3585" width="11" style="435" customWidth="1"/>
    <col min="3586" max="3586" width="9.7109375" style="435" customWidth="1"/>
    <col min="3587" max="3592" width="12.42578125" style="435" customWidth="1"/>
    <col min="3593" max="3593" width="13.7109375" style="435" bestFit="1" customWidth="1"/>
    <col min="3594" max="3594" width="13.140625" style="435" customWidth="1"/>
    <col min="3595" max="3595" width="11.42578125" style="435" bestFit="1" customWidth="1"/>
    <col min="3596" max="3596" width="12.85546875" style="435" bestFit="1" customWidth="1"/>
    <col min="3597" max="3600" width="9.140625" style="435"/>
    <col min="3601" max="3601" width="13.5703125" style="435" customWidth="1"/>
    <col min="3602" max="3840" width="9.140625" style="435"/>
    <col min="3841" max="3841" width="11" style="435" customWidth="1"/>
    <col min="3842" max="3842" width="9.7109375" style="435" customWidth="1"/>
    <col min="3843" max="3848" width="12.42578125" style="435" customWidth="1"/>
    <col min="3849" max="3849" width="13.7109375" style="435" bestFit="1" customWidth="1"/>
    <col min="3850" max="3850" width="13.140625" style="435" customWidth="1"/>
    <col min="3851" max="3851" width="11.42578125" style="435" bestFit="1" customWidth="1"/>
    <col min="3852" max="3852" width="12.85546875" style="435" bestFit="1" customWidth="1"/>
    <col min="3853" max="3856" width="9.140625" style="435"/>
    <col min="3857" max="3857" width="13.5703125" style="435" customWidth="1"/>
    <col min="3858" max="4096" width="9.140625" style="435"/>
    <col min="4097" max="4097" width="11" style="435" customWidth="1"/>
    <col min="4098" max="4098" width="9.7109375" style="435" customWidth="1"/>
    <col min="4099" max="4104" width="12.42578125" style="435" customWidth="1"/>
    <col min="4105" max="4105" width="13.7109375" style="435" bestFit="1" customWidth="1"/>
    <col min="4106" max="4106" width="13.140625" style="435" customWidth="1"/>
    <col min="4107" max="4107" width="11.42578125" style="435" bestFit="1" customWidth="1"/>
    <col min="4108" max="4108" width="12.85546875" style="435" bestFit="1" customWidth="1"/>
    <col min="4109" max="4112" width="9.140625" style="435"/>
    <col min="4113" max="4113" width="13.5703125" style="435" customWidth="1"/>
    <col min="4114" max="4352" width="9.140625" style="435"/>
    <col min="4353" max="4353" width="11" style="435" customWidth="1"/>
    <col min="4354" max="4354" width="9.7109375" style="435" customWidth="1"/>
    <col min="4355" max="4360" width="12.42578125" style="435" customWidth="1"/>
    <col min="4361" max="4361" width="13.7109375" style="435" bestFit="1" customWidth="1"/>
    <col min="4362" max="4362" width="13.140625" style="435" customWidth="1"/>
    <col min="4363" max="4363" width="11.42578125" style="435" bestFit="1" customWidth="1"/>
    <col min="4364" max="4364" width="12.85546875" style="435" bestFit="1" customWidth="1"/>
    <col min="4365" max="4368" width="9.140625" style="435"/>
    <col min="4369" max="4369" width="13.5703125" style="435" customWidth="1"/>
    <col min="4370" max="4608" width="9.140625" style="435"/>
    <col min="4609" max="4609" width="11" style="435" customWidth="1"/>
    <col min="4610" max="4610" width="9.7109375" style="435" customWidth="1"/>
    <col min="4611" max="4616" width="12.42578125" style="435" customWidth="1"/>
    <col min="4617" max="4617" width="13.7109375" style="435" bestFit="1" customWidth="1"/>
    <col min="4618" max="4618" width="13.140625" style="435" customWidth="1"/>
    <col min="4619" max="4619" width="11.42578125" style="435" bestFit="1" customWidth="1"/>
    <col min="4620" max="4620" width="12.85546875" style="435" bestFit="1" customWidth="1"/>
    <col min="4621" max="4624" width="9.140625" style="435"/>
    <col min="4625" max="4625" width="13.5703125" style="435" customWidth="1"/>
    <col min="4626" max="4864" width="9.140625" style="435"/>
    <col min="4865" max="4865" width="11" style="435" customWidth="1"/>
    <col min="4866" max="4866" width="9.7109375" style="435" customWidth="1"/>
    <col min="4867" max="4872" width="12.42578125" style="435" customWidth="1"/>
    <col min="4873" max="4873" width="13.7109375" style="435" bestFit="1" customWidth="1"/>
    <col min="4874" max="4874" width="13.140625" style="435" customWidth="1"/>
    <col min="4875" max="4875" width="11.42578125" style="435" bestFit="1" customWidth="1"/>
    <col min="4876" max="4876" width="12.85546875" style="435" bestFit="1" customWidth="1"/>
    <col min="4877" max="4880" width="9.140625" style="435"/>
    <col min="4881" max="4881" width="13.5703125" style="435" customWidth="1"/>
    <col min="4882" max="5120" width="9.140625" style="435"/>
    <col min="5121" max="5121" width="11" style="435" customWidth="1"/>
    <col min="5122" max="5122" width="9.7109375" style="435" customWidth="1"/>
    <col min="5123" max="5128" width="12.42578125" style="435" customWidth="1"/>
    <col min="5129" max="5129" width="13.7109375" style="435" bestFit="1" customWidth="1"/>
    <col min="5130" max="5130" width="13.140625" style="435" customWidth="1"/>
    <col min="5131" max="5131" width="11.42578125" style="435" bestFit="1" customWidth="1"/>
    <col min="5132" max="5132" width="12.85546875" style="435" bestFit="1" customWidth="1"/>
    <col min="5133" max="5136" width="9.140625" style="435"/>
    <col min="5137" max="5137" width="13.5703125" style="435" customWidth="1"/>
    <col min="5138" max="5376" width="9.140625" style="435"/>
    <col min="5377" max="5377" width="11" style="435" customWidth="1"/>
    <col min="5378" max="5378" width="9.7109375" style="435" customWidth="1"/>
    <col min="5379" max="5384" width="12.42578125" style="435" customWidth="1"/>
    <col min="5385" max="5385" width="13.7109375" style="435" bestFit="1" customWidth="1"/>
    <col min="5386" max="5386" width="13.140625" style="435" customWidth="1"/>
    <col min="5387" max="5387" width="11.42578125" style="435" bestFit="1" customWidth="1"/>
    <col min="5388" max="5388" width="12.85546875" style="435" bestFit="1" customWidth="1"/>
    <col min="5389" max="5392" width="9.140625" style="435"/>
    <col min="5393" max="5393" width="13.5703125" style="435" customWidth="1"/>
    <col min="5394" max="5632" width="9.140625" style="435"/>
    <col min="5633" max="5633" width="11" style="435" customWidth="1"/>
    <col min="5634" max="5634" width="9.7109375" style="435" customWidth="1"/>
    <col min="5635" max="5640" width="12.42578125" style="435" customWidth="1"/>
    <col min="5641" max="5641" width="13.7109375" style="435" bestFit="1" customWidth="1"/>
    <col min="5642" max="5642" width="13.140625" style="435" customWidth="1"/>
    <col min="5643" max="5643" width="11.42578125" style="435" bestFit="1" customWidth="1"/>
    <col min="5644" max="5644" width="12.85546875" style="435" bestFit="1" customWidth="1"/>
    <col min="5645" max="5648" width="9.140625" style="435"/>
    <col min="5649" max="5649" width="13.5703125" style="435" customWidth="1"/>
    <col min="5650" max="5888" width="9.140625" style="435"/>
    <col min="5889" max="5889" width="11" style="435" customWidth="1"/>
    <col min="5890" max="5890" width="9.7109375" style="435" customWidth="1"/>
    <col min="5891" max="5896" width="12.42578125" style="435" customWidth="1"/>
    <col min="5897" max="5897" width="13.7109375" style="435" bestFit="1" customWidth="1"/>
    <col min="5898" max="5898" width="13.140625" style="435" customWidth="1"/>
    <col min="5899" max="5899" width="11.42578125" style="435" bestFit="1" customWidth="1"/>
    <col min="5900" max="5900" width="12.85546875" style="435" bestFit="1" customWidth="1"/>
    <col min="5901" max="5904" width="9.140625" style="435"/>
    <col min="5905" max="5905" width="13.5703125" style="435" customWidth="1"/>
    <col min="5906" max="6144" width="9.140625" style="435"/>
    <col min="6145" max="6145" width="11" style="435" customWidth="1"/>
    <col min="6146" max="6146" width="9.7109375" style="435" customWidth="1"/>
    <col min="6147" max="6152" width="12.42578125" style="435" customWidth="1"/>
    <col min="6153" max="6153" width="13.7109375" style="435" bestFit="1" customWidth="1"/>
    <col min="6154" max="6154" width="13.140625" style="435" customWidth="1"/>
    <col min="6155" max="6155" width="11.42578125" style="435" bestFit="1" customWidth="1"/>
    <col min="6156" max="6156" width="12.85546875" style="435" bestFit="1" customWidth="1"/>
    <col min="6157" max="6160" width="9.140625" style="435"/>
    <col min="6161" max="6161" width="13.5703125" style="435" customWidth="1"/>
    <col min="6162" max="6400" width="9.140625" style="435"/>
    <col min="6401" max="6401" width="11" style="435" customWidth="1"/>
    <col min="6402" max="6402" width="9.7109375" style="435" customWidth="1"/>
    <col min="6403" max="6408" width="12.42578125" style="435" customWidth="1"/>
    <col min="6409" max="6409" width="13.7109375" style="435" bestFit="1" customWidth="1"/>
    <col min="6410" max="6410" width="13.140625" style="435" customWidth="1"/>
    <col min="6411" max="6411" width="11.42578125" style="435" bestFit="1" customWidth="1"/>
    <col min="6412" max="6412" width="12.85546875" style="435" bestFit="1" customWidth="1"/>
    <col min="6413" max="6416" width="9.140625" style="435"/>
    <col min="6417" max="6417" width="13.5703125" style="435" customWidth="1"/>
    <col min="6418" max="6656" width="9.140625" style="435"/>
    <col min="6657" max="6657" width="11" style="435" customWidth="1"/>
    <col min="6658" max="6658" width="9.7109375" style="435" customWidth="1"/>
    <col min="6659" max="6664" width="12.42578125" style="435" customWidth="1"/>
    <col min="6665" max="6665" width="13.7109375" style="435" bestFit="1" customWidth="1"/>
    <col min="6666" max="6666" width="13.140625" style="435" customWidth="1"/>
    <col min="6667" max="6667" width="11.42578125" style="435" bestFit="1" customWidth="1"/>
    <col min="6668" max="6668" width="12.85546875" style="435" bestFit="1" customWidth="1"/>
    <col min="6669" max="6672" width="9.140625" style="435"/>
    <col min="6673" max="6673" width="13.5703125" style="435" customWidth="1"/>
    <col min="6674" max="6912" width="9.140625" style="435"/>
    <col min="6913" max="6913" width="11" style="435" customWidth="1"/>
    <col min="6914" max="6914" width="9.7109375" style="435" customWidth="1"/>
    <col min="6915" max="6920" width="12.42578125" style="435" customWidth="1"/>
    <col min="6921" max="6921" width="13.7109375" style="435" bestFit="1" customWidth="1"/>
    <col min="6922" max="6922" width="13.140625" style="435" customWidth="1"/>
    <col min="6923" max="6923" width="11.42578125" style="435" bestFit="1" customWidth="1"/>
    <col min="6924" max="6924" width="12.85546875" style="435" bestFit="1" customWidth="1"/>
    <col min="6925" max="6928" width="9.140625" style="435"/>
    <col min="6929" max="6929" width="13.5703125" style="435" customWidth="1"/>
    <col min="6930" max="7168" width="9.140625" style="435"/>
    <col min="7169" max="7169" width="11" style="435" customWidth="1"/>
    <col min="7170" max="7170" width="9.7109375" style="435" customWidth="1"/>
    <col min="7171" max="7176" width="12.42578125" style="435" customWidth="1"/>
    <col min="7177" max="7177" width="13.7109375" style="435" bestFit="1" customWidth="1"/>
    <col min="7178" max="7178" width="13.140625" style="435" customWidth="1"/>
    <col min="7179" max="7179" width="11.42578125" style="435" bestFit="1" customWidth="1"/>
    <col min="7180" max="7180" width="12.85546875" style="435" bestFit="1" customWidth="1"/>
    <col min="7181" max="7184" width="9.140625" style="435"/>
    <col min="7185" max="7185" width="13.5703125" style="435" customWidth="1"/>
    <col min="7186" max="7424" width="9.140625" style="435"/>
    <col min="7425" max="7425" width="11" style="435" customWidth="1"/>
    <col min="7426" max="7426" width="9.7109375" style="435" customWidth="1"/>
    <col min="7427" max="7432" width="12.42578125" style="435" customWidth="1"/>
    <col min="7433" max="7433" width="13.7109375" style="435" bestFit="1" customWidth="1"/>
    <col min="7434" max="7434" width="13.140625" style="435" customWidth="1"/>
    <col min="7435" max="7435" width="11.42578125" style="435" bestFit="1" customWidth="1"/>
    <col min="7436" max="7436" width="12.85546875" style="435" bestFit="1" customWidth="1"/>
    <col min="7437" max="7440" width="9.140625" style="435"/>
    <col min="7441" max="7441" width="13.5703125" style="435" customWidth="1"/>
    <col min="7442" max="7680" width="9.140625" style="435"/>
    <col min="7681" max="7681" width="11" style="435" customWidth="1"/>
    <col min="7682" max="7682" width="9.7109375" style="435" customWidth="1"/>
    <col min="7683" max="7688" width="12.42578125" style="435" customWidth="1"/>
    <col min="7689" max="7689" width="13.7109375" style="435" bestFit="1" customWidth="1"/>
    <col min="7690" max="7690" width="13.140625" style="435" customWidth="1"/>
    <col min="7691" max="7691" width="11.42578125" style="435" bestFit="1" customWidth="1"/>
    <col min="7692" max="7692" width="12.85546875" style="435" bestFit="1" customWidth="1"/>
    <col min="7693" max="7696" width="9.140625" style="435"/>
    <col min="7697" max="7697" width="13.5703125" style="435" customWidth="1"/>
    <col min="7698" max="7936" width="9.140625" style="435"/>
    <col min="7937" max="7937" width="11" style="435" customWidth="1"/>
    <col min="7938" max="7938" width="9.7109375" style="435" customWidth="1"/>
    <col min="7939" max="7944" width="12.42578125" style="435" customWidth="1"/>
    <col min="7945" max="7945" width="13.7109375" style="435" bestFit="1" customWidth="1"/>
    <col min="7946" max="7946" width="13.140625" style="435" customWidth="1"/>
    <col min="7947" max="7947" width="11.42578125" style="435" bestFit="1" customWidth="1"/>
    <col min="7948" max="7948" width="12.85546875" style="435" bestFit="1" customWidth="1"/>
    <col min="7949" max="7952" width="9.140625" style="435"/>
    <col min="7953" max="7953" width="13.5703125" style="435" customWidth="1"/>
    <col min="7954" max="8192" width="9.140625" style="435"/>
    <col min="8193" max="8193" width="11" style="435" customWidth="1"/>
    <col min="8194" max="8194" width="9.7109375" style="435" customWidth="1"/>
    <col min="8195" max="8200" width="12.42578125" style="435" customWidth="1"/>
    <col min="8201" max="8201" width="13.7109375" style="435" bestFit="1" customWidth="1"/>
    <col min="8202" max="8202" width="13.140625" style="435" customWidth="1"/>
    <col min="8203" max="8203" width="11.42578125" style="435" bestFit="1" customWidth="1"/>
    <col min="8204" max="8204" width="12.85546875" style="435" bestFit="1" customWidth="1"/>
    <col min="8205" max="8208" width="9.140625" style="435"/>
    <col min="8209" max="8209" width="13.5703125" style="435" customWidth="1"/>
    <col min="8210" max="8448" width="9.140625" style="435"/>
    <col min="8449" max="8449" width="11" style="435" customWidth="1"/>
    <col min="8450" max="8450" width="9.7109375" style="435" customWidth="1"/>
    <col min="8451" max="8456" width="12.42578125" style="435" customWidth="1"/>
    <col min="8457" max="8457" width="13.7109375" style="435" bestFit="1" customWidth="1"/>
    <col min="8458" max="8458" width="13.140625" style="435" customWidth="1"/>
    <col min="8459" max="8459" width="11.42578125" style="435" bestFit="1" customWidth="1"/>
    <col min="8460" max="8460" width="12.85546875" style="435" bestFit="1" customWidth="1"/>
    <col min="8461" max="8464" width="9.140625" style="435"/>
    <col min="8465" max="8465" width="13.5703125" style="435" customWidth="1"/>
    <col min="8466" max="8704" width="9.140625" style="435"/>
    <col min="8705" max="8705" width="11" style="435" customWidth="1"/>
    <col min="8706" max="8706" width="9.7109375" style="435" customWidth="1"/>
    <col min="8707" max="8712" width="12.42578125" style="435" customWidth="1"/>
    <col min="8713" max="8713" width="13.7109375" style="435" bestFit="1" customWidth="1"/>
    <col min="8714" max="8714" width="13.140625" style="435" customWidth="1"/>
    <col min="8715" max="8715" width="11.42578125" style="435" bestFit="1" customWidth="1"/>
    <col min="8716" max="8716" width="12.85546875" style="435" bestFit="1" customWidth="1"/>
    <col min="8717" max="8720" width="9.140625" style="435"/>
    <col min="8721" max="8721" width="13.5703125" style="435" customWidth="1"/>
    <col min="8722" max="8960" width="9.140625" style="435"/>
    <col min="8961" max="8961" width="11" style="435" customWidth="1"/>
    <col min="8962" max="8962" width="9.7109375" style="435" customWidth="1"/>
    <col min="8963" max="8968" width="12.42578125" style="435" customWidth="1"/>
    <col min="8969" max="8969" width="13.7109375" style="435" bestFit="1" customWidth="1"/>
    <col min="8970" max="8970" width="13.140625" style="435" customWidth="1"/>
    <col min="8971" max="8971" width="11.42578125" style="435" bestFit="1" customWidth="1"/>
    <col min="8972" max="8972" width="12.85546875" style="435" bestFit="1" customWidth="1"/>
    <col min="8973" max="8976" width="9.140625" style="435"/>
    <col min="8977" max="8977" width="13.5703125" style="435" customWidth="1"/>
    <col min="8978" max="9216" width="9.140625" style="435"/>
    <col min="9217" max="9217" width="11" style="435" customWidth="1"/>
    <col min="9218" max="9218" width="9.7109375" style="435" customWidth="1"/>
    <col min="9219" max="9224" width="12.42578125" style="435" customWidth="1"/>
    <col min="9225" max="9225" width="13.7109375" style="435" bestFit="1" customWidth="1"/>
    <col min="9226" max="9226" width="13.140625" style="435" customWidth="1"/>
    <col min="9227" max="9227" width="11.42578125" style="435" bestFit="1" customWidth="1"/>
    <col min="9228" max="9228" width="12.85546875" style="435" bestFit="1" customWidth="1"/>
    <col min="9229" max="9232" width="9.140625" style="435"/>
    <col min="9233" max="9233" width="13.5703125" style="435" customWidth="1"/>
    <col min="9234" max="9472" width="9.140625" style="435"/>
    <col min="9473" max="9473" width="11" style="435" customWidth="1"/>
    <col min="9474" max="9474" width="9.7109375" style="435" customWidth="1"/>
    <col min="9475" max="9480" width="12.42578125" style="435" customWidth="1"/>
    <col min="9481" max="9481" width="13.7109375" style="435" bestFit="1" customWidth="1"/>
    <col min="9482" max="9482" width="13.140625" style="435" customWidth="1"/>
    <col min="9483" max="9483" width="11.42578125" style="435" bestFit="1" customWidth="1"/>
    <col min="9484" max="9484" width="12.85546875" style="435" bestFit="1" customWidth="1"/>
    <col min="9485" max="9488" width="9.140625" style="435"/>
    <col min="9489" max="9489" width="13.5703125" style="435" customWidth="1"/>
    <col min="9490" max="9728" width="9.140625" style="435"/>
    <col min="9729" max="9729" width="11" style="435" customWidth="1"/>
    <col min="9730" max="9730" width="9.7109375" style="435" customWidth="1"/>
    <col min="9731" max="9736" width="12.42578125" style="435" customWidth="1"/>
    <col min="9737" max="9737" width="13.7109375" style="435" bestFit="1" customWidth="1"/>
    <col min="9738" max="9738" width="13.140625" style="435" customWidth="1"/>
    <col min="9739" max="9739" width="11.42578125" style="435" bestFit="1" customWidth="1"/>
    <col min="9740" max="9740" width="12.85546875" style="435" bestFit="1" customWidth="1"/>
    <col min="9741" max="9744" width="9.140625" style="435"/>
    <col min="9745" max="9745" width="13.5703125" style="435" customWidth="1"/>
    <col min="9746" max="9984" width="9.140625" style="435"/>
    <col min="9985" max="9985" width="11" style="435" customWidth="1"/>
    <col min="9986" max="9986" width="9.7109375" style="435" customWidth="1"/>
    <col min="9987" max="9992" width="12.42578125" style="435" customWidth="1"/>
    <col min="9993" max="9993" width="13.7109375" style="435" bestFit="1" customWidth="1"/>
    <col min="9994" max="9994" width="13.140625" style="435" customWidth="1"/>
    <col min="9995" max="9995" width="11.42578125" style="435" bestFit="1" customWidth="1"/>
    <col min="9996" max="9996" width="12.85546875" style="435" bestFit="1" customWidth="1"/>
    <col min="9997" max="10000" width="9.140625" style="435"/>
    <col min="10001" max="10001" width="13.5703125" style="435" customWidth="1"/>
    <col min="10002" max="10240" width="9.140625" style="435"/>
    <col min="10241" max="10241" width="11" style="435" customWidth="1"/>
    <col min="10242" max="10242" width="9.7109375" style="435" customWidth="1"/>
    <col min="10243" max="10248" width="12.42578125" style="435" customWidth="1"/>
    <col min="10249" max="10249" width="13.7109375" style="435" bestFit="1" customWidth="1"/>
    <col min="10250" max="10250" width="13.140625" style="435" customWidth="1"/>
    <col min="10251" max="10251" width="11.42578125" style="435" bestFit="1" customWidth="1"/>
    <col min="10252" max="10252" width="12.85546875" style="435" bestFit="1" customWidth="1"/>
    <col min="10253" max="10256" width="9.140625" style="435"/>
    <col min="10257" max="10257" width="13.5703125" style="435" customWidth="1"/>
    <col min="10258" max="10496" width="9.140625" style="435"/>
    <col min="10497" max="10497" width="11" style="435" customWidth="1"/>
    <col min="10498" max="10498" width="9.7109375" style="435" customWidth="1"/>
    <col min="10499" max="10504" width="12.42578125" style="435" customWidth="1"/>
    <col min="10505" max="10505" width="13.7109375" style="435" bestFit="1" customWidth="1"/>
    <col min="10506" max="10506" width="13.140625" style="435" customWidth="1"/>
    <col min="10507" max="10507" width="11.42578125" style="435" bestFit="1" customWidth="1"/>
    <col min="10508" max="10508" width="12.85546875" style="435" bestFit="1" customWidth="1"/>
    <col min="10509" max="10512" width="9.140625" style="435"/>
    <col min="10513" max="10513" width="13.5703125" style="435" customWidth="1"/>
    <col min="10514" max="10752" width="9.140625" style="435"/>
    <col min="10753" max="10753" width="11" style="435" customWidth="1"/>
    <col min="10754" max="10754" width="9.7109375" style="435" customWidth="1"/>
    <col min="10755" max="10760" width="12.42578125" style="435" customWidth="1"/>
    <col min="10761" max="10761" width="13.7109375" style="435" bestFit="1" customWidth="1"/>
    <col min="10762" max="10762" width="13.140625" style="435" customWidth="1"/>
    <col min="10763" max="10763" width="11.42578125" style="435" bestFit="1" customWidth="1"/>
    <col min="10764" max="10764" width="12.85546875" style="435" bestFit="1" customWidth="1"/>
    <col min="10765" max="10768" width="9.140625" style="435"/>
    <col min="10769" max="10769" width="13.5703125" style="435" customWidth="1"/>
    <col min="10770" max="11008" width="9.140625" style="435"/>
    <col min="11009" max="11009" width="11" style="435" customWidth="1"/>
    <col min="11010" max="11010" width="9.7109375" style="435" customWidth="1"/>
    <col min="11011" max="11016" width="12.42578125" style="435" customWidth="1"/>
    <col min="11017" max="11017" width="13.7109375" style="435" bestFit="1" customWidth="1"/>
    <col min="11018" max="11018" width="13.140625" style="435" customWidth="1"/>
    <col min="11019" max="11019" width="11.42578125" style="435" bestFit="1" customWidth="1"/>
    <col min="11020" max="11020" width="12.85546875" style="435" bestFit="1" customWidth="1"/>
    <col min="11021" max="11024" width="9.140625" style="435"/>
    <col min="11025" max="11025" width="13.5703125" style="435" customWidth="1"/>
    <col min="11026" max="11264" width="9.140625" style="435"/>
    <col min="11265" max="11265" width="11" style="435" customWidth="1"/>
    <col min="11266" max="11266" width="9.7109375" style="435" customWidth="1"/>
    <col min="11267" max="11272" width="12.42578125" style="435" customWidth="1"/>
    <col min="11273" max="11273" width="13.7109375" style="435" bestFit="1" customWidth="1"/>
    <col min="11274" max="11274" width="13.140625" style="435" customWidth="1"/>
    <col min="11275" max="11275" width="11.42578125" style="435" bestFit="1" customWidth="1"/>
    <col min="11276" max="11276" width="12.85546875" style="435" bestFit="1" customWidth="1"/>
    <col min="11277" max="11280" width="9.140625" style="435"/>
    <col min="11281" max="11281" width="13.5703125" style="435" customWidth="1"/>
    <col min="11282" max="11520" width="9.140625" style="435"/>
    <col min="11521" max="11521" width="11" style="435" customWidth="1"/>
    <col min="11522" max="11522" width="9.7109375" style="435" customWidth="1"/>
    <col min="11523" max="11528" width="12.42578125" style="435" customWidth="1"/>
    <col min="11529" max="11529" width="13.7109375" style="435" bestFit="1" customWidth="1"/>
    <col min="11530" max="11530" width="13.140625" style="435" customWidth="1"/>
    <col min="11531" max="11531" width="11.42578125" style="435" bestFit="1" customWidth="1"/>
    <col min="11532" max="11532" width="12.85546875" style="435" bestFit="1" customWidth="1"/>
    <col min="11533" max="11536" width="9.140625" style="435"/>
    <col min="11537" max="11537" width="13.5703125" style="435" customWidth="1"/>
    <col min="11538" max="11776" width="9.140625" style="435"/>
    <col min="11777" max="11777" width="11" style="435" customWidth="1"/>
    <col min="11778" max="11778" width="9.7109375" style="435" customWidth="1"/>
    <col min="11779" max="11784" width="12.42578125" style="435" customWidth="1"/>
    <col min="11785" max="11785" width="13.7109375" style="435" bestFit="1" customWidth="1"/>
    <col min="11786" max="11786" width="13.140625" style="435" customWidth="1"/>
    <col min="11787" max="11787" width="11.42578125" style="435" bestFit="1" customWidth="1"/>
    <col min="11788" max="11788" width="12.85546875" style="435" bestFit="1" customWidth="1"/>
    <col min="11789" max="11792" width="9.140625" style="435"/>
    <col min="11793" max="11793" width="13.5703125" style="435" customWidth="1"/>
    <col min="11794" max="12032" width="9.140625" style="435"/>
    <col min="12033" max="12033" width="11" style="435" customWidth="1"/>
    <col min="12034" max="12034" width="9.7109375" style="435" customWidth="1"/>
    <col min="12035" max="12040" width="12.42578125" style="435" customWidth="1"/>
    <col min="12041" max="12041" width="13.7109375" style="435" bestFit="1" customWidth="1"/>
    <col min="12042" max="12042" width="13.140625" style="435" customWidth="1"/>
    <col min="12043" max="12043" width="11.42578125" style="435" bestFit="1" customWidth="1"/>
    <col min="12044" max="12044" width="12.85546875" style="435" bestFit="1" customWidth="1"/>
    <col min="12045" max="12048" width="9.140625" style="435"/>
    <col min="12049" max="12049" width="13.5703125" style="435" customWidth="1"/>
    <col min="12050" max="12288" width="9.140625" style="435"/>
    <col min="12289" max="12289" width="11" style="435" customWidth="1"/>
    <col min="12290" max="12290" width="9.7109375" style="435" customWidth="1"/>
    <col min="12291" max="12296" width="12.42578125" style="435" customWidth="1"/>
    <col min="12297" max="12297" width="13.7109375" style="435" bestFit="1" customWidth="1"/>
    <col min="12298" max="12298" width="13.140625" style="435" customWidth="1"/>
    <col min="12299" max="12299" width="11.42578125" style="435" bestFit="1" customWidth="1"/>
    <col min="12300" max="12300" width="12.85546875" style="435" bestFit="1" customWidth="1"/>
    <col min="12301" max="12304" width="9.140625" style="435"/>
    <col min="12305" max="12305" width="13.5703125" style="435" customWidth="1"/>
    <col min="12306" max="12544" width="9.140625" style="435"/>
    <col min="12545" max="12545" width="11" style="435" customWidth="1"/>
    <col min="12546" max="12546" width="9.7109375" style="435" customWidth="1"/>
    <col min="12547" max="12552" width="12.42578125" style="435" customWidth="1"/>
    <col min="12553" max="12553" width="13.7109375" style="435" bestFit="1" customWidth="1"/>
    <col min="12554" max="12554" width="13.140625" style="435" customWidth="1"/>
    <col min="12555" max="12555" width="11.42578125" style="435" bestFit="1" customWidth="1"/>
    <col min="12556" max="12556" width="12.85546875" style="435" bestFit="1" customWidth="1"/>
    <col min="12557" max="12560" width="9.140625" style="435"/>
    <col min="12561" max="12561" width="13.5703125" style="435" customWidth="1"/>
    <col min="12562" max="12800" width="9.140625" style="435"/>
    <col min="12801" max="12801" width="11" style="435" customWidth="1"/>
    <col min="12802" max="12802" width="9.7109375" style="435" customWidth="1"/>
    <col min="12803" max="12808" width="12.42578125" style="435" customWidth="1"/>
    <col min="12809" max="12809" width="13.7109375" style="435" bestFit="1" customWidth="1"/>
    <col min="12810" max="12810" width="13.140625" style="435" customWidth="1"/>
    <col min="12811" max="12811" width="11.42578125" style="435" bestFit="1" customWidth="1"/>
    <col min="12812" max="12812" width="12.85546875" style="435" bestFit="1" customWidth="1"/>
    <col min="12813" max="12816" width="9.140625" style="435"/>
    <col min="12817" max="12817" width="13.5703125" style="435" customWidth="1"/>
    <col min="12818" max="13056" width="9.140625" style="435"/>
    <col min="13057" max="13057" width="11" style="435" customWidth="1"/>
    <col min="13058" max="13058" width="9.7109375" style="435" customWidth="1"/>
    <col min="13059" max="13064" width="12.42578125" style="435" customWidth="1"/>
    <col min="13065" max="13065" width="13.7109375" style="435" bestFit="1" customWidth="1"/>
    <col min="13066" max="13066" width="13.140625" style="435" customWidth="1"/>
    <col min="13067" max="13067" width="11.42578125" style="435" bestFit="1" customWidth="1"/>
    <col min="13068" max="13068" width="12.85546875" style="435" bestFit="1" customWidth="1"/>
    <col min="13069" max="13072" width="9.140625" style="435"/>
    <col min="13073" max="13073" width="13.5703125" style="435" customWidth="1"/>
    <col min="13074" max="13312" width="9.140625" style="435"/>
    <col min="13313" max="13313" width="11" style="435" customWidth="1"/>
    <col min="13314" max="13314" width="9.7109375" style="435" customWidth="1"/>
    <col min="13315" max="13320" width="12.42578125" style="435" customWidth="1"/>
    <col min="13321" max="13321" width="13.7109375" style="435" bestFit="1" customWidth="1"/>
    <col min="13322" max="13322" width="13.140625" style="435" customWidth="1"/>
    <col min="13323" max="13323" width="11.42578125" style="435" bestFit="1" customWidth="1"/>
    <col min="13324" max="13324" width="12.85546875" style="435" bestFit="1" customWidth="1"/>
    <col min="13325" max="13328" width="9.140625" style="435"/>
    <col min="13329" max="13329" width="13.5703125" style="435" customWidth="1"/>
    <col min="13330" max="13568" width="9.140625" style="435"/>
    <col min="13569" max="13569" width="11" style="435" customWidth="1"/>
    <col min="13570" max="13570" width="9.7109375" style="435" customWidth="1"/>
    <col min="13571" max="13576" width="12.42578125" style="435" customWidth="1"/>
    <col min="13577" max="13577" width="13.7109375" style="435" bestFit="1" customWidth="1"/>
    <col min="13578" max="13578" width="13.140625" style="435" customWidth="1"/>
    <col min="13579" max="13579" width="11.42578125" style="435" bestFit="1" customWidth="1"/>
    <col min="13580" max="13580" width="12.85546875" style="435" bestFit="1" customWidth="1"/>
    <col min="13581" max="13584" width="9.140625" style="435"/>
    <col min="13585" max="13585" width="13.5703125" style="435" customWidth="1"/>
    <col min="13586" max="13824" width="9.140625" style="435"/>
    <col min="13825" max="13825" width="11" style="435" customWidth="1"/>
    <col min="13826" max="13826" width="9.7109375" style="435" customWidth="1"/>
    <col min="13827" max="13832" width="12.42578125" style="435" customWidth="1"/>
    <col min="13833" max="13833" width="13.7109375" style="435" bestFit="1" customWidth="1"/>
    <col min="13834" max="13834" width="13.140625" style="435" customWidth="1"/>
    <col min="13835" max="13835" width="11.42578125" style="435" bestFit="1" customWidth="1"/>
    <col min="13836" max="13836" width="12.85546875" style="435" bestFit="1" customWidth="1"/>
    <col min="13837" max="13840" width="9.140625" style="435"/>
    <col min="13841" max="13841" width="13.5703125" style="435" customWidth="1"/>
    <col min="13842" max="14080" width="9.140625" style="435"/>
    <col min="14081" max="14081" width="11" style="435" customWidth="1"/>
    <col min="14082" max="14082" width="9.7109375" style="435" customWidth="1"/>
    <col min="14083" max="14088" width="12.42578125" style="435" customWidth="1"/>
    <col min="14089" max="14089" width="13.7109375" style="435" bestFit="1" customWidth="1"/>
    <col min="14090" max="14090" width="13.140625" style="435" customWidth="1"/>
    <col min="14091" max="14091" width="11.42578125" style="435" bestFit="1" customWidth="1"/>
    <col min="14092" max="14092" width="12.85546875" style="435" bestFit="1" customWidth="1"/>
    <col min="14093" max="14096" width="9.140625" style="435"/>
    <col min="14097" max="14097" width="13.5703125" style="435" customWidth="1"/>
    <col min="14098" max="14336" width="9.140625" style="435"/>
    <col min="14337" max="14337" width="11" style="435" customWidth="1"/>
    <col min="14338" max="14338" width="9.7109375" style="435" customWidth="1"/>
    <col min="14339" max="14344" width="12.42578125" style="435" customWidth="1"/>
    <col min="14345" max="14345" width="13.7109375" style="435" bestFit="1" customWidth="1"/>
    <col min="14346" max="14346" width="13.140625" style="435" customWidth="1"/>
    <col min="14347" max="14347" width="11.42578125" style="435" bestFit="1" customWidth="1"/>
    <col min="14348" max="14348" width="12.85546875" style="435" bestFit="1" customWidth="1"/>
    <col min="14349" max="14352" width="9.140625" style="435"/>
    <col min="14353" max="14353" width="13.5703125" style="435" customWidth="1"/>
    <col min="14354" max="14592" width="9.140625" style="435"/>
    <col min="14593" max="14593" width="11" style="435" customWidth="1"/>
    <col min="14594" max="14594" width="9.7109375" style="435" customWidth="1"/>
    <col min="14595" max="14600" width="12.42578125" style="435" customWidth="1"/>
    <col min="14601" max="14601" width="13.7109375" style="435" bestFit="1" customWidth="1"/>
    <col min="14602" max="14602" width="13.140625" style="435" customWidth="1"/>
    <col min="14603" max="14603" width="11.42578125" style="435" bestFit="1" customWidth="1"/>
    <col min="14604" max="14604" width="12.85546875" style="435" bestFit="1" customWidth="1"/>
    <col min="14605" max="14608" width="9.140625" style="435"/>
    <col min="14609" max="14609" width="13.5703125" style="435" customWidth="1"/>
    <col min="14610" max="14848" width="9.140625" style="435"/>
    <col min="14849" max="14849" width="11" style="435" customWidth="1"/>
    <col min="14850" max="14850" width="9.7109375" style="435" customWidth="1"/>
    <col min="14851" max="14856" width="12.42578125" style="435" customWidth="1"/>
    <col min="14857" max="14857" width="13.7109375" style="435" bestFit="1" customWidth="1"/>
    <col min="14858" max="14858" width="13.140625" style="435" customWidth="1"/>
    <col min="14859" max="14859" width="11.42578125" style="435" bestFit="1" customWidth="1"/>
    <col min="14860" max="14860" width="12.85546875" style="435" bestFit="1" customWidth="1"/>
    <col min="14861" max="14864" width="9.140625" style="435"/>
    <col min="14865" max="14865" width="13.5703125" style="435" customWidth="1"/>
    <col min="14866" max="15104" width="9.140625" style="435"/>
    <col min="15105" max="15105" width="11" style="435" customWidth="1"/>
    <col min="15106" max="15106" width="9.7109375" style="435" customWidth="1"/>
    <col min="15107" max="15112" width="12.42578125" style="435" customWidth="1"/>
    <col min="15113" max="15113" width="13.7109375" style="435" bestFit="1" customWidth="1"/>
    <col min="15114" max="15114" width="13.140625" style="435" customWidth="1"/>
    <col min="15115" max="15115" width="11.42578125" style="435" bestFit="1" customWidth="1"/>
    <col min="15116" max="15116" width="12.85546875" style="435" bestFit="1" customWidth="1"/>
    <col min="15117" max="15120" width="9.140625" style="435"/>
    <col min="15121" max="15121" width="13.5703125" style="435" customWidth="1"/>
    <col min="15122" max="15360" width="9.140625" style="435"/>
    <col min="15361" max="15361" width="11" style="435" customWidth="1"/>
    <col min="15362" max="15362" width="9.7109375" style="435" customWidth="1"/>
    <col min="15363" max="15368" width="12.42578125" style="435" customWidth="1"/>
    <col min="15369" max="15369" width="13.7109375" style="435" bestFit="1" customWidth="1"/>
    <col min="15370" max="15370" width="13.140625" style="435" customWidth="1"/>
    <col min="15371" max="15371" width="11.42578125" style="435" bestFit="1" customWidth="1"/>
    <col min="15372" max="15372" width="12.85546875" style="435" bestFit="1" customWidth="1"/>
    <col min="15373" max="15376" width="9.140625" style="435"/>
    <col min="15377" max="15377" width="13.5703125" style="435" customWidth="1"/>
    <col min="15378" max="15616" width="9.140625" style="435"/>
    <col min="15617" max="15617" width="11" style="435" customWidth="1"/>
    <col min="15618" max="15618" width="9.7109375" style="435" customWidth="1"/>
    <col min="15619" max="15624" width="12.42578125" style="435" customWidth="1"/>
    <col min="15625" max="15625" width="13.7109375" style="435" bestFit="1" customWidth="1"/>
    <col min="15626" max="15626" width="13.140625" style="435" customWidth="1"/>
    <col min="15627" max="15627" width="11.42578125" style="435" bestFit="1" customWidth="1"/>
    <col min="15628" max="15628" width="12.85546875" style="435" bestFit="1" customWidth="1"/>
    <col min="15629" max="15632" width="9.140625" style="435"/>
    <col min="15633" max="15633" width="13.5703125" style="435" customWidth="1"/>
    <col min="15634" max="15872" width="9.140625" style="435"/>
    <col min="15873" max="15873" width="11" style="435" customWidth="1"/>
    <col min="15874" max="15874" width="9.7109375" style="435" customWidth="1"/>
    <col min="15875" max="15880" width="12.42578125" style="435" customWidth="1"/>
    <col min="15881" max="15881" width="13.7109375" style="435" bestFit="1" customWidth="1"/>
    <col min="15882" max="15882" width="13.140625" style="435" customWidth="1"/>
    <col min="15883" max="15883" width="11.42578125" style="435" bestFit="1" customWidth="1"/>
    <col min="15884" max="15884" width="12.85546875" style="435" bestFit="1" customWidth="1"/>
    <col min="15885" max="15888" width="9.140625" style="435"/>
    <col min="15889" max="15889" width="13.5703125" style="435" customWidth="1"/>
    <col min="15890" max="16128" width="9.140625" style="435"/>
    <col min="16129" max="16129" width="11" style="435" customWidth="1"/>
    <col min="16130" max="16130" width="9.7109375" style="435" customWidth="1"/>
    <col min="16131" max="16136" width="12.42578125" style="435" customWidth="1"/>
    <col min="16137" max="16137" width="13.7109375" style="435" bestFit="1" customWidth="1"/>
    <col min="16138" max="16138" width="13.140625" style="435" customWidth="1"/>
    <col min="16139" max="16139" width="11.42578125" style="435" bestFit="1" customWidth="1"/>
    <col min="16140" max="16140" width="12.85546875" style="435" bestFit="1" customWidth="1"/>
    <col min="16141" max="16144" width="9.140625" style="435"/>
    <col min="16145" max="16145" width="13.5703125" style="435" customWidth="1"/>
    <col min="16146" max="16384" width="9.140625" style="435"/>
  </cols>
  <sheetData>
    <row r="1" spans="1:19" ht="24" thickBot="1">
      <c r="G1" s="2777" t="s">
        <v>1749</v>
      </c>
      <c r="H1" s="2778"/>
      <c r="I1" s="2779"/>
    </row>
    <row r="2" spans="1:19">
      <c r="A2" s="557"/>
      <c r="B2" s="507"/>
      <c r="C2" s="557"/>
      <c r="D2" s="509"/>
      <c r="E2" s="557"/>
      <c r="F2" s="509"/>
      <c r="G2" s="557"/>
      <c r="H2" s="509"/>
      <c r="I2" s="557"/>
      <c r="J2" s="509"/>
      <c r="K2" s="507"/>
      <c r="L2" s="507"/>
      <c r="M2" s="507"/>
      <c r="N2" s="509"/>
    </row>
    <row r="3" spans="1:19" ht="14.25">
      <c r="A3" s="489"/>
      <c r="B3" s="2269" t="s">
        <v>2052</v>
      </c>
      <c r="C3" s="489"/>
      <c r="D3" s="2273" t="s">
        <v>2052</v>
      </c>
      <c r="E3" s="489"/>
      <c r="F3" s="2326" t="s">
        <v>2052</v>
      </c>
      <c r="G3" s="489"/>
      <c r="H3" s="2326" t="s">
        <v>2052</v>
      </c>
      <c r="I3" s="489"/>
      <c r="J3" s="2326" t="s">
        <v>2052</v>
      </c>
      <c r="L3" s="2328" t="s">
        <v>2052</v>
      </c>
      <c r="N3" s="2328" t="s">
        <v>2052</v>
      </c>
      <c r="P3" s="646" t="s">
        <v>820</v>
      </c>
      <c r="Q3" s="656">
        <v>405.62466197944838</v>
      </c>
      <c r="R3" s="646" t="s">
        <v>821</v>
      </c>
      <c r="S3" s="654" t="s">
        <v>822</v>
      </c>
    </row>
    <row r="4" spans="1:19">
      <c r="A4" s="1887" t="s">
        <v>2045</v>
      </c>
      <c r="B4" s="2270">
        <v>1.2</v>
      </c>
      <c r="C4" s="2274">
        <f>$B$4</f>
        <v>1.2</v>
      </c>
      <c r="D4" s="2275">
        <v>1.3</v>
      </c>
      <c r="E4" s="2274">
        <f>$B$4</f>
        <v>1.2</v>
      </c>
      <c r="F4" s="2327">
        <f>D4</f>
        <v>1.3</v>
      </c>
      <c r="G4" s="2274">
        <f>$B$4</f>
        <v>1.2</v>
      </c>
      <c r="H4" s="2327">
        <f>D4</f>
        <v>1.3</v>
      </c>
      <c r="I4" s="2274">
        <f>$B$4</f>
        <v>1.2</v>
      </c>
      <c r="J4" s="2327">
        <f>D4</f>
        <v>1.3</v>
      </c>
      <c r="K4" s="2272">
        <f>$B$4</f>
        <v>1.2</v>
      </c>
      <c r="L4" s="2329">
        <f>D4</f>
        <v>1.3</v>
      </c>
      <c r="M4" s="2264">
        <f>$B$4</f>
        <v>1.2</v>
      </c>
      <c r="N4" s="2329">
        <f>D4</f>
        <v>1.3</v>
      </c>
      <c r="P4" s="438"/>
      <c r="Q4" s="438"/>
      <c r="R4" s="438"/>
      <c r="S4" s="438"/>
    </row>
    <row r="5" spans="1:19" ht="25.5">
      <c r="A5" s="659" t="s">
        <v>825</v>
      </c>
      <c r="B5" s="2271" t="s">
        <v>826</v>
      </c>
      <c r="C5" s="2276" t="s">
        <v>2046</v>
      </c>
      <c r="D5" s="2277" t="s">
        <v>2046</v>
      </c>
      <c r="E5" s="2279" t="s">
        <v>2047</v>
      </c>
      <c r="F5" s="2280" t="s">
        <v>2047</v>
      </c>
      <c r="G5" s="2281" t="s">
        <v>2048</v>
      </c>
      <c r="H5" s="2282" t="s">
        <v>2048</v>
      </c>
      <c r="I5" s="2284" t="s">
        <v>2049</v>
      </c>
      <c r="J5" s="2285" t="s">
        <v>2049</v>
      </c>
      <c r="K5" s="2283" t="s">
        <v>2050</v>
      </c>
      <c r="L5" s="2262" t="s">
        <v>2050</v>
      </c>
      <c r="M5" s="2263" t="s">
        <v>2051</v>
      </c>
      <c r="N5" s="2263" t="s">
        <v>2051</v>
      </c>
      <c r="P5" s="657" t="s">
        <v>2044</v>
      </c>
      <c r="Q5" s="2259" t="s">
        <v>824</v>
      </c>
      <c r="R5" s="438"/>
      <c r="S5" s="438"/>
    </row>
    <row r="6" spans="1:19" ht="26.25">
      <c r="A6" s="2257">
        <v>0.01</v>
      </c>
      <c r="B6" s="2260">
        <v>640</v>
      </c>
      <c r="C6" s="611">
        <v>620</v>
      </c>
      <c r="D6" s="2278">
        <f>(C6/$C$4)*$D$4</f>
        <v>671.66666666666674</v>
      </c>
      <c r="E6" s="611">
        <v>700</v>
      </c>
      <c r="F6" s="2278">
        <f>(E6/$C$4)*$D$4</f>
        <v>758.33333333333337</v>
      </c>
      <c r="G6" s="611"/>
      <c r="H6" s="2278"/>
      <c r="I6" s="611"/>
      <c r="J6" s="2278"/>
      <c r="K6" s="742"/>
      <c r="L6" s="2265"/>
      <c r="M6" s="646"/>
      <c r="N6" s="2265"/>
      <c r="P6" s="660" t="s">
        <v>825</v>
      </c>
      <c r="Q6" s="660" t="s">
        <v>826</v>
      </c>
      <c r="R6" s="660" t="s">
        <v>827</v>
      </c>
      <c r="S6" s="438"/>
    </row>
    <row r="7" spans="1:19" ht="15">
      <c r="A7" s="2257">
        <v>0.5</v>
      </c>
      <c r="B7" s="2260">
        <v>480</v>
      </c>
      <c r="C7" s="611">
        <v>500</v>
      </c>
      <c r="D7" s="2278">
        <f t="shared" ref="D7:F8" si="0">(C7/$C$4)*$D$4</f>
        <v>541.66666666666674</v>
      </c>
      <c r="E7" s="611">
        <v>580</v>
      </c>
      <c r="F7" s="2278">
        <f t="shared" si="0"/>
        <v>628.33333333333337</v>
      </c>
      <c r="G7" s="611">
        <v>620</v>
      </c>
      <c r="H7" s="2278">
        <f t="shared" ref="H7" si="1">(G7/$C$4)*$D$4</f>
        <v>671.66666666666674</v>
      </c>
      <c r="I7" s="611"/>
      <c r="J7" s="2278"/>
      <c r="K7" s="742"/>
      <c r="L7" s="2265"/>
      <c r="M7" s="646"/>
      <c r="N7" s="2265"/>
      <c r="P7" s="2258">
        <v>0</v>
      </c>
      <c r="Q7" s="2258"/>
      <c r="R7" s="663">
        <f>$Q$3*(P7*P7)</f>
        <v>0</v>
      </c>
      <c r="S7" s="438"/>
    </row>
    <row r="8" spans="1:19" ht="15">
      <c r="A8" s="2257">
        <v>1</v>
      </c>
      <c r="B8" s="2260">
        <v>300</v>
      </c>
      <c r="C8" s="611">
        <v>330</v>
      </c>
      <c r="D8" s="2278">
        <f t="shared" si="0"/>
        <v>357.5</v>
      </c>
      <c r="E8" s="611">
        <v>440</v>
      </c>
      <c r="F8" s="2278">
        <f t="shared" si="0"/>
        <v>476.66666666666669</v>
      </c>
      <c r="G8" s="611">
        <v>520</v>
      </c>
      <c r="H8" s="2278">
        <f t="shared" ref="H8" si="2">(G8/$C$4)*$D$4</f>
        <v>563.33333333333337</v>
      </c>
      <c r="I8" s="611"/>
      <c r="J8" s="2278"/>
      <c r="K8" s="742"/>
      <c r="L8" s="2265"/>
      <c r="M8" s="646"/>
      <c r="N8" s="2265"/>
      <c r="P8" s="2258">
        <f t="shared" ref="P8:P15" si="3">A7</f>
        <v>0.5</v>
      </c>
      <c r="Q8" s="2258"/>
      <c r="R8" s="663">
        <f t="shared" ref="R8:R14" si="4">$Q$3*(P8*P8)</f>
        <v>101.40616549486209</v>
      </c>
      <c r="S8" s="438"/>
    </row>
    <row r="9" spans="1:19" ht="15">
      <c r="A9" s="2257">
        <v>1.3</v>
      </c>
      <c r="B9" s="2260">
        <v>0</v>
      </c>
      <c r="C9" s="611">
        <v>130</v>
      </c>
      <c r="D9" s="2278">
        <f>(C9/$C$4)*$D$4</f>
        <v>140.83333333333334</v>
      </c>
      <c r="E9" s="611">
        <v>280</v>
      </c>
      <c r="F9" s="2278">
        <f>(E9/$C$4)*$D$4</f>
        <v>303.33333333333337</v>
      </c>
      <c r="G9" s="611">
        <v>420</v>
      </c>
      <c r="H9" s="2278">
        <f>(G9/$C$4)*$D$4</f>
        <v>455</v>
      </c>
      <c r="I9" s="611">
        <v>490</v>
      </c>
      <c r="J9" s="2278">
        <f>(I9/$C$4)*$D$4</f>
        <v>530.83333333333337</v>
      </c>
      <c r="K9" s="742">
        <v>500</v>
      </c>
      <c r="L9" s="2265">
        <f>(K9/$C$4)*$D$4</f>
        <v>541.66666666666674</v>
      </c>
      <c r="M9" s="646"/>
      <c r="N9" s="2265"/>
      <c r="P9" s="2258">
        <f t="shared" si="3"/>
        <v>1</v>
      </c>
      <c r="Q9" s="2258"/>
      <c r="R9" s="663">
        <f t="shared" si="4"/>
        <v>405.62466197944838</v>
      </c>
      <c r="S9" s="438"/>
    </row>
    <row r="10" spans="1:19">
      <c r="A10" s="2257">
        <v>1.5</v>
      </c>
      <c r="B10" s="1274"/>
      <c r="C10" s="611"/>
      <c r="D10" s="2278"/>
      <c r="E10" s="611">
        <v>0</v>
      </c>
      <c r="F10" s="2278"/>
      <c r="G10" s="611">
        <v>300</v>
      </c>
      <c r="H10" s="2278">
        <f t="shared" ref="H10:H11" si="5">(G10/$C$4)*$D$4</f>
        <v>325</v>
      </c>
      <c r="I10" s="611">
        <v>420</v>
      </c>
      <c r="J10" s="2278">
        <f t="shared" ref="J10:J13" si="6">(I10/$C$4)*$D$4</f>
        <v>455</v>
      </c>
      <c r="K10" s="742">
        <v>455</v>
      </c>
      <c r="L10" s="2265">
        <f t="shared" ref="L10:L14" si="7">(K10/$C$4)*$D$4</f>
        <v>492.91666666666669</v>
      </c>
      <c r="M10" s="646">
        <v>490</v>
      </c>
      <c r="N10" s="2265">
        <f t="shared" ref="N10:N15" si="8">(M10/$C$4)*$D$4</f>
        <v>530.83333333333337</v>
      </c>
      <c r="P10" s="2258">
        <f t="shared" si="3"/>
        <v>1.3</v>
      </c>
      <c r="Q10" s="2258"/>
      <c r="R10" s="663">
        <f t="shared" si="4"/>
        <v>685.5056787452678</v>
      </c>
      <c r="S10" s="438"/>
    </row>
    <row r="11" spans="1:19">
      <c r="A11" s="2257">
        <v>1.8</v>
      </c>
      <c r="B11" s="1274"/>
      <c r="C11" s="611"/>
      <c r="D11" s="442"/>
      <c r="E11" s="611"/>
      <c r="F11" s="442"/>
      <c r="G11" s="611">
        <v>0</v>
      </c>
      <c r="H11" s="2278">
        <f t="shared" si="5"/>
        <v>0</v>
      </c>
      <c r="I11" s="611">
        <v>300</v>
      </c>
      <c r="J11" s="2278">
        <f t="shared" si="6"/>
        <v>325</v>
      </c>
      <c r="K11" s="742">
        <v>380</v>
      </c>
      <c r="L11" s="2265">
        <f t="shared" si="7"/>
        <v>411.66666666666669</v>
      </c>
      <c r="M11" s="646">
        <v>420</v>
      </c>
      <c r="N11" s="2265">
        <f t="shared" si="8"/>
        <v>455</v>
      </c>
      <c r="P11" s="2258">
        <f t="shared" si="3"/>
        <v>1.5</v>
      </c>
      <c r="Q11" s="2258"/>
      <c r="R11" s="663">
        <f t="shared" si="4"/>
        <v>912.65548945375883</v>
      </c>
      <c r="S11" s="438"/>
    </row>
    <row r="12" spans="1:19">
      <c r="A12" s="2257">
        <v>2</v>
      </c>
      <c r="B12" s="1274"/>
      <c r="C12" s="611"/>
      <c r="D12" s="442"/>
      <c r="E12" s="611"/>
      <c r="F12" s="442"/>
      <c r="G12" s="611"/>
      <c r="H12" s="442"/>
      <c r="I12" s="611">
        <v>130</v>
      </c>
      <c r="J12" s="2278">
        <f t="shared" si="6"/>
        <v>140.83333333333334</v>
      </c>
      <c r="K12" s="742">
        <v>280</v>
      </c>
      <c r="L12" s="2265">
        <f t="shared" si="7"/>
        <v>303.33333333333337</v>
      </c>
      <c r="M12" s="646">
        <v>350</v>
      </c>
      <c r="N12" s="2265">
        <f t="shared" si="8"/>
        <v>379.16666666666669</v>
      </c>
      <c r="P12" s="2258">
        <f t="shared" si="3"/>
        <v>1.8</v>
      </c>
      <c r="Q12" s="2258"/>
      <c r="R12" s="663">
        <f t="shared" si="4"/>
        <v>1314.2239048134129</v>
      </c>
    </row>
    <row r="13" spans="1:19">
      <c r="A13" s="2257">
        <v>2.2999999999999998</v>
      </c>
      <c r="B13" s="1274"/>
      <c r="C13" s="611"/>
      <c r="D13" s="442"/>
      <c r="E13" s="611"/>
      <c r="F13" s="442"/>
      <c r="G13" s="611"/>
      <c r="H13" s="442"/>
      <c r="I13" s="611">
        <v>0</v>
      </c>
      <c r="J13" s="2278">
        <f t="shared" si="6"/>
        <v>0</v>
      </c>
      <c r="K13" s="742">
        <v>130</v>
      </c>
      <c r="L13" s="2265">
        <f t="shared" si="7"/>
        <v>140.83333333333334</v>
      </c>
      <c r="M13" s="646">
        <v>230</v>
      </c>
      <c r="N13" s="2265">
        <f t="shared" si="8"/>
        <v>249.16666666666669</v>
      </c>
      <c r="P13" s="2258">
        <f t="shared" si="3"/>
        <v>2</v>
      </c>
      <c r="Q13" s="2258"/>
      <c r="R13" s="663">
        <f t="shared" si="4"/>
        <v>1622.4986479177935</v>
      </c>
    </row>
    <row r="14" spans="1:19">
      <c r="A14" s="2257">
        <v>2.5</v>
      </c>
      <c r="B14" s="1274"/>
      <c r="C14" s="611"/>
      <c r="D14" s="442"/>
      <c r="E14" s="611"/>
      <c r="F14" s="442"/>
      <c r="G14" s="611"/>
      <c r="H14" s="442"/>
      <c r="I14" s="611"/>
      <c r="J14" s="442"/>
      <c r="K14" s="742">
        <v>0</v>
      </c>
      <c r="L14" s="2265">
        <f t="shared" si="7"/>
        <v>0</v>
      </c>
      <c r="M14" s="646">
        <v>100</v>
      </c>
      <c r="N14" s="2265">
        <f t="shared" si="8"/>
        <v>108.33333333333334</v>
      </c>
      <c r="P14" s="2258">
        <f t="shared" si="3"/>
        <v>2.2999999999999998</v>
      </c>
      <c r="R14" s="663">
        <f t="shared" si="4"/>
        <v>2145.7544618712814</v>
      </c>
    </row>
    <row r="15" spans="1:19">
      <c r="A15" s="2257">
        <v>3</v>
      </c>
      <c r="B15" s="1274"/>
      <c r="C15" s="611"/>
      <c r="D15" s="442"/>
      <c r="E15" s="611"/>
      <c r="F15" s="442"/>
      <c r="G15" s="611"/>
      <c r="H15" s="442"/>
      <c r="I15" s="611"/>
      <c r="J15" s="442"/>
      <c r="K15" s="742"/>
      <c r="L15" s="646"/>
      <c r="M15" s="646">
        <v>0</v>
      </c>
      <c r="N15" s="2265">
        <f t="shared" si="8"/>
        <v>0</v>
      </c>
      <c r="P15" s="2258">
        <f t="shared" si="3"/>
        <v>2.5</v>
      </c>
      <c r="R15" s="663"/>
    </row>
    <row r="16" spans="1:19" ht="13.5" thickBot="1">
      <c r="A16" s="2257"/>
      <c r="B16" s="1274"/>
      <c r="C16" s="618"/>
      <c r="D16" s="855"/>
      <c r="E16" s="618"/>
      <c r="F16" s="855"/>
      <c r="G16" s="618"/>
      <c r="H16" s="855"/>
      <c r="I16" s="618"/>
      <c r="J16" s="855"/>
      <c r="K16" s="742"/>
      <c r="L16" s="646"/>
      <c r="M16" s="646"/>
      <c r="N16" s="646"/>
    </row>
    <row r="17" spans="1:14">
      <c r="A17" s="489"/>
      <c r="B17" s="438"/>
      <c r="C17" s="438"/>
      <c r="D17" s="438"/>
      <c r="E17" s="438"/>
      <c r="F17" s="438"/>
      <c r="G17" s="438"/>
      <c r="H17" s="438"/>
      <c r="I17" s="438"/>
      <c r="J17" s="438"/>
      <c r="K17" s="438"/>
      <c r="L17" s="438"/>
      <c r="M17" s="438"/>
      <c r="N17" s="438"/>
    </row>
    <row r="18" spans="1:14">
      <c r="A18" s="489"/>
      <c r="B18" s="438"/>
      <c r="C18" s="438"/>
      <c r="D18" s="438"/>
      <c r="E18" s="438"/>
      <c r="F18" s="438"/>
      <c r="G18" s="438"/>
      <c r="H18" s="438"/>
      <c r="I18" s="438"/>
      <c r="J18" s="438"/>
      <c r="K18" s="438"/>
      <c r="L18" s="438"/>
      <c r="M18" s="438"/>
      <c r="N18" s="438"/>
    </row>
    <row r="19" spans="1:14" ht="13.5" thickBot="1">
      <c r="A19" s="488"/>
      <c r="B19" s="448"/>
      <c r="C19" s="448"/>
      <c r="D19" s="448"/>
      <c r="E19" s="448"/>
      <c r="F19" s="448"/>
      <c r="G19" s="448"/>
      <c r="H19" s="448"/>
      <c r="I19" s="448"/>
      <c r="J19" s="448"/>
      <c r="K19" s="448"/>
      <c r="L19" s="448"/>
      <c r="M19" s="448"/>
      <c r="N19" s="448"/>
    </row>
    <row r="20" spans="1:14">
      <c r="A20" s="557"/>
      <c r="B20" s="507"/>
      <c r="C20" s="507"/>
      <c r="D20" s="507"/>
      <c r="E20" s="507"/>
      <c r="F20" s="507"/>
      <c r="G20" s="507"/>
      <c r="H20" s="507"/>
      <c r="I20" s="507"/>
      <c r="J20" s="507"/>
      <c r="K20" s="507"/>
      <c r="L20" s="507"/>
      <c r="M20" s="509"/>
    </row>
    <row r="21" spans="1:14" ht="14.25">
      <c r="A21" s="489"/>
      <c r="B21" s="438"/>
      <c r="C21" s="438"/>
      <c r="D21" s="438"/>
      <c r="E21" s="438"/>
      <c r="F21" s="438"/>
      <c r="G21" s="438"/>
      <c r="H21" s="438"/>
      <c r="I21" s="646" t="s">
        <v>820</v>
      </c>
      <c r="J21" s="656">
        <v>34</v>
      </c>
      <c r="K21" s="646" t="s">
        <v>821</v>
      </c>
      <c r="L21" s="654" t="s">
        <v>822</v>
      </c>
      <c r="M21" s="439"/>
    </row>
    <row r="22" spans="1:14">
      <c r="A22" s="1887" t="s">
        <v>1750</v>
      </c>
      <c r="B22" s="1864" t="s">
        <v>824</v>
      </c>
      <c r="C22" s="438"/>
      <c r="D22" s="438"/>
      <c r="E22" s="438"/>
      <c r="F22" s="438"/>
      <c r="G22" s="438"/>
      <c r="H22" s="438"/>
      <c r="I22" s="438"/>
      <c r="J22" s="438"/>
      <c r="K22" s="438"/>
      <c r="L22" s="438"/>
      <c r="M22" s="439"/>
    </row>
    <row r="23" spans="1:14" ht="25.5">
      <c r="A23" s="659" t="s">
        <v>825</v>
      </c>
      <c r="B23" s="660" t="s">
        <v>826</v>
      </c>
      <c r="C23" s="438"/>
      <c r="D23" s="438"/>
      <c r="E23" s="438"/>
      <c r="F23" s="438"/>
      <c r="G23" s="438"/>
      <c r="H23" s="438"/>
      <c r="I23" s="657" t="s">
        <v>823</v>
      </c>
      <c r="J23" s="1864" t="s">
        <v>824</v>
      </c>
      <c r="K23" s="438"/>
      <c r="L23" s="438"/>
      <c r="M23" s="439"/>
    </row>
    <row r="24" spans="1:14" ht="25.5">
      <c r="A24" s="1862">
        <v>1</v>
      </c>
      <c r="B24" s="1863"/>
      <c r="C24" s="438"/>
      <c r="D24" s="438"/>
      <c r="E24" s="438"/>
      <c r="F24" s="438"/>
      <c r="G24" s="438"/>
      <c r="H24" s="438"/>
      <c r="I24" s="660" t="s">
        <v>825</v>
      </c>
      <c r="J24" s="660" t="s">
        <v>826</v>
      </c>
      <c r="K24" s="660" t="s">
        <v>827</v>
      </c>
      <c r="L24" s="438"/>
      <c r="M24" s="439"/>
    </row>
    <row r="25" spans="1:14">
      <c r="A25" s="1862">
        <v>2</v>
      </c>
      <c r="B25" s="1863"/>
      <c r="C25" s="438"/>
      <c r="D25" s="438"/>
      <c r="E25" s="438"/>
      <c r="F25" s="438"/>
      <c r="G25" s="438"/>
      <c r="H25" s="438"/>
      <c r="I25" s="1863">
        <v>1</v>
      </c>
      <c r="J25" s="1863">
        <v>2400</v>
      </c>
      <c r="K25" s="663">
        <f>$J$21*(I25*I25)</f>
        <v>34</v>
      </c>
      <c r="L25" s="438"/>
      <c r="M25" s="439"/>
    </row>
    <row r="26" spans="1:14">
      <c r="A26" s="1862">
        <v>3</v>
      </c>
      <c r="B26" s="1863">
        <v>1200</v>
      </c>
      <c r="C26" s="438"/>
      <c r="D26" s="438"/>
      <c r="E26" s="438"/>
      <c r="F26" s="438"/>
      <c r="G26" s="438"/>
      <c r="H26" s="438"/>
      <c r="I26" s="1863">
        <v>2</v>
      </c>
      <c r="J26" s="1863">
        <v>2200</v>
      </c>
      <c r="K26" s="663">
        <f>$J$21*(I26*I26)</f>
        <v>136</v>
      </c>
      <c r="L26" s="438"/>
      <c r="M26" s="439"/>
    </row>
    <row r="27" spans="1:14">
      <c r="A27" s="1862">
        <v>4</v>
      </c>
      <c r="B27" s="1863">
        <v>900</v>
      </c>
      <c r="C27" s="438"/>
      <c r="D27" s="438"/>
      <c r="E27" s="438"/>
      <c r="F27" s="438"/>
      <c r="G27" s="438"/>
      <c r="H27" s="438"/>
      <c r="I27" s="1863">
        <v>3</v>
      </c>
      <c r="J27" s="1863">
        <v>2050</v>
      </c>
      <c r="K27" s="663">
        <f>$J$21*(I27*I27)</f>
        <v>306</v>
      </c>
      <c r="L27" s="438"/>
      <c r="M27" s="439"/>
    </row>
    <row r="28" spans="1:14">
      <c r="A28" s="1862">
        <v>5</v>
      </c>
      <c r="B28" s="1863">
        <v>0</v>
      </c>
      <c r="C28" s="438"/>
      <c r="D28" s="438"/>
      <c r="E28" s="438"/>
      <c r="F28" s="438"/>
      <c r="G28" s="438"/>
      <c r="H28" s="438"/>
      <c r="I28" s="1863">
        <v>4</v>
      </c>
      <c r="J28" s="1863">
        <v>1800</v>
      </c>
      <c r="K28" s="663">
        <f>$J$21*(I28*I28)</f>
        <v>544</v>
      </c>
      <c r="L28" s="438"/>
      <c r="M28" s="439"/>
    </row>
    <row r="29" spans="1:14">
      <c r="A29" s="1862"/>
      <c r="B29" s="1863"/>
      <c r="C29" s="438"/>
      <c r="D29" s="438"/>
      <c r="E29" s="438"/>
      <c r="F29" s="438"/>
      <c r="G29" s="438"/>
      <c r="H29" s="438"/>
      <c r="I29" s="1863">
        <v>5</v>
      </c>
      <c r="J29" s="1863">
        <v>1650</v>
      </c>
      <c r="K29" s="663">
        <f>$J$21*(I29*I29)</f>
        <v>850</v>
      </c>
      <c r="L29" s="438"/>
      <c r="M29" s="439"/>
    </row>
    <row r="30" spans="1:14">
      <c r="A30" s="1862"/>
      <c r="B30" s="1863"/>
      <c r="C30" s="438"/>
      <c r="D30" s="438"/>
      <c r="E30" s="438"/>
      <c r="F30" s="438"/>
      <c r="G30" s="438"/>
      <c r="H30" s="438"/>
      <c r="I30" s="438"/>
      <c r="J30" s="438"/>
      <c r="K30" s="438"/>
      <c r="L30" s="438"/>
      <c r="M30" s="439"/>
    </row>
    <row r="31" spans="1:14">
      <c r="A31" s="1862"/>
      <c r="B31" s="1863"/>
      <c r="C31" s="438"/>
      <c r="D31" s="438"/>
      <c r="E31" s="438"/>
      <c r="F31" s="438"/>
      <c r="G31" s="438"/>
      <c r="H31" s="438"/>
      <c r="I31" s="438"/>
      <c r="J31" s="438"/>
      <c r="K31" s="438"/>
      <c r="L31" s="438"/>
      <c r="M31" s="439"/>
    </row>
    <row r="32" spans="1:14">
      <c r="A32" s="1862"/>
      <c r="B32" s="1863"/>
      <c r="C32" s="438"/>
      <c r="D32" s="438"/>
      <c r="E32" s="438"/>
      <c r="F32" s="438"/>
      <c r="G32" s="438"/>
      <c r="H32" s="438"/>
      <c r="I32" s="438"/>
      <c r="J32" s="438"/>
      <c r="K32" s="438"/>
      <c r="L32" s="438"/>
      <c r="M32" s="439"/>
    </row>
    <row r="33" spans="1:13">
      <c r="A33" s="489"/>
      <c r="B33" s="438"/>
      <c r="C33" s="438"/>
      <c r="D33" s="438"/>
      <c r="E33" s="438"/>
      <c r="F33" s="438"/>
      <c r="G33" s="438"/>
      <c r="H33" s="438"/>
      <c r="I33" s="438"/>
      <c r="J33" s="438"/>
      <c r="K33" s="438"/>
      <c r="L33" s="438"/>
      <c r="M33" s="439"/>
    </row>
    <row r="34" spans="1:13">
      <c r="A34" s="489"/>
      <c r="B34" s="438"/>
      <c r="C34" s="438"/>
      <c r="D34" s="438"/>
      <c r="E34" s="438"/>
      <c r="F34" s="438"/>
      <c r="G34" s="438"/>
      <c r="H34" s="438"/>
      <c r="I34" s="438"/>
      <c r="J34" s="438"/>
      <c r="K34" s="438"/>
      <c r="L34" s="438"/>
      <c r="M34" s="439"/>
    </row>
    <row r="35" spans="1:13">
      <c r="A35" s="489"/>
      <c r="B35" s="438"/>
      <c r="C35" s="438"/>
      <c r="D35" s="438"/>
      <c r="E35" s="438"/>
      <c r="F35" s="438"/>
      <c r="G35" s="438"/>
      <c r="H35" s="438"/>
      <c r="I35" s="438"/>
      <c r="J35" s="438"/>
      <c r="K35" s="438"/>
      <c r="L35" s="438"/>
      <c r="M35" s="439"/>
    </row>
    <row r="36" spans="1:13">
      <c r="A36" s="489"/>
      <c r="B36" s="438"/>
      <c r="C36" s="438"/>
      <c r="D36" s="438"/>
      <c r="E36" s="438"/>
      <c r="F36" s="438"/>
      <c r="G36" s="438"/>
      <c r="H36" s="438"/>
      <c r="I36" s="438"/>
      <c r="J36" s="438"/>
      <c r="K36" s="438"/>
      <c r="L36" s="438"/>
      <c r="M36" s="439"/>
    </row>
    <row r="37" spans="1:13" ht="13.5" thickBot="1">
      <c r="A37" s="488"/>
      <c r="B37" s="448"/>
      <c r="C37" s="448"/>
      <c r="D37" s="448"/>
      <c r="E37" s="448"/>
      <c r="F37" s="448"/>
      <c r="G37" s="448"/>
      <c r="H37" s="448"/>
      <c r="I37" s="448"/>
      <c r="J37" s="448"/>
      <c r="K37" s="448"/>
      <c r="L37" s="448"/>
      <c r="M37" s="450"/>
    </row>
    <row r="38" spans="1:13">
      <c r="A38" s="557"/>
      <c r="B38" s="507"/>
      <c r="C38" s="507"/>
      <c r="D38" s="507"/>
      <c r="E38" s="507"/>
      <c r="F38" s="507"/>
      <c r="G38" s="507"/>
      <c r="H38" s="507"/>
      <c r="I38" s="507"/>
      <c r="J38" s="507"/>
      <c r="K38" s="507"/>
      <c r="L38" s="507"/>
      <c r="M38" s="509"/>
    </row>
    <row r="39" spans="1:13" ht="14.25">
      <c r="A39" s="489"/>
      <c r="B39" s="438"/>
      <c r="C39" s="438"/>
      <c r="D39" s="438"/>
      <c r="E39" s="438"/>
      <c r="F39" s="438"/>
      <c r="G39" s="438"/>
      <c r="H39" s="438"/>
      <c r="I39" s="646" t="s">
        <v>820</v>
      </c>
      <c r="J39" s="656">
        <v>34</v>
      </c>
      <c r="K39" s="646" t="s">
        <v>821</v>
      </c>
      <c r="L39" s="654" t="s">
        <v>822</v>
      </c>
      <c r="M39" s="439"/>
    </row>
    <row r="40" spans="1:13">
      <c r="A40" s="1886" t="s">
        <v>1751</v>
      </c>
      <c r="B40" s="658" t="s">
        <v>824</v>
      </c>
      <c r="C40" s="438"/>
      <c r="D40" s="438"/>
      <c r="E40" s="438"/>
      <c r="F40" s="438"/>
      <c r="G40" s="438"/>
      <c r="H40" s="438"/>
      <c r="I40" s="438"/>
      <c r="J40" s="438"/>
      <c r="K40" s="438"/>
      <c r="L40" s="438"/>
      <c r="M40" s="439"/>
    </row>
    <row r="41" spans="1:13" ht="25.5">
      <c r="A41" s="659" t="s">
        <v>825</v>
      </c>
      <c r="B41" s="660" t="s">
        <v>826</v>
      </c>
      <c r="C41" s="438"/>
      <c r="D41" s="438"/>
      <c r="E41" s="438"/>
      <c r="F41" s="438"/>
      <c r="G41" s="438"/>
      <c r="H41" s="438"/>
      <c r="I41" s="657" t="s">
        <v>823</v>
      </c>
      <c r="J41" s="658" t="s">
        <v>824</v>
      </c>
      <c r="K41" s="438"/>
      <c r="L41" s="438"/>
      <c r="M41" s="439"/>
    </row>
    <row r="42" spans="1:13" ht="25.5">
      <c r="A42" s="661">
        <v>1</v>
      </c>
      <c r="B42" s="662"/>
      <c r="C42" s="438"/>
      <c r="D42" s="438"/>
      <c r="E42" s="438"/>
      <c r="F42" s="438"/>
      <c r="G42" s="438"/>
      <c r="H42" s="438"/>
      <c r="I42" s="660" t="s">
        <v>825</v>
      </c>
      <c r="J42" s="660" t="s">
        <v>826</v>
      </c>
      <c r="K42" s="660" t="s">
        <v>827</v>
      </c>
      <c r="L42" s="438"/>
      <c r="M42" s="439"/>
    </row>
    <row r="43" spans="1:13">
      <c r="A43" s="661">
        <v>2</v>
      </c>
      <c r="B43" s="662"/>
      <c r="C43" s="438"/>
      <c r="D43" s="438"/>
      <c r="E43" s="438"/>
      <c r="F43" s="438"/>
      <c r="G43" s="438"/>
      <c r="H43" s="438"/>
      <c r="I43" s="662">
        <v>1</v>
      </c>
      <c r="J43" s="662">
        <v>2400</v>
      </c>
      <c r="K43" s="663">
        <f>$J$39*(I43*I43)</f>
        <v>34</v>
      </c>
      <c r="L43" s="438"/>
      <c r="M43" s="439"/>
    </row>
    <row r="44" spans="1:13">
      <c r="A44" s="661">
        <v>3</v>
      </c>
      <c r="B44" s="662">
        <v>1200</v>
      </c>
      <c r="C44" s="438"/>
      <c r="D44" s="438"/>
      <c r="E44" s="438"/>
      <c r="F44" s="438"/>
      <c r="G44" s="438"/>
      <c r="H44" s="438"/>
      <c r="I44" s="662">
        <v>2</v>
      </c>
      <c r="J44" s="662">
        <v>2200</v>
      </c>
      <c r="K44" s="663">
        <f>$J$39*(I44*I44)</f>
        <v>136</v>
      </c>
      <c r="L44" s="438"/>
      <c r="M44" s="439"/>
    </row>
    <row r="45" spans="1:13">
      <c r="A45" s="661">
        <v>4</v>
      </c>
      <c r="B45" s="662">
        <v>900</v>
      </c>
      <c r="C45" s="438"/>
      <c r="D45" s="438"/>
      <c r="E45" s="438"/>
      <c r="F45" s="438"/>
      <c r="G45" s="438"/>
      <c r="H45" s="438"/>
      <c r="I45" s="662">
        <v>3</v>
      </c>
      <c r="J45" s="662">
        <v>2050</v>
      </c>
      <c r="K45" s="663">
        <f>$J$39*(I45*I45)</f>
        <v>306</v>
      </c>
      <c r="L45" s="438"/>
      <c r="M45" s="439"/>
    </row>
    <row r="46" spans="1:13">
      <c r="A46" s="661">
        <v>5</v>
      </c>
      <c r="B46" s="662">
        <v>0</v>
      </c>
      <c r="C46" s="438"/>
      <c r="D46" s="438"/>
      <c r="E46" s="438"/>
      <c r="F46" s="438"/>
      <c r="G46" s="438"/>
      <c r="H46" s="438"/>
      <c r="I46" s="662">
        <v>4</v>
      </c>
      <c r="J46" s="662">
        <v>1800</v>
      </c>
      <c r="K46" s="663">
        <f>$J$39*(I46*I46)</f>
        <v>544</v>
      </c>
      <c r="L46" s="438"/>
      <c r="M46" s="439"/>
    </row>
    <row r="47" spans="1:13">
      <c r="A47" s="661"/>
      <c r="B47" s="662"/>
      <c r="C47" s="438"/>
      <c r="D47" s="438"/>
      <c r="E47" s="438"/>
      <c r="F47" s="438"/>
      <c r="G47" s="438"/>
      <c r="H47" s="438"/>
      <c r="I47" s="662">
        <v>5</v>
      </c>
      <c r="J47" s="662">
        <v>1650</v>
      </c>
      <c r="K47" s="663">
        <f>$J$39*(I47*I47)</f>
        <v>850</v>
      </c>
      <c r="L47" s="438"/>
      <c r="M47" s="439"/>
    </row>
    <row r="48" spans="1:13">
      <c r="A48" s="661"/>
      <c r="B48" s="662"/>
      <c r="C48" s="438"/>
      <c r="D48" s="438"/>
      <c r="E48" s="438"/>
      <c r="F48" s="438"/>
      <c r="G48" s="438"/>
      <c r="H48" s="438"/>
      <c r="I48" s="438"/>
      <c r="J48" s="438"/>
      <c r="K48" s="438"/>
      <c r="L48" s="438"/>
      <c r="M48" s="439"/>
    </row>
    <row r="49" spans="1:13">
      <c r="A49" s="661"/>
      <c r="B49" s="662"/>
      <c r="C49" s="438"/>
      <c r="D49" s="438"/>
      <c r="E49" s="438"/>
      <c r="F49" s="438"/>
      <c r="G49" s="438"/>
      <c r="H49" s="438"/>
      <c r="I49" s="438"/>
      <c r="J49" s="438"/>
      <c r="K49" s="438"/>
      <c r="L49" s="438"/>
      <c r="M49" s="439"/>
    </row>
    <row r="50" spans="1:13">
      <c r="A50" s="661"/>
      <c r="B50" s="662"/>
      <c r="C50" s="438"/>
      <c r="D50" s="438"/>
      <c r="E50" s="438"/>
      <c r="F50" s="438"/>
      <c r="G50" s="438"/>
      <c r="H50" s="438"/>
      <c r="I50" s="438"/>
      <c r="J50" s="438"/>
      <c r="K50" s="438"/>
      <c r="L50" s="438"/>
      <c r="M50" s="439"/>
    </row>
    <row r="51" spans="1:13">
      <c r="A51" s="489"/>
      <c r="B51" s="438"/>
      <c r="C51" s="438"/>
      <c r="D51" s="438"/>
      <c r="E51" s="438"/>
      <c r="F51" s="438"/>
      <c r="G51" s="438"/>
      <c r="H51" s="438"/>
      <c r="I51" s="438"/>
      <c r="J51" s="438"/>
      <c r="K51" s="438"/>
      <c r="L51" s="438"/>
      <c r="M51" s="439"/>
    </row>
    <row r="52" spans="1:13">
      <c r="A52" s="489"/>
      <c r="B52" s="438"/>
      <c r="C52" s="438"/>
      <c r="D52" s="438"/>
      <c r="E52" s="438"/>
      <c r="F52" s="438"/>
      <c r="G52" s="438"/>
      <c r="H52" s="438"/>
      <c r="I52" s="438"/>
      <c r="J52" s="438"/>
      <c r="K52" s="438"/>
      <c r="L52" s="438"/>
      <c r="M52" s="439"/>
    </row>
    <row r="53" spans="1:13">
      <c r="A53" s="489"/>
      <c r="B53" s="438"/>
      <c r="C53" s="438"/>
      <c r="D53" s="438"/>
      <c r="E53" s="438"/>
      <c r="F53" s="438"/>
      <c r="G53" s="438"/>
      <c r="H53" s="438"/>
      <c r="I53" s="438"/>
      <c r="J53" s="438"/>
      <c r="K53" s="438"/>
      <c r="L53" s="438"/>
      <c r="M53" s="439"/>
    </row>
    <row r="54" spans="1:13">
      <c r="A54" s="489"/>
      <c r="B54" s="438"/>
      <c r="C54" s="438"/>
      <c r="D54" s="438"/>
      <c r="E54" s="438"/>
      <c r="F54" s="438"/>
      <c r="G54" s="438"/>
      <c r="H54" s="438"/>
      <c r="I54" s="438"/>
      <c r="J54" s="438"/>
      <c r="K54" s="438"/>
      <c r="L54" s="438"/>
      <c r="M54" s="439"/>
    </row>
    <row r="55" spans="1:13" ht="13.5" thickBot="1">
      <c r="A55" s="488"/>
      <c r="B55" s="448"/>
      <c r="C55" s="448"/>
      <c r="D55" s="448"/>
      <c r="E55" s="448"/>
      <c r="F55" s="448"/>
      <c r="G55" s="448"/>
      <c r="H55" s="448"/>
      <c r="I55" s="448"/>
      <c r="J55" s="448"/>
      <c r="K55" s="448"/>
      <c r="L55" s="448"/>
      <c r="M55" s="450"/>
    </row>
    <row r="56" spans="1:13">
      <c r="A56" s="557"/>
      <c r="B56" s="507"/>
      <c r="C56" s="507"/>
      <c r="D56" s="507"/>
      <c r="E56" s="507"/>
      <c r="F56" s="507"/>
      <c r="G56" s="507"/>
      <c r="H56" s="507"/>
      <c r="I56" s="507"/>
      <c r="J56" s="507"/>
      <c r="K56" s="507"/>
      <c r="L56" s="507"/>
      <c r="M56" s="509"/>
    </row>
    <row r="57" spans="1:13">
      <c r="A57" s="489"/>
      <c r="B57" s="438"/>
      <c r="C57" s="438"/>
      <c r="D57" s="438"/>
      <c r="E57" s="438"/>
      <c r="F57" s="438"/>
      <c r="G57" s="438"/>
      <c r="H57" s="438"/>
      <c r="I57" s="438"/>
      <c r="J57" s="438"/>
      <c r="K57" s="438"/>
      <c r="L57" s="438"/>
      <c r="M57" s="439"/>
    </row>
    <row r="58" spans="1:13" ht="14.25">
      <c r="A58" s="489"/>
      <c r="B58" s="438"/>
      <c r="C58" s="438"/>
      <c r="D58" s="438"/>
      <c r="E58" s="438"/>
      <c r="F58" s="438"/>
      <c r="G58" s="438"/>
      <c r="H58" s="438"/>
      <c r="I58" s="646" t="s">
        <v>820</v>
      </c>
      <c r="J58" s="656">
        <v>34</v>
      </c>
      <c r="K58" s="646" t="s">
        <v>821</v>
      </c>
      <c r="L58" s="654" t="s">
        <v>822</v>
      </c>
      <c r="M58" s="439"/>
    </row>
    <row r="59" spans="1:13">
      <c r="A59" s="664" t="s">
        <v>1752</v>
      </c>
      <c r="B59" s="658" t="s">
        <v>824</v>
      </c>
      <c r="C59" s="438"/>
      <c r="D59" s="438"/>
      <c r="E59" s="438"/>
      <c r="F59" s="438"/>
      <c r="G59" s="438"/>
      <c r="H59" s="438"/>
      <c r="I59" s="438"/>
      <c r="J59" s="438"/>
      <c r="K59" s="438"/>
      <c r="L59" s="438"/>
      <c r="M59" s="439"/>
    </row>
    <row r="60" spans="1:13" ht="25.5">
      <c r="A60" s="659" t="s">
        <v>825</v>
      </c>
      <c r="B60" s="660" t="s">
        <v>826</v>
      </c>
      <c r="C60" s="438"/>
      <c r="D60" s="438"/>
      <c r="E60" s="438"/>
      <c r="F60" s="438"/>
      <c r="G60" s="438"/>
      <c r="H60" s="438"/>
      <c r="I60" s="664" t="s">
        <v>828</v>
      </c>
      <c r="J60" s="658" t="s">
        <v>824</v>
      </c>
      <c r="K60" s="438"/>
      <c r="L60" s="438"/>
      <c r="M60" s="439"/>
    </row>
    <row r="61" spans="1:13" ht="25.5">
      <c r="A61" s="661">
        <v>1</v>
      </c>
      <c r="B61" s="662"/>
      <c r="C61" s="438"/>
      <c r="D61" s="438"/>
      <c r="E61" s="438"/>
      <c r="F61" s="438"/>
      <c r="G61" s="438"/>
      <c r="H61" s="438"/>
      <c r="I61" s="660" t="s">
        <v>825</v>
      </c>
      <c r="J61" s="660" t="s">
        <v>826</v>
      </c>
      <c r="K61" s="660" t="s">
        <v>827</v>
      </c>
      <c r="L61" s="438"/>
      <c r="M61" s="439"/>
    </row>
    <row r="62" spans="1:13">
      <c r="A62" s="661">
        <v>2</v>
      </c>
      <c r="B62" s="662"/>
      <c r="C62" s="438"/>
      <c r="D62" s="438"/>
      <c r="E62" s="438"/>
      <c r="F62" s="438"/>
      <c r="G62" s="438"/>
      <c r="H62" s="438"/>
      <c r="I62" s="662">
        <v>1</v>
      </c>
      <c r="J62" s="662">
        <v>2400</v>
      </c>
      <c r="K62" s="663">
        <f t="shared" ref="K62:K67" si="9">$J$58*(I62*I62)</f>
        <v>34</v>
      </c>
      <c r="L62" s="438"/>
      <c r="M62" s="439"/>
    </row>
    <row r="63" spans="1:13">
      <c r="A63" s="661">
        <v>3</v>
      </c>
      <c r="B63" s="662"/>
      <c r="C63" s="438"/>
      <c r="D63" s="438"/>
      <c r="E63" s="438"/>
      <c r="F63" s="438"/>
      <c r="G63" s="438"/>
      <c r="H63" s="438"/>
      <c r="I63" s="662">
        <v>2</v>
      </c>
      <c r="J63" s="662">
        <v>2200</v>
      </c>
      <c r="K63" s="663">
        <f t="shared" si="9"/>
        <v>136</v>
      </c>
      <c r="L63" s="438"/>
      <c r="M63" s="439"/>
    </row>
    <row r="64" spans="1:13">
      <c r="A64" s="661">
        <v>4</v>
      </c>
      <c r="B64" s="662">
        <v>1500</v>
      </c>
      <c r="C64" s="438"/>
      <c r="D64" s="438"/>
      <c r="E64" s="438"/>
      <c r="F64" s="438"/>
      <c r="G64" s="438"/>
      <c r="H64" s="438"/>
      <c r="I64" s="662">
        <v>3</v>
      </c>
      <c r="J64" s="662">
        <v>2050</v>
      </c>
      <c r="K64" s="663">
        <f t="shared" si="9"/>
        <v>306</v>
      </c>
      <c r="L64" s="438"/>
      <c r="M64" s="439"/>
    </row>
    <row r="65" spans="1:13">
      <c r="A65" s="661">
        <v>5</v>
      </c>
      <c r="B65" s="662">
        <v>1150</v>
      </c>
      <c r="C65" s="438"/>
      <c r="D65" s="438"/>
      <c r="E65" s="438"/>
      <c r="F65" s="438"/>
      <c r="G65" s="438"/>
      <c r="H65" s="438"/>
      <c r="I65" s="662">
        <v>4</v>
      </c>
      <c r="J65" s="662">
        <v>1800</v>
      </c>
      <c r="K65" s="663">
        <f t="shared" si="9"/>
        <v>544</v>
      </c>
      <c r="L65" s="438"/>
      <c r="M65" s="439"/>
    </row>
    <row r="66" spans="1:13">
      <c r="A66" s="661">
        <v>6</v>
      </c>
      <c r="B66" s="662">
        <v>400</v>
      </c>
      <c r="C66" s="438"/>
      <c r="D66" s="438"/>
      <c r="E66" s="438"/>
      <c r="F66" s="438"/>
      <c r="G66" s="438"/>
      <c r="H66" s="438"/>
      <c r="I66" s="662">
        <v>5</v>
      </c>
      <c r="J66" s="662">
        <v>1650</v>
      </c>
      <c r="K66" s="663">
        <f t="shared" si="9"/>
        <v>850</v>
      </c>
      <c r="L66" s="438"/>
      <c r="M66" s="439"/>
    </row>
    <row r="67" spans="1:13">
      <c r="A67" s="661"/>
      <c r="B67" s="662"/>
      <c r="C67" s="438"/>
      <c r="D67" s="438"/>
      <c r="E67" s="438"/>
      <c r="F67" s="438"/>
      <c r="G67" s="438"/>
      <c r="H67" s="438"/>
      <c r="I67" s="662">
        <v>6</v>
      </c>
      <c r="J67" s="662">
        <v>1700</v>
      </c>
      <c r="K67" s="663">
        <f t="shared" si="9"/>
        <v>1224</v>
      </c>
      <c r="L67" s="438"/>
      <c r="M67" s="439"/>
    </row>
    <row r="68" spans="1:13">
      <c r="A68" s="661"/>
      <c r="B68" s="662"/>
      <c r="C68" s="438"/>
      <c r="D68" s="438"/>
      <c r="E68" s="438"/>
      <c r="F68" s="438"/>
      <c r="G68" s="438"/>
      <c r="H68" s="438"/>
      <c r="I68" s="438"/>
      <c r="J68" s="438"/>
      <c r="K68" s="438"/>
      <c r="L68" s="438"/>
      <c r="M68" s="439"/>
    </row>
    <row r="69" spans="1:13">
      <c r="A69" s="661"/>
      <c r="B69" s="662"/>
      <c r="C69" s="438"/>
      <c r="D69" s="438"/>
      <c r="E69" s="438"/>
      <c r="F69" s="438"/>
      <c r="G69" s="438"/>
      <c r="H69" s="438"/>
      <c r="I69" s="438"/>
      <c r="J69" s="438"/>
      <c r="K69" s="438"/>
      <c r="L69" s="438"/>
      <c r="M69" s="439"/>
    </row>
    <row r="70" spans="1:13">
      <c r="A70" s="489"/>
      <c r="B70" s="438"/>
      <c r="C70" s="438"/>
      <c r="D70" s="438"/>
      <c r="E70" s="438"/>
      <c r="F70" s="438"/>
      <c r="G70" s="438"/>
      <c r="H70" s="438"/>
      <c r="I70" s="438"/>
      <c r="J70" s="438"/>
      <c r="K70" s="438"/>
      <c r="L70" s="438"/>
      <c r="M70" s="439"/>
    </row>
    <row r="71" spans="1:13" ht="13.5" thickBot="1">
      <c r="A71" s="488"/>
      <c r="B71" s="448"/>
      <c r="C71" s="448"/>
      <c r="D71" s="448"/>
      <c r="E71" s="448"/>
      <c r="F71" s="448"/>
      <c r="G71" s="448"/>
      <c r="H71" s="448"/>
      <c r="I71" s="448"/>
      <c r="J71" s="448"/>
      <c r="K71" s="448"/>
      <c r="L71" s="448"/>
      <c r="M71" s="450"/>
    </row>
    <row r="72" spans="1:13">
      <c r="A72" s="557"/>
      <c r="B72" s="507"/>
      <c r="C72" s="507"/>
      <c r="D72" s="507"/>
      <c r="E72" s="507"/>
      <c r="F72" s="507"/>
      <c r="G72" s="507"/>
      <c r="H72" s="507"/>
      <c r="I72" s="507"/>
      <c r="J72" s="507"/>
      <c r="K72" s="507"/>
      <c r="L72" s="507"/>
      <c r="M72" s="509"/>
    </row>
    <row r="73" spans="1:13">
      <c r="A73" s="489"/>
      <c r="B73" s="438"/>
      <c r="C73" s="438"/>
      <c r="D73" s="438"/>
      <c r="E73" s="438"/>
      <c r="F73" s="438"/>
      <c r="G73" s="438"/>
      <c r="H73" s="438"/>
      <c r="I73" s="438"/>
      <c r="J73" s="438"/>
      <c r="K73" s="438"/>
      <c r="L73" s="438"/>
      <c r="M73" s="439"/>
    </row>
    <row r="74" spans="1:13" ht="14.25">
      <c r="A74" s="489"/>
      <c r="B74" s="438"/>
      <c r="C74" s="438"/>
      <c r="D74" s="438"/>
      <c r="E74" s="438"/>
      <c r="F74" s="438"/>
      <c r="G74" s="438"/>
      <c r="H74" s="438"/>
      <c r="I74" s="646" t="s">
        <v>820</v>
      </c>
      <c r="J74" s="656">
        <v>34</v>
      </c>
      <c r="K74" s="646" t="s">
        <v>821</v>
      </c>
      <c r="L74" s="654" t="s">
        <v>822</v>
      </c>
      <c r="M74" s="439"/>
    </row>
    <row r="75" spans="1:13">
      <c r="A75" s="664" t="s">
        <v>1753</v>
      </c>
      <c r="B75" s="658" t="s">
        <v>824</v>
      </c>
      <c r="C75" s="438"/>
      <c r="D75" s="438"/>
      <c r="E75" s="438"/>
      <c r="F75" s="438"/>
      <c r="G75" s="438"/>
      <c r="H75" s="438"/>
      <c r="I75" s="438"/>
      <c r="J75" s="438"/>
      <c r="K75" s="438"/>
      <c r="L75" s="438"/>
      <c r="M75" s="439"/>
    </row>
    <row r="76" spans="1:13" ht="25.5">
      <c r="A76" s="659" t="s">
        <v>825</v>
      </c>
      <c r="B76" s="660" t="s">
        <v>826</v>
      </c>
      <c r="C76" s="438"/>
      <c r="D76" s="438"/>
      <c r="E76" s="438"/>
      <c r="F76" s="438"/>
      <c r="G76" s="438"/>
      <c r="H76" s="438"/>
      <c r="I76" s="664" t="s">
        <v>829</v>
      </c>
      <c r="J76" s="658" t="s">
        <v>824</v>
      </c>
      <c r="K76" s="438"/>
      <c r="L76" s="438"/>
      <c r="M76" s="439"/>
    </row>
    <row r="77" spans="1:13" ht="25.5">
      <c r="A77" s="661">
        <v>1</v>
      </c>
      <c r="B77" s="662"/>
      <c r="C77" s="438"/>
      <c r="D77" s="438"/>
      <c r="E77" s="438"/>
      <c r="F77" s="438"/>
      <c r="G77" s="438"/>
      <c r="H77" s="438"/>
      <c r="I77" s="660" t="s">
        <v>825</v>
      </c>
      <c r="J77" s="660" t="s">
        <v>826</v>
      </c>
      <c r="K77" s="660" t="s">
        <v>827</v>
      </c>
      <c r="L77" s="438"/>
      <c r="M77" s="439"/>
    </row>
    <row r="78" spans="1:13">
      <c r="A78" s="661">
        <v>2</v>
      </c>
      <c r="B78" s="662"/>
      <c r="C78" s="438"/>
      <c r="D78" s="438"/>
      <c r="E78" s="438"/>
      <c r="F78" s="438"/>
      <c r="G78" s="438"/>
      <c r="H78" s="438"/>
      <c r="I78" s="662">
        <v>1</v>
      </c>
      <c r="J78" s="662">
        <v>2400</v>
      </c>
      <c r="K78" s="663">
        <f>$J$74*(I78*I78)</f>
        <v>34</v>
      </c>
      <c r="L78" s="438"/>
      <c r="M78" s="439"/>
    </row>
    <row r="79" spans="1:13">
      <c r="A79" s="661">
        <v>3</v>
      </c>
      <c r="B79" s="662"/>
      <c r="C79" s="438"/>
      <c r="D79" s="438"/>
      <c r="E79" s="438"/>
      <c r="F79" s="438"/>
      <c r="G79" s="438"/>
      <c r="H79" s="438"/>
      <c r="I79" s="662">
        <v>2</v>
      </c>
      <c r="J79" s="662">
        <v>2200</v>
      </c>
      <c r="K79" s="663">
        <f t="shared" ref="K79:K84" si="10">$J$74*(I79*I79)</f>
        <v>136</v>
      </c>
      <c r="L79" s="438"/>
      <c r="M79" s="439"/>
    </row>
    <row r="80" spans="1:13">
      <c r="A80" s="661">
        <v>4</v>
      </c>
      <c r="B80" s="662">
        <v>1800</v>
      </c>
      <c r="C80" s="438"/>
      <c r="D80" s="438"/>
      <c r="E80" s="438"/>
      <c r="F80" s="438"/>
      <c r="G80" s="438"/>
      <c r="H80" s="438"/>
      <c r="I80" s="662">
        <v>3</v>
      </c>
      <c r="J80" s="662">
        <v>2050</v>
      </c>
      <c r="K80" s="663">
        <f t="shared" si="10"/>
        <v>306</v>
      </c>
      <c r="L80" s="438"/>
      <c r="M80" s="439"/>
    </row>
    <row r="81" spans="1:13">
      <c r="A81" s="661">
        <v>5</v>
      </c>
      <c r="B81" s="662">
        <v>1400</v>
      </c>
      <c r="C81" s="438"/>
      <c r="D81" s="438"/>
      <c r="E81" s="438"/>
      <c r="F81" s="438"/>
      <c r="G81" s="438"/>
      <c r="H81" s="438"/>
      <c r="I81" s="662">
        <v>4</v>
      </c>
      <c r="J81" s="662">
        <v>1800</v>
      </c>
      <c r="K81" s="663">
        <f t="shared" si="10"/>
        <v>544</v>
      </c>
      <c r="L81" s="438"/>
      <c r="M81" s="439"/>
    </row>
    <row r="82" spans="1:13">
      <c r="A82" s="661">
        <v>6</v>
      </c>
      <c r="B82" s="662">
        <v>750</v>
      </c>
      <c r="C82" s="438"/>
      <c r="D82" s="438"/>
      <c r="E82" s="438"/>
      <c r="F82" s="438"/>
      <c r="G82" s="438"/>
      <c r="H82" s="438"/>
      <c r="I82" s="662">
        <v>5</v>
      </c>
      <c r="J82" s="662">
        <v>1650</v>
      </c>
      <c r="K82" s="663">
        <f t="shared" si="10"/>
        <v>850</v>
      </c>
      <c r="L82" s="438"/>
      <c r="M82" s="439"/>
    </row>
    <row r="83" spans="1:13">
      <c r="A83" s="661">
        <v>7</v>
      </c>
      <c r="B83" s="662">
        <v>200</v>
      </c>
      <c r="C83" s="438"/>
      <c r="D83" s="438"/>
      <c r="E83" s="438"/>
      <c r="F83" s="438"/>
      <c r="G83" s="438"/>
      <c r="H83" s="438"/>
      <c r="I83" s="662">
        <v>6</v>
      </c>
      <c r="J83" s="662">
        <v>1700</v>
      </c>
      <c r="K83" s="663">
        <f t="shared" si="10"/>
        <v>1224</v>
      </c>
      <c r="L83" s="438"/>
      <c r="M83" s="439"/>
    </row>
    <row r="84" spans="1:13">
      <c r="A84" s="661"/>
      <c r="B84" s="662"/>
      <c r="C84" s="438"/>
      <c r="D84" s="438"/>
      <c r="E84" s="438"/>
      <c r="F84" s="438"/>
      <c r="G84" s="438"/>
      <c r="H84" s="438"/>
      <c r="I84" s="662">
        <v>7</v>
      </c>
      <c r="J84" s="662">
        <v>1800</v>
      </c>
      <c r="K84" s="663">
        <f t="shared" si="10"/>
        <v>1666</v>
      </c>
      <c r="L84" s="438"/>
      <c r="M84" s="439"/>
    </row>
    <row r="85" spans="1:13">
      <c r="A85" s="661"/>
      <c r="B85" s="662"/>
      <c r="C85" s="438"/>
      <c r="D85" s="438"/>
      <c r="E85" s="438"/>
      <c r="F85" s="438"/>
      <c r="G85" s="438"/>
      <c r="H85" s="438"/>
      <c r="I85" s="438"/>
      <c r="J85" s="438"/>
      <c r="K85" s="438"/>
      <c r="L85" s="438"/>
      <c r="M85" s="439"/>
    </row>
    <row r="86" spans="1:13" ht="13.5" thickBot="1">
      <c r="A86" s="488"/>
      <c r="B86" s="448"/>
      <c r="C86" s="448"/>
      <c r="D86" s="448"/>
      <c r="E86" s="448"/>
      <c r="F86" s="448"/>
      <c r="G86" s="448"/>
      <c r="H86" s="448"/>
      <c r="I86" s="448"/>
      <c r="J86" s="448"/>
      <c r="K86" s="448"/>
      <c r="L86" s="448"/>
      <c r="M86" s="450"/>
    </row>
    <row r="87" spans="1:13">
      <c r="A87" s="557"/>
      <c r="B87" s="507"/>
      <c r="C87" s="507"/>
      <c r="D87" s="507"/>
      <c r="E87" s="507"/>
      <c r="F87" s="507"/>
      <c r="G87" s="507"/>
      <c r="H87" s="507"/>
      <c r="I87" s="507"/>
      <c r="J87" s="507"/>
      <c r="K87" s="507"/>
      <c r="L87" s="507"/>
      <c r="M87" s="509"/>
    </row>
    <row r="88" spans="1:13" ht="14.25">
      <c r="A88" s="489"/>
      <c r="B88" s="438"/>
      <c r="C88" s="438"/>
      <c r="D88" s="438"/>
      <c r="E88" s="438"/>
      <c r="F88" s="438"/>
      <c r="G88" s="438"/>
      <c r="H88" s="438"/>
      <c r="I88" s="646" t="s">
        <v>820</v>
      </c>
      <c r="J88" s="656">
        <v>34</v>
      </c>
      <c r="K88" s="646" t="s">
        <v>821</v>
      </c>
      <c r="L88" s="654" t="s">
        <v>822</v>
      </c>
      <c r="M88" s="439"/>
    </row>
    <row r="89" spans="1:13">
      <c r="A89" s="489"/>
      <c r="B89" s="438"/>
      <c r="C89" s="438"/>
      <c r="D89" s="438"/>
      <c r="E89" s="438"/>
      <c r="F89" s="438"/>
      <c r="G89" s="438"/>
      <c r="H89" s="438"/>
      <c r="I89" s="438"/>
      <c r="J89" s="438"/>
      <c r="K89" s="438"/>
      <c r="L89" s="438"/>
      <c r="M89" s="439"/>
    </row>
    <row r="90" spans="1:13">
      <c r="A90" s="489"/>
      <c r="B90" s="438"/>
      <c r="C90" s="438"/>
      <c r="D90" s="438"/>
      <c r="E90" s="438"/>
      <c r="F90" s="438"/>
      <c r="G90" s="438"/>
      <c r="H90" s="438"/>
      <c r="I90" s="664" t="s">
        <v>830</v>
      </c>
      <c r="J90" s="658" t="s">
        <v>824</v>
      </c>
      <c r="K90" s="438"/>
      <c r="L90" s="438"/>
      <c r="M90" s="439"/>
    </row>
    <row r="91" spans="1:13" ht="25.5">
      <c r="A91" s="664" t="s">
        <v>1754</v>
      </c>
      <c r="B91" s="658" t="s">
        <v>824</v>
      </c>
      <c r="C91" s="438"/>
      <c r="D91" s="438"/>
      <c r="E91" s="438"/>
      <c r="F91" s="438"/>
      <c r="G91" s="438"/>
      <c r="H91" s="438"/>
      <c r="I91" s="660" t="s">
        <v>825</v>
      </c>
      <c r="J91" s="660" t="s">
        <v>826</v>
      </c>
      <c r="K91" s="660" t="s">
        <v>827</v>
      </c>
      <c r="L91" s="438"/>
      <c r="M91" s="439"/>
    </row>
    <row r="92" spans="1:13" ht="25.5">
      <c r="A92" s="659" t="s">
        <v>825</v>
      </c>
      <c r="B92" s="660" t="s">
        <v>826</v>
      </c>
      <c r="C92" s="438"/>
      <c r="D92" s="438"/>
      <c r="E92" s="438"/>
      <c r="F92" s="438"/>
      <c r="G92" s="438"/>
      <c r="H92" s="438"/>
      <c r="I92" s="662">
        <v>1</v>
      </c>
      <c r="J92" s="662">
        <v>2400</v>
      </c>
      <c r="K92" s="663">
        <f>$J$88*(I92*I92)</f>
        <v>34</v>
      </c>
      <c r="L92" s="438"/>
      <c r="M92" s="439"/>
    </row>
    <row r="93" spans="1:13">
      <c r="A93" s="661">
        <v>1</v>
      </c>
      <c r="B93" s="662"/>
      <c r="C93" s="438"/>
      <c r="D93" s="438"/>
      <c r="E93" s="438"/>
      <c r="F93" s="438"/>
      <c r="G93" s="438"/>
      <c r="H93" s="438"/>
      <c r="I93" s="662">
        <v>2</v>
      </c>
      <c r="J93" s="662">
        <v>2200</v>
      </c>
      <c r="K93" s="663">
        <f t="shared" ref="K93:K99" si="11">$J$88*(I93*I93)</f>
        <v>136</v>
      </c>
      <c r="L93" s="438"/>
      <c r="M93" s="439"/>
    </row>
    <row r="94" spans="1:13">
      <c r="A94" s="661">
        <v>2</v>
      </c>
      <c r="B94" s="662"/>
      <c r="C94" s="438"/>
      <c r="D94" s="438"/>
      <c r="E94" s="438"/>
      <c r="F94" s="438"/>
      <c r="G94" s="438"/>
      <c r="H94" s="438"/>
      <c r="I94" s="662">
        <v>3</v>
      </c>
      <c r="J94" s="662">
        <v>2050</v>
      </c>
      <c r="K94" s="663">
        <f t="shared" si="11"/>
        <v>306</v>
      </c>
      <c r="L94" s="438"/>
      <c r="M94" s="439"/>
    </row>
    <row r="95" spans="1:13">
      <c r="A95" s="661">
        <v>3</v>
      </c>
      <c r="B95" s="662"/>
      <c r="C95" s="438"/>
      <c r="D95" s="438"/>
      <c r="E95" s="438"/>
      <c r="F95" s="438"/>
      <c r="G95" s="438"/>
      <c r="H95" s="438"/>
      <c r="I95" s="662">
        <v>4</v>
      </c>
      <c r="J95" s="662">
        <v>1800</v>
      </c>
      <c r="K95" s="663">
        <f t="shared" si="11"/>
        <v>544</v>
      </c>
      <c r="L95" s="438"/>
      <c r="M95" s="439"/>
    </row>
    <row r="96" spans="1:13">
      <c r="A96" s="661">
        <v>4</v>
      </c>
      <c r="B96" s="662">
        <v>2000</v>
      </c>
      <c r="C96" s="438"/>
      <c r="D96" s="438"/>
      <c r="E96" s="438"/>
      <c r="F96" s="438"/>
      <c r="G96" s="438"/>
      <c r="H96" s="438"/>
      <c r="I96" s="662">
        <v>5</v>
      </c>
      <c r="J96" s="662">
        <v>1650</v>
      </c>
      <c r="K96" s="663">
        <f t="shared" si="11"/>
        <v>850</v>
      </c>
      <c r="L96" s="438"/>
      <c r="M96" s="439"/>
    </row>
    <row r="97" spans="1:13">
      <c r="A97" s="661">
        <v>5</v>
      </c>
      <c r="B97" s="662">
        <v>1950</v>
      </c>
      <c r="C97" s="438"/>
      <c r="D97" s="438"/>
      <c r="E97" s="438"/>
      <c r="F97" s="438"/>
      <c r="G97" s="438"/>
      <c r="H97" s="438"/>
      <c r="I97" s="662">
        <v>6</v>
      </c>
      <c r="J97" s="662">
        <v>1700</v>
      </c>
      <c r="K97" s="663">
        <f t="shared" si="11"/>
        <v>1224</v>
      </c>
      <c r="L97" s="438"/>
      <c r="M97" s="439"/>
    </row>
    <row r="98" spans="1:13">
      <c r="A98" s="661">
        <v>6</v>
      </c>
      <c r="B98" s="662">
        <v>1750</v>
      </c>
      <c r="C98" s="438"/>
      <c r="D98" s="438"/>
      <c r="E98" s="438"/>
      <c r="F98" s="438"/>
      <c r="G98" s="438"/>
      <c r="H98" s="438"/>
      <c r="I98" s="662">
        <v>7</v>
      </c>
      <c r="J98" s="662">
        <v>1800</v>
      </c>
      <c r="K98" s="663">
        <f t="shared" si="11"/>
        <v>1666</v>
      </c>
      <c r="L98" s="438"/>
      <c r="M98" s="439"/>
    </row>
    <row r="99" spans="1:13">
      <c r="A99" s="661">
        <v>7</v>
      </c>
      <c r="B99" s="662">
        <v>1350</v>
      </c>
      <c r="C99" s="438"/>
      <c r="D99" s="438"/>
      <c r="E99" s="438"/>
      <c r="F99" s="438"/>
      <c r="G99" s="438"/>
      <c r="H99" s="438"/>
      <c r="I99" s="662">
        <v>8</v>
      </c>
      <c r="J99" s="662">
        <v>1700</v>
      </c>
      <c r="K99" s="663">
        <f t="shared" si="11"/>
        <v>2176</v>
      </c>
      <c r="L99" s="438"/>
      <c r="M99" s="439"/>
    </row>
    <row r="100" spans="1:13">
      <c r="A100" s="661">
        <v>8</v>
      </c>
      <c r="B100" s="662">
        <v>650</v>
      </c>
      <c r="C100" s="438"/>
      <c r="D100" s="438"/>
      <c r="E100" s="438"/>
      <c r="F100" s="438"/>
      <c r="G100" s="438"/>
      <c r="H100" s="438"/>
      <c r="I100" s="512"/>
      <c r="J100" s="512"/>
      <c r="K100" s="665"/>
      <c r="L100" s="438"/>
      <c r="M100" s="439"/>
    </row>
    <row r="101" spans="1:13">
      <c r="A101" s="661">
        <v>8.5</v>
      </c>
      <c r="B101" s="662">
        <v>0</v>
      </c>
      <c r="C101" s="438"/>
      <c r="D101" s="438"/>
      <c r="E101" s="438"/>
      <c r="F101" s="438"/>
      <c r="G101" s="438"/>
      <c r="H101" s="438"/>
      <c r="I101" s="512"/>
      <c r="J101" s="512"/>
      <c r="K101" s="665"/>
      <c r="L101" s="438"/>
      <c r="M101" s="439"/>
    </row>
    <row r="102" spans="1:13">
      <c r="A102" s="661"/>
      <c r="B102" s="662"/>
      <c r="C102" s="438"/>
      <c r="D102" s="438"/>
      <c r="E102" s="438"/>
      <c r="F102" s="438"/>
      <c r="G102" s="438"/>
      <c r="H102" s="438"/>
      <c r="I102" s="512"/>
      <c r="J102" s="512"/>
      <c r="K102" s="665"/>
      <c r="L102" s="438"/>
      <c r="M102" s="439"/>
    </row>
    <row r="103" spans="1:13">
      <c r="A103" s="489"/>
      <c r="B103" s="438"/>
      <c r="C103" s="438"/>
      <c r="D103" s="438"/>
      <c r="E103" s="438"/>
      <c r="F103" s="438"/>
      <c r="G103" s="438"/>
      <c r="H103" s="438"/>
      <c r="I103" s="512"/>
      <c r="J103" s="512"/>
      <c r="K103" s="665"/>
      <c r="L103" s="438"/>
      <c r="M103" s="439"/>
    </row>
    <row r="104" spans="1:13">
      <c r="A104" s="489"/>
      <c r="B104" s="438"/>
      <c r="C104" s="438"/>
      <c r="D104" s="438"/>
      <c r="E104" s="438"/>
      <c r="F104" s="438"/>
      <c r="G104" s="438"/>
      <c r="H104" s="438"/>
      <c r="I104" s="512"/>
      <c r="J104" s="512"/>
      <c r="K104" s="665"/>
      <c r="L104" s="438"/>
      <c r="M104" s="439"/>
    </row>
    <row r="105" spans="1:13" ht="13.5" thickBot="1">
      <c r="A105" s="488"/>
      <c r="B105" s="448"/>
      <c r="C105" s="448"/>
      <c r="D105" s="448"/>
      <c r="E105" s="448"/>
      <c r="F105" s="448"/>
      <c r="G105" s="448"/>
      <c r="H105" s="448"/>
      <c r="I105" s="447"/>
      <c r="J105" s="447"/>
      <c r="K105" s="666"/>
      <c r="L105" s="448"/>
      <c r="M105" s="450"/>
    </row>
    <row r="106" spans="1:13">
      <c r="A106" s="557"/>
      <c r="B106" s="507"/>
      <c r="C106" s="507"/>
      <c r="D106" s="507"/>
      <c r="E106" s="507"/>
      <c r="F106" s="507"/>
      <c r="G106" s="507"/>
      <c r="H106" s="507"/>
      <c r="I106" s="507"/>
      <c r="J106" s="507"/>
      <c r="K106" s="507"/>
      <c r="L106" s="507"/>
      <c r="M106" s="509"/>
    </row>
    <row r="107" spans="1:13">
      <c r="A107" s="489"/>
      <c r="B107" s="438"/>
      <c r="C107" s="438"/>
      <c r="D107" s="438"/>
      <c r="E107" s="438"/>
      <c r="F107" s="438"/>
      <c r="G107" s="438"/>
      <c r="H107" s="438"/>
      <c r="I107" s="438"/>
      <c r="J107" s="438"/>
      <c r="K107" s="438"/>
      <c r="L107" s="438"/>
      <c r="M107" s="439"/>
    </row>
    <row r="108" spans="1:13" ht="14.25">
      <c r="A108" s="489"/>
      <c r="B108" s="438"/>
      <c r="C108" s="438"/>
      <c r="D108" s="438"/>
      <c r="E108" s="438"/>
      <c r="F108" s="438"/>
      <c r="G108" s="438"/>
      <c r="H108" s="438"/>
      <c r="I108" s="646" t="s">
        <v>820</v>
      </c>
      <c r="J108" s="656">
        <v>34</v>
      </c>
      <c r="K108" s="646" t="s">
        <v>821</v>
      </c>
      <c r="L108" s="654" t="s">
        <v>822</v>
      </c>
      <c r="M108" s="439"/>
    </row>
    <row r="109" spans="1:13">
      <c r="A109" s="489"/>
      <c r="B109" s="438"/>
      <c r="C109" s="438"/>
      <c r="D109" s="438"/>
      <c r="E109" s="438"/>
      <c r="F109" s="438"/>
      <c r="G109" s="438"/>
      <c r="H109" s="438"/>
      <c r="I109" s="438"/>
      <c r="J109" s="438"/>
      <c r="K109" s="438"/>
      <c r="L109" s="438"/>
      <c r="M109" s="439"/>
    </row>
    <row r="110" spans="1:13">
      <c r="A110" s="489"/>
      <c r="B110" s="438"/>
      <c r="C110" s="438"/>
      <c r="D110" s="438"/>
      <c r="E110" s="438"/>
      <c r="F110" s="438"/>
      <c r="G110" s="438"/>
      <c r="H110" s="438"/>
      <c r="I110" s="667" t="s">
        <v>831</v>
      </c>
      <c r="J110" s="658" t="s">
        <v>824</v>
      </c>
      <c r="K110" s="438"/>
      <c r="L110" s="438"/>
      <c r="M110" s="439"/>
    </row>
    <row r="111" spans="1:13" ht="25.5">
      <c r="A111" s="668" t="s">
        <v>1755</v>
      </c>
      <c r="B111" s="658" t="s">
        <v>824</v>
      </c>
      <c r="C111" s="438"/>
      <c r="D111" s="438"/>
      <c r="E111" s="438"/>
      <c r="F111" s="438"/>
      <c r="G111" s="438"/>
      <c r="H111" s="438"/>
      <c r="I111" s="660" t="s">
        <v>825</v>
      </c>
      <c r="J111" s="660" t="s">
        <v>826</v>
      </c>
      <c r="K111" s="660" t="s">
        <v>827</v>
      </c>
      <c r="L111" s="438"/>
      <c r="M111" s="439"/>
    </row>
    <row r="112" spans="1:13" ht="25.5">
      <c r="A112" s="659" t="s">
        <v>825</v>
      </c>
      <c r="B112" s="660" t="s">
        <v>826</v>
      </c>
      <c r="C112" s="438"/>
      <c r="D112" s="438"/>
      <c r="E112" s="438"/>
      <c r="F112" s="438"/>
      <c r="G112" s="438"/>
      <c r="H112" s="438"/>
      <c r="I112" s="662">
        <v>1</v>
      </c>
      <c r="J112" s="662">
        <v>2400</v>
      </c>
      <c r="K112" s="663">
        <f>$J$108*(I112*I112)</f>
        <v>34</v>
      </c>
      <c r="L112" s="438"/>
      <c r="M112" s="439"/>
    </row>
    <row r="113" spans="1:13">
      <c r="A113" s="661">
        <v>1</v>
      </c>
      <c r="B113" s="662">
        <v>2400</v>
      </c>
      <c r="C113" s="438"/>
      <c r="D113" s="438"/>
      <c r="E113" s="438"/>
      <c r="F113" s="438"/>
      <c r="G113" s="438"/>
      <c r="H113" s="438"/>
      <c r="I113" s="662">
        <v>2</v>
      </c>
      <c r="J113" s="662">
        <v>2200</v>
      </c>
      <c r="K113" s="663">
        <f t="shared" ref="K113:K120" si="12">$J$108*(I113*I113)</f>
        <v>136</v>
      </c>
      <c r="L113" s="438"/>
      <c r="M113" s="439"/>
    </row>
    <row r="114" spans="1:13">
      <c r="A114" s="661">
        <v>2</v>
      </c>
      <c r="B114" s="662">
        <v>2200</v>
      </c>
      <c r="C114" s="438"/>
      <c r="D114" s="438"/>
      <c r="E114" s="438"/>
      <c r="F114" s="438"/>
      <c r="G114" s="438"/>
      <c r="H114" s="438"/>
      <c r="I114" s="662">
        <v>3</v>
      </c>
      <c r="J114" s="662">
        <v>2050</v>
      </c>
      <c r="K114" s="663">
        <f t="shared" si="12"/>
        <v>306</v>
      </c>
      <c r="L114" s="438"/>
      <c r="M114" s="439"/>
    </row>
    <row r="115" spans="1:13">
      <c r="A115" s="661">
        <v>3</v>
      </c>
      <c r="B115" s="662">
        <v>2050</v>
      </c>
      <c r="C115" s="438"/>
      <c r="D115" s="438"/>
      <c r="E115" s="438"/>
      <c r="F115" s="438"/>
      <c r="G115" s="438"/>
      <c r="H115" s="438"/>
      <c r="I115" s="662">
        <v>4</v>
      </c>
      <c r="J115" s="662">
        <v>1800</v>
      </c>
      <c r="K115" s="663">
        <f t="shared" si="12"/>
        <v>544</v>
      </c>
      <c r="L115" s="438"/>
      <c r="M115" s="439"/>
    </row>
    <row r="116" spans="1:13">
      <c r="A116" s="661">
        <v>4</v>
      </c>
      <c r="B116" s="662">
        <v>1800</v>
      </c>
      <c r="C116" s="438"/>
      <c r="D116" s="438"/>
      <c r="E116" s="438"/>
      <c r="F116" s="438"/>
      <c r="G116" s="438"/>
      <c r="H116" s="438"/>
      <c r="I116" s="662">
        <v>5</v>
      </c>
      <c r="J116" s="662">
        <v>1650</v>
      </c>
      <c r="K116" s="663">
        <f t="shared" si="12"/>
        <v>850</v>
      </c>
      <c r="L116" s="438"/>
      <c r="M116" s="439"/>
    </row>
    <row r="117" spans="1:13">
      <c r="A117" s="661">
        <v>5</v>
      </c>
      <c r="B117" s="662">
        <v>1650</v>
      </c>
      <c r="C117" s="438"/>
      <c r="D117" s="438"/>
      <c r="E117" s="438"/>
      <c r="F117" s="438"/>
      <c r="G117" s="438"/>
      <c r="H117" s="438"/>
      <c r="I117" s="662">
        <v>6</v>
      </c>
      <c r="J117" s="662">
        <v>1700</v>
      </c>
      <c r="K117" s="663">
        <f t="shared" si="12"/>
        <v>1224</v>
      </c>
      <c r="L117" s="438"/>
      <c r="M117" s="439"/>
    </row>
    <row r="118" spans="1:13">
      <c r="A118" s="661">
        <v>6</v>
      </c>
      <c r="B118" s="662">
        <v>1700</v>
      </c>
      <c r="C118" s="438"/>
      <c r="D118" s="438"/>
      <c r="E118" s="438"/>
      <c r="F118" s="438"/>
      <c r="G118" s="438"/>
      <c r="H118" s="438"/>
      <c r="I118" s="662">
        <v>7</v>
      </c>
      <c r="J118" s="662">
        <v>1800</v>
      </c>
      <c r="K118" s="663">
        <f>$J$108*(I118*I118)</f>
        <v>1666</v>
      </c>
      <c r="L118" s="438"/>
      <c r="M118" s="439"/>
    </row>
    <row r="119" spans="1:13">
      <c r="A119" s="661">
        <v>7</v>
      </c>
      <c r="B119" s="662">
        <v>1800</v>
      </c>
      <c r="C119" s="438"/>
      <c r="D119" s="438"/>
      <c r="E119" s="438"/>
      <c r="F119" s="438"/>
      <c r="G119" s="438"/>
      <c r="H119" s="438"/>
      <c r="I119" s="662">
        <v>8</v>
      </c>
      <c r="J119" s="662">
        <v>1700</v>
      </c>
      <c r="K119" s="663">
        <f t="shared" si="12"/>
        <v>2176</v>
      </c>
      <c r="L119" s="438"/>
      <c r="M119" s="439"/>
    </row>
    <row r="120" spans="1:13">
      <c r="A120" s="661">
        <v>8</v>
      </c>
      <c r="B120" s="662">
        <v>1700</v>
      </c>
      <c r="C120" s="438"/>
      <c r="D120" s="438"/>
      <c r="E120" s="438"/>
      <c r="F120" s="438"/>
      <c r="G120" s="438"/>
      <c r="H120" s="438"/>
      <c r="I120" s="662">
        <v>9</v>
      </c>
      <c r="J120" s="662">
        <v>1300</v>
      </c>
      <c r="K120" s="663">
        <f t="shared" si="12"/>
        <v>2754</v>
      </c>
      <c r="L120" s="438"/>
      <c r="M120" s="439"/>
    </row>
    <row r="121" spans="1:13">
      <c r="A121" s="661">
        <v>9</v>
      </c>
      <c r="B121" s="662">
        <v>1300</v>
      </c>
      <c r="C121" s="438"/>
      <c r="D121" s="438"/>
      <c r="E121" s="438"/>
      <c r="F121" s="438"/>
      <c r="G121" s="438"/>
      <c r="H121" s="438"/>
      <c r="I121" s="662">
        <v>10</v>
      </c>
      <c r="J121" s="662">
        <v>800</v>
      </c>
      <c r="K121" s="663"/>
      <c r="L121" s="438"/>
      <c r="M121" s="439"/>
    </row>
    <row r="122" spans="1:13">
      <c r="A122" s="661">
        <v>10</v>
      </c>
      <c r="B122" s="662">
        <v>800</v>
      </c>
      <c r="C122" s="438"/>
      <c r="D122" s="438"/>
      <c r="E122" s="438"/>
      <c r="F122" s="438"/>
      <c r="G122" s="438"/>
      <c r="H122" s="438"/>
      <c r="I122" s="662">
        <v>11</v>
      </c>
      <c r="J122" s="662">
        <v>0</v>
      </c>
      <c r="K122" s="663"/>
      <c r="L122" s="438"/>
      <c r="M122" s="439"/>
    </row>
    <row r="123" spans="1:13">
      <c r="A123" s="661">
        <v>11</v>
      </c>
      <c r="B123" s="662">
        <v>0</v>
      </c>
      <c r="C123" s="438"/>
      <c r="D123" s="438"/>
      <c r="E123" s="438"/>
      <c r="F123" s="438"/>
      <c r="G123" s="438"/>
      <c r="H123" s="438"/>
      <c r="I123" s="662"/>
      <c r="J123" s="662"/>
      <c r="K123" s="663"/>
      <c r="L123" s="438"/>
      <c r="M123" s="439"/>
    </row>
    <row r="124" spans="1:13">
      <c r="A124" s="481"/>
      <c r="B124" s="512"/>
      <c r="C124" s="438"/>
      <c r="D124" s="438"/>
      <c r="E124" s="438"/>
      <c r="F124" s="438"/>
      <c r="G124" s="438"/>
      <c r="H124" s="438"/>
      <c r="I124" s="662"/>
      <c r="J124" s="662"/>
      <c r="K124" s="663"/>
      <c r="L124" s="438"/>
      <c r="M124" s="439"/>
    </row>
    <row r="125" spans="1:13">
      <c r="A125" s="481"/>
      <c r="B125" s="512"/>
      <c r="C125" s="438"/>
      <c r="D125" s="438"/>
      <c r="E125" s="438"/>
      <c r="F125" s="438"/>
      <c r="G125" s="438"/>
      <c r="H125" s="438"/>
      <c r="I125" s="662"/>
      <c r="J125" s="662"/>
      <c r="K125" s="663"/>
      <c r="L125" s="438"/>
      <c r="M125" s="439"/>
    </row>
    <row r="126" spans="1:13">
      <c r="A126" s="481"/>
      <c r="B126" s="512"/>
      <c r="C126" s="438"/>
      <c r="D126" s="438"/>
      <c r="E126" s="438"/>
      <c r="F126" s="438"/>
      <c r="G126" s="438"/>
      <c r="H126" s="438"/>
      <c r="I126" s="512"/>
      <c r="J126" s="512"/>
      <c r="K126" s="438"/>
      <c r="L126" s="438"/>
      <c r="M126" s="439"/>
    </row>
    <row r="127" spans="1:13">
      <c r="A127" s="481"/>
      <c r="B127" s="512"/>
      <c r="C127" s="438"/>
      <c r="D127" s="438"/>
      <c r="E127" s="438"/>
      <c r="F127" s="438"/>
      <c r="G127" s="438"/>
      <c r="H127" s="438"/>
      <c r="I127" s="512"/>
      <c r="J127" s="512"/>
      <c r="K127" s="438"/>
      <c r="L127" s="438"/>
      <c r="M127" s="439"/>
    </row>
    <row r="128" spans="1:13">
      <c r="A128" s="489"/>
      <c r="B128" s="438"/>
      <c r="C128" s="438"/>
      <c r="D128" s="438"/>
      <c r="E128" s="438"/>
      <c r="F128" s="438"/>
      <c r="G128" s="438"/>
      <c r="H128" s="438"/>
      <c r="I128" s="512"/>
      <c r="J128" s="512"/>
      <c r="K128" s="438"/>
      <c r="L128" s="438"/>
      <c r="M128" s="439"/>
    </row>
    <row r="129" spans="1:17">
      <c r="A129" s="489"/>
      <c r="B129" s="438"/>
      <c r="C129" s="438"/>
      <c r="D129" s="438"/>
      <c r="E129" s="438"/>
      <c r="F129" s="438"/>
      <c r="G129" s="438"/>
      <c r="H129" s="438"/>
      <c r="I129" s="512"/>
      <c r="J129" s="512"/>
      <c r="K129" s="438"/>
      <c r="L129" s="438"/>
      <c r="M129" s="439"/>
    </row>
    <row r="130" spans="1:17" ht="13.5" thickBot="1">
      <c r="A130" s="488"/>
      <c r="B130" s="448"/>
      <c r="C130" s="448"/>
      <c r="D130" s="448"/>
      <c r="E130" s="448"/>
      <c r="F130" s="448"/>
      <c r="G130" s="448"/>
      <c r="H130" s="448"/>
      <c r="I130" s="447"/>
      <c r="J130" s="447"/>
      <c r="K130" s="448"/>
      <c r="L130" s="448"/>
      <c r="M130" s="450"/>
    </row>
    <row r="131" spans="1:17">
      <c r="A131" s="557"/>
      <c r="B131" s="507"/>
      <c r="C131" s="507"/>
      <c r="D131" s="507"/>
      <c r="E131" s="507"/>
      <c r="F131" s="507"/>
      <c r="G131" s="507"/>
      <c r="H131" s="507"/>
      <c r="I131" s="669"/>
      <c r="J131" s="669"/>
      <c r="K131" s="507"/>
      <c r="L131" s="507"/>
      <c r="M131" s="507"/>
      <c r="N131" s="507"/>
      <c r="O131" s="507"/>
      <c r="P131" s="507"/>
      <c r="Q131" s="509"/>
    </row>
    <row r="132" spans="1:17">
      <c r="A132" s="489"/>
      <c r="B132" s="438"/>
      <c r="C132" s="438"/>
      <c r="D132" s="438"/>
      <c r="E132" s="438"/>
      <c r="F132" s="438"/>
      <c r="G132" s="438"/>
      <c r="H132" s="438"/>
      <c r="I132" s="438"/>
      <c r="J132" s="438"/>
      <c r="K132" s="438"/>
      <c r="L132" s="438"/>
      <c r="M132" s="438"/>
      <c r="N132" s="438"/>
      <c r="O132" s="438"/>
      <c r="P132" s="438"/>
      <c r="Q132" s="439"/>
    </row>
    <row r="133" spans="1:17" ht="14.25">
      <c r="A133" s="489"/>
      <c r="B133" s="438"/>
      <c r="C133" s="438"/>
      <c r="D133" s="438"/>
      <c r="E133" s="438"/>
      <c r="F133" s="438"/>
      <c r="G133" s="438"/>
      <c r="H133" s="438"/>
      <c r="I133" s="646" t="s">
        <v>820</v>
      </c>
      <c r="J133" s="656">
        <v>239</v>
      </c>
      <c r="K133" s="646" t="s">
        <v>821</v>
      </c>
      <c r="L133" s="654" t="s">
        <v>822</v>
      </c>
      <c r="M133" s="438"/>
      <c r="N133" s="438"/>
      <c r="O133" s="438"/>
      <c r="P133" s="438"/>
      <c r="Q133" s="439"/>
    </row>
    <row r="134" spans="1:17">
      <c r="A134" s="489"/>
      <c r="B134" s="438"/>
      <c r="C134" s="438"/>
      <c r="D134" s="438"/>
      <c r="E134" s="438"/>
      <c r="F134" s="438"/>
      <c r="G134" s="438"/>
      <c r="H134" s="438"/>
      <c r="I134" s="438"/>
      <c r="J134" s="438"/>
      <c r="K134" s="438"/>
      <c r="L134" s="438"/>
      <c r="M134" s="438"/>
      <c r="N134" s="438"/>
      <c r="O134" s="438"/>
      <c r="P134" s="438"/>
      <c r="Q134" s="439"/>
    </row>
    <row r="135" spans="1:17">
      <c r="A135" s="670" t="s">
        <v>1756</v>
      </c>
      <c r="B135" s="658" t="s">
        <v>824</v>
      </c>
      <c r="C135" s="438"/>
      <c r="D135" s="438"/>
      <c r="E135" s="438"/>
      <c r="F135" s="438"/>
      <c r="G135" s="438"/>
      <c r="H135" s="438"/>
      <c r="I135" s="438"/>
      <c r="J135" s="438"/>
      <c r="K135" s="438"/>
      <c r="L135" s="438"/>
      <c r="M135" s="438"/>
      <c r="N135" s="438"/>
      <c r="O135" s="438"/>
      <c r="P135" s="438"/>
      <c r="Q135" s="439"/>
    </row>
    <row r="136" spans="1:17" ht="25.5">
      <c r="A136" s="659" t="s">
        <v>825</v>
      </c>
      <c r="B136" s="660" t="s">
        <v>826</v>
      </c>
      <c r="C136" s="438"/>
      <c r="D136" s="438"/>
      <c r="E136" s="438"/>
      <c r="F136" s="438"/>
      <c r="G136" s="438"/>
      <c r="H136" s="438"/>
      <c r="I136" s="671" t="s">
        <v>832</v>
      </c>
      <c r="J136" s="658" t="s">
        <v>824</v>
      </c>
      <c r="K136" s="438"/>
      <c r="L136" s="438"/>
      <c r="M136" s="438"/>
      <c r="N136" s="438"/>
      <c r="O136" s="438"/>
      <c r="P136" s="438"/>
      <c r="Q136" s="439"/>
    </row>
    <row r="137" spans="1:17" ht="25.5">
      <c r="A137" s="661">
        <v>1</v>
      </c>
      <c r="B137" s="662">
        <v>3500</v>
      </c>
      <c r="C137" s="438"/>
      <c r="D137" s="438"/>
      <c r="E137" s="438"/>
      <c r="F137" s="438"/>
      <c r="G137" s="438"/>
      <c r="H137" s="438"/>
      <c r="I137" s="660" t="s">
        <v>825</v>
      </c>
      <c r="J137" s="660" t="s">
        <v>826</v>
      </c>
      <c r="K137" s="660" t="s">
        <v>827</v>
      </c>
      <c r="L137" s="438"/>
      <c r="M137" s="438"/>
      <c r="N137" s="438"/>
      <c r="O137" s="438"/>
      <c r="P137" s="438"/>
      <c r="Q137" s="439"/>
    </row>
    <row r="138" spans="1:17">
      <c r="A138" s="661">
        <v>2</v>
      </c>
      <c r="B138" s="662">
        <v>3300</v>
      </c>
      <c r="C138" s="438"/>
      <c r="D138" s="438"/>
      <c r="E138" s="438"/>
      <c r="F138" s="438"/>
      <c r="G138" s="438"/>
      <c r="H138" s="438"/>
      <c r="I138" s="662">
        <v>1</v>
      </c>
      <c r="J138" s="662"/>
      <c r="K138" s="663">
        <f>$J$133*(I138*I138)</f>
        <v>239</v>
      </c>
      <c r="L138" s="438"/>
      <c r="M138" s="438"/>
      <c r="N138" s="438"/>
      <c r="O138" s="438"/>
      <c r="P138" s="438"/>
      <c r="Q138" s="439"/>
    </row>
    <row r="139" spans="1:17">
      <c r="A139" s="661">
        <v>3</v>
      </c>
      <c r="B139" s="662">
        <v>2900</v>
      </c>
      <c r="C139" s="438"/>
      <c r="D139" s="438"/>
      <c r="E139" s="438"/>
      <c r="F139" s="438"/>
      <c r="G139" s="438"/>
      <c r="H139" s="438"/>
      <c r="I139" s="662">
        <v>2</v>
      </c>
      <c r="J139" s="662"/>
      <c r="K139" s="663">
        <f t="shared" ref="K139:K152" si="13">$J$133*(I139*I139)</f>
        <v>956</v>
      </c>
      <c r="L139" s="438"/>
      <c r="M139" s="438"/>
      <c r="N139" s="438"/>
      <c r="O139" s="438"/>
      <c r="P139" s="438"/>
      <c r="Q139" s="439"/>
    </row>
    <row r="140" spans="1:17">
      <c r="A140" s="661">
        <v>4</v>
      </c>
      <c r="B140" s="662">
        <v>2600</v>
      </c>
      <c r="C140" s="438"/>
      <c r="D140" s="438"/>
      <c r="E140" s="438"/>
      <c r="F140" s="438"/>
      <c r="G140" s="438"/>
      <c r="H140" s="438"/>
      <c r="I140" s="662">
        <v>3</v>
      </c>
      <c r="J140" s="662"/>
      <c r="K140" s="663">
        <f t="shared" si="13"/>
        <v>2151</v>
      </c>
      <c r="L140" s="438"/>
      <c r="M140" s="438"/>
      <c r="N140" s="438"/>
      <c r="O140" s="438"/>
      <c r="P140" s="438"/>
      <c r="Q140" s="439"/>
    </row>
    <row r="141" spans="1:17">
      <c r="A141" s="661">
        <v>5</v>
      </c>
      <c r="B141" s="662">
        <v>2300</v>
      </c>
      <c r="C141" s="438"/>
      <c r="D141" s="438"/>
      <c r="E141" s="438"/>
      <c r="F141" s="438"/>
      <c r="G141" s="438"/>
      <c r="H141" s="438"/>
      <c r="I141" s="662">
        <v>4</v>
      </c>
      <c r="J141" s="662"/>
      <c r="K141" s="663">
        <f t="shared" si="13"/>
        <v>3824</v>
      </c>
      <c r="L141" s="438"/>
      <c r="M141" s="438"/>
      <c r="N141" s="438"/>
      <c r="O141" s="438"/>
      <c r="P141" s="438"/>
      <c r="Q141" s="439"/>
    </row>
    <row r="142" spans="1:17">
      <c r="A142" s="661">
        <v>6</v>
      </c>
      <c r="B142" s="662">
        <v>1900</v>
      </c>
      <c r="C142" s="438"/>
      <c r="D142" s="438"/>
      <c r="E142" s="438"/>
      <c r="F142" s="438"/>
      <c r="G142" s="438"/>
      <c r="H142" s="438"/>
      <c r="I142" s="662">
        <v>5</v>
      </c>
      <c r="J142" s="662"/>
      <c r="K142" s="663">
        <f t="shared" si="13"/>
        <v>5975</v>
      </c>
      <c r="L142" s="438"/>
      <c r="M142" s="438"/>
      <c r="N142" s="438"/>
      <c r="O142" s="438"/>
      <c r="P142" s="438"/>
      <c r="Q142" s="439"/>
    </row>
    <row r="143" spans="1:17">
      <c r="A143" s="661">
        <v>7</v>
      </c>
      <c r="B143" s="662">
        <v>1800</v>
      </c>
      <c r="C143" s="438"/>
      <c r="D143" s="438"/>
      <c r="E143" s="438"/>
      <c r="F143" s="438"/>
      <c r="G143" s="438"/>
      <c r="H143" s="438"/>
      <c r="I143" s="662">
        <v>6</v>
      </c>
      <c r="J143" s="662"/>
      <c r="K143" s="663">
        <f t="shared" si="13"/>
        <v>8604</v>
      </c>
      <c r="L143" s="438"/>
      <c r="M143" s="438"/>
      <c r="N143" s="438"/>
      <c r="O143" s="438"/>
      <c r="P143" s="438"/>
      <c r="Q143" s="439"/>
    </row>
    <row r="144" spans="1:17">
      <c r="A144" s="661">
        <v>8</v>
      </c>
      <c r="B144" s="662">
        <v>1800</v>
      </c>
      <c r="C144" s="438"/>
      <c r="D144" s="438"/>
      <c r="E144" s="438"/>
      <c r="F144" s="438"/>
      <c r="G144" s="438"/>
      <c r="H144" s="438"/>
      <c r="I144" s="662">
        <v>7</v>
      </c>
      <c r="J144" s="662"/>
      <c r="K144" s="663">
        <f t="shared" si="13"/>
        <v>11711</v>
      </c>
      <c r="L144" s="438"/>
      <c r="M144" s="438"/>
      <c r="N144" s="438"/>
      <c r="O144" s="438"/>
      <c r="P144" s="438"/>
      <c r="Q144" s="439"/>
    </row>
    <row r="145" spans="1:25">
      <c r="A145" s="661">
        <v>9</v>
      </c>
      <c r="B145" s="662">
        <v>2100</v>
      </c>
      <c r="C145" s="438"/>
      <c r="D145" s="438"/>
      <c r="E145" s="438"/>
      <c r="F145" s="438"/>
      <c r="G145" s="438"/>
      <c r="H145" s="438"/>
      <c r="I145" s="662">
        <v>8</v>
      </c>
      <c r="J145" s="662"/>
      <c r="K145" s="663">
        <f t="shared" si="13"/>
        <v>15296</v>
      </c>
      <c r="L145" s="438"/>
      <c r="M145" s="438"/>
      <c r="N145" s="438"/>
      <c r="O145" s="438"/>
      <c r="P145" s="438"/>
      <c r="Q145" s="439"/>
    </row>
    <row r="146" spans="1:25">
      <c r="A146" s="661">
        <v>10</v>
      </c>
      <c r="B146" s="662">
        <v>2400</v>
      </c>
      <c r="C146" s="438"/>
      <c r="D146" s="438"/>
      <c r="E146" s="438"/>
      <c r="F146" s="438"/>
      <c r="G146" s="438"/>
      <c r="H146" s="438"/>
      <c r="I146" s="662">
        <v>9</v>
      </c>
      <c r="J146" s="662"/>
      <c r="K146" s="663">
        <f t="shared" si="13"/>
        <v>19359</v>
      </c>
      <c r="L146" s="438"/>
      <c r="M146" s="438"/>
      <c r="N146" s="438"/>
      <c r="O146" s="438"/>
      <c r="P146" s="438"/>
      <c r="Q146" s="439"/>
      <c r="T146" s="646">
        <v>1</v>
      </c>
      <c r="U146" s="646">
        <v>2</v>
      </c>
      <c r="V146" s="646">
        <v>3</v>
      </c>
      <c r="W146" s="646">
        <v>4</v>
      </c>
      <c r="X146" s="646">
        <v>5</v>
      </c>
      <c r="Y146" s="441" t="s">
        <v>1638</v>
      </c>
    </row>
    <row r="147" spans="1:25">
      <c r="A147" s="661">
        <v>11</v>
      </c>
      <c r="B147" s="662">
        <v>2350</v>
      </c>
      <c r="C147" s="438"/>
      <c r="D147" s="438"/>
      <c r="E147" s="438"/>
      <c r="F147" s="438"/>
      <c r="G147" s="438"/>
      <c r="H147" s="438"/>
      <c r="I147" s="662">
        <v>10</v>
      </c>
      <c r="J147" s="662">
        <v>7200</v>
      </c>
      <c r="K147" s="663">
        <f t="shared" si="13"/>
        <v>23900</v>
      </c>
      <c r="L147" s="438"/>
      <c r="M147" s="438"/>
      <c r="N147" s="438"/>
      <c r="O147" s="438"/>
      <c r="P147" s="438"/>
      <c r="Q147" s="439"/>
      <c r="T147" s="1781">
        <v>2400</v>
      </c>
      <c r="U147" s="646">
        <f>T147*2</f>
        <v>4800</v>
      </c>
      <c r="V147" s="646">
        <f>T147*3</f>
        <v>7200</v>
      </c>
      <c r="W147" s="646">
        <f>T147*4</f>
        <v>9600</v>
      </c>
      <c r="X147" s="646">
        <f>T147*5</f>
        <v>12000</v>
      </c>
      <c r="Y147" s="646"/>
    </row>
    <row r="148" spans="1:25">
      <c r="A148" s="661">
        <v>12</v>
      </c>
      <c r="B148" s="662">
        <v>2000</v>
      </c>
      <c r="C148" s="438"/>
      <c r="D148" s="438"/>
      <c r="E148" s="438"/>
      <c r="F148" s="438"/>
      <c r="G148" s="438"/>
      <c r="H148" s="438"/>
      <c r="I148" s="662">
        <v>11</v>
      </c>
      <c r="J148" s="662">
        <v>7050</v>
      </c>
      <c r="K148" s="663">
        <f t="shared" si="13"/>
        <v>28919</v>
      </c>
      <c r="L148" s="438"/>
      <c r="M148" s="438"/>
      <c r="N148" s="438"/>
      <c r="O148" s="438"/>
      <c r="P148" s="438"/>
      <c r="Q148" s="439"/>
      <c r="T148" s="1781">
        <v>2350</v>
      </c>
      <c r="U148" s="646">
        <f t="shared" ref="U148:U153" si="14">T148*2</f>
        <v>4700</v>
      </c>
      <c r="V148" s="646">
        <f t="shared" ref="V148:V153" si="15">T148*3</f>
        <v>7050</v>
      </c>
      <c r="W148" s="646">
        <f t="shared" ref="W148:W153" si="16">T148*4</f>
        <v>9400</v>
      </c>
      <c r="X148" s="646">
        <f t="shared" ref="X148:X153" si="17">T148*5</f>
        <v>11750</v>
      </c>
      <c r="Y148" s="646"/>
    </row>
    <row r="149" spans="1:25">
      <c r="A149" s="661">
        <v>13</v>
      </c>
      <c r="B149" s="662">
        <v>1400</v>
      </c>
      <c r="C149" s="438"/>
      <c r="D149" s="438"/>
      <c r="E149" s="438"/>
      <c r="F149" s="438"/>
      <c r="G149" s="438"/>
      <c r="H149" s="438"/>
      <c r="I149" s="662">
        <v>12</v>
      </c>
      <c r="J149" s="662">
        <v>6000</v>
      </c>
      <c r="K149" s="663">
        <f t="shared" si="13"/>
        <v>34416</v>
      </c>
      <c r="L149" s="438"/>
      <c r="M149" s="438"/>
      <c r="N149" s="438"/>
      <c r="O149" s="438"/>
      <c r="P149" s="438"/>
      <c r="Q149" s="439"/>
      <c r="T149" s="1781">
        <v>2000</v>
      </c>
      <c r="U149" s="646">
        <f t="shared" si="14"/>
        <v>4000</v>
      </c>
      <c r="V149" s="646">
        <f t="shared" si="15"/>
        <v>6000</v>
      </c>
      <c r="W149" s="646">
        <f t="shared" si="16"/>
        <v>8000</v>
      </c>
      <c r="X149" s="646">
        <f t="shared" si="17"/>
        <v>10000</v>
      </c>
      <c r="Y149" s="646"/>
    </row>
    <row r="150" spans="1:25">
      <c r="A150" s="661">
        <v>14</v>
      </c>
      <c r="B150" s="662">
        <v>850</v>
      </c>
      <c r="C150" s="438"/>
      <c r="D150" s="438"/>
      <c r="E150" s="438"/>
      <c r="F150" s="438"/>
      <c r="G150" s="438"/>
      <c r="H150" s="438"/>
      <c r="I150" s="662">
        <v>13</v>
      </c>
      <c r="J150" s="662">
        <v>4200</v>
      </c>
      <c r="K150" s="663">
        <f t="shared" si="13"/>
        <v>40391</v>
      </c>
      <c r="L150" s="438"/>
      <c r="M150" s="438"/>
      <c r="N150" s="438"/>
      <c r="O150" s="438"/>
      <c r="P150" s="438"/>
      <c r="Q150" s="439"/>
      <c r="T150" s="1781">
        <v>1400</v>
      </c>
      <c r="U150" s="646">
        <f t="shared" si="14"/>
        <v>2800</v>
      </c>
      <c r="V150" s="646">
        <f t="shared" si="15"/>
        <v>4200</v>
      </c>
      <c r="W150" s="646">
        <f t="shared" si="16"/>
        <v>5600</v>
      </c>
      <c r="X150" s="646">
        <f t="shared" si="17"/>
        <v>7000</v>
      </c>
      <c r="Y150" s="646"/>
    </row>
    <row r="151" spans="1:25">
      <c r="A151" s="661">
        <v>15</v>
      </c>
      <c r="B151" s="662">
        <v>300</v>
      </c>
      <c r="C151" s="438"/>
      <c r="D151" s="438"/>
      <c r="E151" s="438"/>
      <c r="F151" s="438"/>
      <c r="G151" s="438"/>
      <c r="H151" s="438"/>
      <c r="I151" s="662">
        <v>14</v>
      </c>
      <c r="J151" s="662">
        <v>2550</v>
      </c>
      <c r="K151" s="663">
        <f t="shared" si="13"/>
        <v>46844</v>
      </c>
      <c r="L151" s="438"/>
      <c r="M151" s="438"/>
      <c r="N151" s="438"/>
      <c r="O151" s="438"/>
      <c r="P151" s="438"/>
      <c r="Q151" s="439"/>
      <c r="T151" s="1781">
        <v>850</v>
      </c>
      <c r="U151" s="646">
        <f t="shared" si="14"/>
        <v>1700</v>
      </c>
      <c r="V151" s="646">
        <f t="shared" si="15"/>
        <v>2550</v>
      </c>
      <c r="W151" s="646">
        <f t="shared" si="16"/>
        <v>3400</v>
      </c>
      <c r="X151" s="646">
        <f t="shared" si="17"/>
        <v>4250</v>
      </c>
      <c r="Y151" s="646"/>
    </row>
    <row r="152" spans="1:25">
      <c r="A152" s="661">
        <v>16</v>
      </c>
      <c r="B152" s="662">
        <v>0</v>
      </c>
      <c r="C152" s="438"/>
      <c r="D152" s="438"/>
      <c r="E152" s="438"/>
      <c r="F152" s="438"/>
      <c r="G152" s="438"/>
      <c r="H152" s="438"/>
      <c r="I152" s="662">
        <v>15</v>
      </c>
      <c r="J152" s="662">
        <v>900</v>
      </c>
      <c r="K152" s="663">
        <f t="shared" si="13"/>
        <v>53775</v>
      </c>
      <c r="L152" s="438"/>
      <c r="M152" s="438"/>
      <c r="N152" s="438"/>
      <c r="O152" s="438"/>
      <c r="P152" s="438"/>
      <c r="Q152" s="439"/>
      <c r="T152" s="1781">
        <v>300</v>
      </c>
      <c r="U152" s="646">
        <f t="shared" si="14"/>
        <v>600</v>
      </c>
      <c r="V152" s="646">
        <f t="shared" si="15"/>
        <v>900</v>
      </c>
      <c r="W152" s="646">
        <f t="shared" si="16"/>
        <v>1200</v>
      </c>
      <c r="X152" s="646">
        <f t="shared" si="17"/>
        <v>1500</v>
      </c>
      <c r="Y152" s="646"/>
    </row>
    <row r="153" spans="1:25">
      <c r="A153" s="489"/>
      <c r="B153" s="438"/>
      <c r="C153" s="438"/>
      <c r="D153" s="438"/>
      <c r="E153" s="438"/>
      <c r="F153" s="438"/>
      <c r="G153" s="438"/>
      <c r="H153" s="438"/>
      <c r="I153" s="662">
        <v>16</v>
      </c>
      <c r="J153" s="662">
        <v>0</v>
      </c>
      <c r="K153" s="438"/>
      <c r="L153" s="438"/>
      <c r="M153" s="438"/>
      <c r="N153" s="438"/>
      <c r="O153" s="438"/>
      <c r="P153" s="438"/>
      <c r="Q153" s="439"/>
      <c r="T153" s="1781">
        <v>0</v>
      </c>
      <c r="U153" s="646">
        <f t="shared" si="14"/>
        <v>0</v>
      </c>
      <c r="V153" s="646">
        <f t="shared" si="15"/>
        <v>0</v>
      </c>
      <c r="W153" s="646">
        <f t="shared" si="16"/>
        <v>0</v>
      </c>
      <c r="X153" s="646">
        <f t="shared" si="17"/>
        <v>0</v>
      </c>
      <c r="Y153" s="646"/>
    </row>
    <row r="154" spans="1:25">
      <c r="A154" s="489"/>
      <c r="B154" s="438"/>
      <c r="C154" s="438"/>
      <c r="D154" s="438"/>
      <c r="E154" s="438"/>
      <c r="F154" s="438"/>
      <c r="G154" s="438"/>
      <c r="H154" s="438"/>
      <c r="I154" s="438"/>
      <c r="J154" s="438"/>
      <c r="K154" s="438"/>
      <c r="L154" s="438"/>
      <c r="M154" s="438"/>
      <c r="N154" s="438"/>
      <c r="O154" s="438"/>
      <c r="P154" s="438"/>
      <c r="Q154" s="439"/>
      <c r="T154" s="646"/>
      <c r="U154" s="646"/>
      <c r="V154" s="646"/>
      <c r="W154" s="646"/>
      <c r="X154" s="646"/>
      <c r="Y154" s="646"/>
    </row>
    <row r="155" spans="1:25">
      <c r="A155" s="489"/>
      <c r="B155" s="438"/>
      <c r="C155" s="438"/>
      <c r="D155" s="438"/>
      <c r="E155" s="438"/>
      <c r="F155" s="438"/>
      <c r="G155" s="438"/>
      <c r="H155" s="438"/>
      <c r="I155" s="438"/>
      <c r="J155" s="438"/>
      <c r="K155" s="438"/>
      <c r="L155" s="438"/>
      <c r="M155" s="438"/>
      <c r="N155" s="438"/>
      <c r="O155" s="438"/>
      <c r="P155" s="438"/>
      <c r="Q155" s="439"/>
    </row>
    <row r="156" spans="1:25">
      <c r="A156" s="489"/>
      <c r="B156" s="438"/>
      <c r="C156" s="438"/>
      <c r="D156" s="438"/>
      <c r="E156" s="438"/>
      <c r="F156" s="438"/>
      <c r="G156" s="438"/>
      <c r="H156" s="438"/>
      <c r="I156" s="438"/>
      <c r="J156" s="438"/>
      <c r="K156" s="438"/>
      <c r="L156" s="438"/>
      <c r="M156" s="438"/>
      <c r="N156" s="438"/>
      <c r="O156" s="438"/>
      <c r="P156" s="438"/>
      <c r="Q156" s="439"/>
    </row>
    <row r="157" spans="1:25">
      <c r="A157" s="489"/>
      <c r="B157" s="438"/>
      <c r="C157" s="438"/>
      <c r="D157" s="438"/>
      <c r="E157" s="438"/>
      <c r="F157" s="438"/>
      <c r="G157" s="438"/>
      <c r="H157" s="438"/>
      <c r="I157" s="438"/>
      <c r="J157" s="438"/>
      <c r="K157" s="438"/>
      <c r="L157" s="438"/>
      <c r="M157" s="438"/>
      <c r="N157" s="438"/>
      <c r="O157" s="438"/>
      <c r="P157" s="438"/>
      <c r="Q157" s="439"/>
    </row>
    <row r="158" spans="1:25">
      <c r="A158" s="489"/>
      <c r="B158" s="438"/>
      <c r="C158" s="438"/>
      <c r="D158" s="438"/>
      <c r="E158" s="438"/>
      <c r="F158" s="438"/>
      <c r="G158" s="438"/>
      <c r="H158" s="438"/>
      <c r="I158" s="438"/>
      <c r="J158" s="438"/>
      <c r="K158" s="438"/>
      <c r="L158" s="438"/>
      <c r="M158" s="438"/>
      <c r="N158" s="438"/>
      <c r="O158" s="438"/>
      <c r="P158" s="438"/>
      <c r="Q158" s="439"/>
    </row>
    <row r="159" spans="1:25">
      <c r="A159" s="489"/>
      <c r="B159" s="438"/>
      <c r="C159" s="438"/>
      <c r="D159" s="438"/>
      <c r="E159" s="438"/>
      <c r="F159" s="438"/>
      <c r="G159" s="438"/>
      <c r="H159" s="438"/>
      <c r="I159" s="438"/>
      <c r="J159" s="438"/>
      <c r="K159" s="438"/>
      <c r="L159" s="438"/>
      <c r="M159" s="438"/>
      <c r="N159" s="438"/>
      <c r="O159" s="438"/>
      <c r="P159" s="438"/>
      <c r="Q159" s="439"/>
    </row>
    <row r="160" spans="1:25">
      <c r="A160" s="489"/>
      <c r="B160" s="438"/>
      <c r="C160" s="438"/>
      <c r="D160" s="438"/>
      <c r="E160" s="438"/>
      <c r="F160" s="438"/>
      <c r="G160" s="438"/>
      <c r="H160" s="438"/>
      <c r="I160" s="438"/>
      <c r="J160" s="438"/>
      <c r="K160" s="438"/>
      <c r="L160" s="438"/>
      <c r="M160" s="438"/>
      <c r="N160" s="438"/>
      <c r="O160" s="438"/>
      <c r="P160" s="438"/>
      <c r="Q160" s="439"/>
    </row>
    <row r="161" spans="1:17" ht="13.5" thickBot="1">
      <c r="A161" s="489"/>
      <c r="B161" s="438"/>
      <c r="C161" s="438"/>
      <c r="D161" s="438"/>
      <c r="E161" s="438"/>
      <c r="F161" s="438"/>
      <c r="G161" s="438"/>
      <c r="H161" s="438"/>
      <c r="I161" s="438"/>
      <c r="J161" s="438"/>
      <c r="K161" s="438"/>
      <c r="L161" s="438"/>
      <c r="M161" s="438"/>
      <c r="N161" s="438"/>
      <c r="O161" s="438"/>
      <c r="P161" s="438"/>
      <c r="Q161" s="439"/>
    </row>
    <row r="162" spans="1:17">
      <c r="A162" s="557"/>
      <c r="B162" s="507"/>
      <c r="C162" s="507"/>
      <c r="D162" s="507"/>
      <c r="E162" s="507"/>
      <c r="F162" s="507"/>
      <c r="G162" s="507"/>
      <c r="H162" s="507"/>
      <c r="I162" s="669"/>
      <c r="J162" s="669"/>
      <c r="K162" s="507"/>
      <c r="L162" s="507"/>
      <c r="M162" s="507"/>
      <c r="N162" s="507"/>
      <c r="O162" s="507"/>
      <c r="P162" s="507"/>
      <c r="Q162" s="509"/>
    </row>
    <row r="163" spans="1:17">
      <c r="A163" s="489"/>
      <c r="B163" s="438"/>
      <c r="C163" s="438"/>
      <c r="D163" s="438"/>
      <c r="E163" s="438"/>
      <c r="F163" s="438"/>
      <c r="G163" s="438"/>
      <c r="H163" s="438"/>
      <c r="I163" s="438"/>
      <c r="J163" s="438"/>
      <c r="K163" s="438"/>
      <c r="L163" s="438"/>
      <c r="M163" s="438"/>
      <c r="N163" s="438"/>
      <c r="O163" s="438"/>
      <c r="P163" s="438"/>
      <c r="Q163" s="439"/>
    </row>
    <row r="164" spans="1:17" ht="14.25">
      <c r="A164" s="489"/>
      <c r="B164" s="438"/>
      <c r="C164" s="438"/>
      <c r="D164" s="438"/>
      <c r="E164" s="438"/>
      <c r="F164" s="438"/>
      <c r="G164" s="438"/>
      <c r="H164" s="438"/>
      <c r="I164" s="646" t="s">
        <v>820</v>
      </c>
      <c r="J164" s="656">
        <v>6.8</v>
      </c>
      <c r="K164" s="646" t="s">
        <v>821</v>
      </c>
      <c r="L164" s="654" t="s">
        <v>822</v>
      </c>
      <c r="M164" s="438"/>
      <c r="N164" s="438"/>
      <c r="O164" s="438"/>
      <c r="P164" s="438"/>
      <c r="Q164" s="439"/>
    </row>
    <row r="165" spans="1:17">
      <c r="A165" s="489"/>
      <c r="B165" s="438"/>
      <c r="C165" s="438"/>
      <c r="D165" s="438"/>
      <c r="E165" s="438"/>
      <c r="F165" s="438"/>
      <c r="G165" s="438"/>
      <c r="H165" s="438"/>
      <c r="I165" s="438"/>
      <c r="J165" s="438"/>
      <c r="K165" s="438"/>
      <c r="L165" s="438"/>
      <c r="M165" s="438"/>
      <c r="N165" s="438"/>
      <c r="O165" s="438"/>
      <c r="P165" s="438"/>
      <c r="Q165" s="439"/>
    </row>
    <row r="166" spans="1:17">
      <c r="A166" s="670" t="s">
        <v>1756</v>
      </c>
      <c r="B166" s="1292" t="s">
        <v>824</v>
      </c>
      <c r="C166" s="438"/>
      <c r="D166" s="438"/>
      <c r="E166" s="438"/>
      <c r="F166" s="438"/>
      <c r="G166" s="438"/>
      <c r="H166" s="438"/>
      <c r="I166" s="438"/>
      <c r="J166" s="438"/>
      <c r="K166" s="438"/>
      <c r="L166" s="438"/>
      <c r="M166" s="438"/>
      <c r="N166" s="438"/>
      <c r="O166" s="438"/>
      <c r="P166" s="438"/>
      <c r="Q166" s="439"/>
    </row>
    <row r="167" spans="1:17" ht="25.5">
      <c r="A167" s="659" t="s">
        <v>825</v>
      </c>
      <c r="B167" s="660" t="s">
        <v>826</v>
      </c>
      <c r="C167" s="438"/>
      <c r="D167" s="438"/>
      <c r="E167" s="438"/>
      <c r="F167" s="438"/>
      <c r="G167" s="438"/>
      <c r="H167" s="438"/>
      <c r="I167" s="671" t="s">
        <v>832</v>
      </c>
      <c r="J167" s="1292" t="s">
        <v>824</v>
      </c>
      <c r="K167" s="438"/>
      <c r="L167" s="438"/>
      <c r="M167" s="438"/>
      <c r="N167" s="438"/>
      <c r="O167" s="438"/>
      <c r="P167" s="438"/>
      <c r="Q167" s="439"/>
    </row>
    <row r="168" spans="1:17" ht="25.5">
      <c r="A168" s="1290"/>
      <c r="B168" s="1291"/>
      <c r="C168" s="438"/>
      <c r="D168" s="438"/>
      <c r="E168" s="438"/>
      <c r="F168" s="438"/>
      <c r="G168" s="438"/>
      <c r="H168" s="438"/>
      <c r="I168" s="660" t="s">
        <v>825</v>
      </c>
      <c r="J168" s="660" t="s">
        <v>826</v>
      </c>
      <c r="K168" s="660" t="s">
        <v>827</v>
      </c>
      <c r="L168" s="438"/>
      <c r="M168" s="438"/>
      <c r="N168" s="438"/>
      <c r="O168" s="438"/>
      <c r="P168" s="438"/>
      <c r="Q168" s="439"/>
    </row>
    <row r="169" spans="1:17">
      <c r="A169" s="1290"/>
      <c r="B169" s="1291"/>
      <c r="C169" s="438"/>
      <c r="D169" s="438"/>
      <c r="E169" s="438"/>
      <c r="F169" s="438"/>
      <c r="G169" s="438"/>
      <c r="H169" s="438"/>
      <c r="I169" s="1290">
        <v>4</v>
      </c>
      <c r="J169" s="1291"/>
      <c r="K169" s="663">
        <f>$J$164*(I169*I169)</f>
        <v>108.8</v>
      </c>
      <c r="L169" s="438"/>
      <c r="M169" s="438"/>
      <c r="N169" s="438"/>
      <c r="O169" s="438"/>
      <c r="P169" s="438"/>
      <c r="Q169" s="439"/>
    </row>
    <row r="170" spans="1:17">
      <c r="A170" s="1290"/>
      <c r="B170" s="1291"/>
      <c r="C170" s="438"/>
      <c r="D170" s="438"/>
      <c r="E170" s="438"/>
      <c r="F170" s="438"/>
      <c r="G170" s="438"/>
      <c r="H170" s="438"/>
      <c r="I170" s="1290">
        <v>5</v>
      </c>
      <c r="J170" s="1291"/>
      <c r="K170" s="663">
        <f t="shared" ref="K170:K183" si="18">$J$164*(I170*I170)</f>
        <v>170</v>
      </c>
      <c r="L170" s="438"/>
      <c r="M170" s="438"/>
      <c r="N170" s="438"/>
      <c r="O170" s="438"/>
      <c r="P170" s="438"/>
      <c r="Q170" s="439"/>
    </row>
    <row r="171" spans="1:17">
      <c r="A171" s="1290"/>
      <c r="B171" s="1291"/>
      <c r="C171" s="438"/>
      <c r="D171" s="438"/>
      <c r="E171" s="438"/>
      <c r="F171" s="438"/>
      <c r="G171" s="438"/>
      <c r="H171" s="438"/>
      <c r="I171" s="1290">
        <v>6</v>
      </c>
      <c r="J171" s="1291"/>
      <c r="K171" s="663">
        <f t="shared" si="18"/>
        <v>244.79999999999998</v>
      </c>
      <c r="L171" s="438"/>
      <c r="M171" s="438"/>
      <c r="N171" s="438"/>
      <c r="O171" s="438"/>
      <c r="P171" s="438"/>
      <c r="Q171" s="439"/>
    </row>
    <row r="172" spans="1:17">
      <c r="A172" s="1290"/>
      <c r="B172" s="1291"/>
      <c r="C172" s="438"/>
      <c r="D172" s="438"/>
      <c r="E172" s="438"/>
      <c r="F172" s="438"/>
      <c r="G172" s="438"/>
      <c r="H172" s="438"/>
      <c r="I172" s="1290">
        <v>7</v>
      </c>
      <c r="J172" s="1291"/>
      <c r="K172" s="663">
        <f t="shared" si="18"/>
        <v>333.2</v>
      </c>
      <c r="L172" s="438"/>
      <c r="M172" s="438"/>
      <c r="N172" s="438"/>
      <c r="O172" s="438"/>
      <c r="P172" s="438"/>
      <c r="Q172" s="439"/>
    </row>
    <row r="173" spans="1:17">
      <c r="A173" s="1290"/>
      <c r="B173" s="1291"/>
      <c r="C173" s="438"/>
      <c r="D173" s="438"/>
      <c r="E173" s="438"/>
      <c r="F173" s="438"/>
      <c r="G173" s="438"/>
      <c r="H173" s="438"/>
      <c r="I173" s="1290">
        <v>8</v>
      </c>
      <c r="J173" s="1291"/>
      <c r="K173" s="663">
        <f t="shared" si="18"/>
        <v>435.2</v>
      </c>
      <c r="L173" s="438"/>
      <c r="M173" s="438"/>
      <c r="N173" s="438"/>
      <c r="O173" s="438"/>
      <c r="P173" s="438"/>
      <c r="Q173" s="439"/>
    </row>
    <row r="174" spans="1:17">
      <c r="A174" s="1290"/>
      <c r="B174" s="1291"/>
      <c r="C174" s="438"/>
      <c r="D174" s="438"/>
      <c r="E174" s="438"/>
      <c r="F174" s="438"/>
      <c r="G174" s="438"/>
      <c r="H174" s="438"/>
      <c r="I174" s="1290">
        <v>9</v>
      </c>
      <c r="J174" s="1291"/>
      <c r="K174" s="663">
        <f t="shared" si="18"/>
        <v>550.79999999999995</v>
      </c>
      <c r="L174" s="438"/>
      <c r="M174" s="438"/>
      <c r="N174" s="438"/>
      <c r="O174" s="438"/>
      <c r="P174" s="438"/>
      <c r="Q174" s="439"/>
    </row>
    <row r="175" spans="1:17">
      <c r="A175" s="1290"/>
      <c r="B175" s="1291"/>
      <c r="C175" s="438"/>
      <c r="D175" s="438"/>
      <c r="E175" s="438"/>
      <c r="F175" s="438"/>
      <c r="G175" s="438"/>
      <c r="H175" s="438"/>
      <c r="I175" s="1290">
        <v>10</v>
      </c>
      <c r="J175" s="1291"/>
      <c r="K175" s="663">
        <f t="shared" si="18"/>
        <v>680</v>
      </c>
      <c r="L175" s="438"/>
      <c r="M175" s="438"/>
      <c r="N175" s="438"/>
      <c r="O175" s="438"/>
      <c r="P175" s="438"/>
      <c r="Q175" s="439"/>
    </row>
    <row r="176" spans="1:17">
      <c r="A176" s="1290">
        <v>11</v>
      </c>
      <c r="B176" s="1291">
        <v>2950</v>
      </c>
      <c r="C176" s="438"/>
      <c r="D176" s="438"/>
      <c r="E176" s="438"/>
      <c r="F176" s="438"/>
      <c r="G176" s="438"/>
      <c r="H176" s="438"/>
      <c r="I176" s="1290">
        <v>11</v>
      </c>
      <c r="J176" s="1291">
        <v>2950</v>
      </c>
      <c r="K176" s="663">
        <f t="shared" si="18"/>
        <v>822.8</v>
      </c>
      <c r="L176" s="438"/>
      <c r="M176" s="438"/>
      <c r="N176" s="438"/>
      <c r="O176" s="438"/>
      <c r="P176" s="438"/>
      <c r="Q176" s="439"/>
    </row>
    <row r="177" spans="1:17">
      <c r="A177" s="1290">
        <v>12</v>
      </c>
      <c r="B177" s="1291">
        <v>2800</v>
      </c>
      <c r="C177" s="438"/>
      <c r="D177" s="438"/>
      <c r="E177" s="438"/>
      <c r="F177" s="438"/>
      <c r="G177" s="438"/>
      <c r="H177" s="438"/>
      <c r="I177" s="1290">
        <v>12</v>
      </c>
      <c r="J177" s="1291">
        <v>2800</v>
      </c>
      <c r="K177" s="663">
        <f t="shared" si="18"/>
        <v>979.19999999999993</v>
      </c>
      <c r="L177" s="438"/>
      <c r="M177" s="438"/>
      <c r="N177" s="438"/>
      <c r="O177" s="438"/>
      <c r="P177" s="438"/>
      <c r="Q177" s="439"/>
    </row>
    <row r="178" spans="1:17">
      <c r="A178" s="1290">
        <v>13</v>
      </c>
      <c r="B178" s="1291">
        <v>2500</v>
      </c>
      <c r="C178" s="438"/>
      <c r="D178" s="438"/>
      <c r="E178" s="438"/>
      <c r="F178" s="438"/>
      <c r="G178" s="438"/>
      <c r="H178" s="438"/>
      <c r="I178" s="1290">
        <v>13</v>
      </c>
      <c r="J178" s="1291">
        <v>2500</v>
      </c>
      <c r="K178" s="663">
        <f t="shared" si="18"/>
        <v>1149.2</v>
      </c>
      <c r="L178" s="438"/>
      <c r="M178" s="438"/>
      <c r="N178" s="438"/>
      <c r="O178" s="438"/>
      <c r="P178" s="438"/>
      <c r="Q178" s="439"/>
    </row>
    <row r="179" spans="1:17">
      <c r="A179" s="1290">
        <v>14</v>
      </c>
      <c r="B179" s="1291">
        <v>2080</v>
      </c>
      <c r="C179" s="438"/>
      <c r="D179" s="438"/>
      <c r="E179" s="438"/>
      <c r="F179" s="438"/>
      <c r="G179" s="438"/>
      <c r="H179" s="438"/>
      <c r="I179" s="1290">
        <v>14</v>
      </c>
      <c r="J179" s="1291">
        <v>2080</v>
      </c>
      <c r="K179" s="663">
        <f t="shared" si="18"/>
        <v>1332.8</v>
      </c>
      <c r="L179" s="438"/>
      <c r="M179" s="438"/>
      <c r="N179" s="438"/>
      <c r="O179" s="438"/>
      <c r="P179" s="438"/>
      <c r="Q179" s="439"/>
    </row>
    <row r="180" spans="1:17">
      <c r="A180" s="1290">
        <v>15</v>
      </c>
      <c r="B180" s="1291">
        <v>1450</v>
      </c>
      <c r="C180" s="438"/>
      <c r="D180" s="438"/>
      <c r="E180" s="438"/>
      <c r="F180" s="438"/>
      <c r="G180" s="438"/>
      <c r="H180" s="438"/>
      <c r="I180" s="1290">
        <v>15</v>
      </c>
      <c r="J180" s="1291">
        <v>1450</v>
      </c>
      <c r="K180" s="663">
        <f t="shared" si="18"/>
        <v>1530</v>
      </c>
      <c r="L180" s="438"/>
      <c r="M180" s="438"/>
      <c r="N180" s="438"/>
      <c r="O180" s="438"/>
      <c r="P180" s="438"/>
      <c r="Q180" s="439"/>
    </row>
    <row r="181" spans="1:17">
      <c r="A181" s="1290">
        <v>16</v>
      </c>
      <c r="B181" s="1291">
        <v>960</v>
      </c>
      <c r="C181" s="438"/>
      <c r="D181" s="438"/>
      <c r="E181" s="438"/>
      <c r="F181" s="438"/>
      <c r="G181" s="438"/>
      <c r="H181" s="438"/>
      <c r="I181" s="1290">
        <v>16</v>
      </c>
      <c r="J181" s="1291">
        <v>960</v>
      </c>
      <c r="K181" s="663">
        <f t="shared" si="18"/>
        <v>1740.8</v>
      </c>
      <c r="L181" s="438"/>
      <c r="M181" s="438"/>
      <c r="N181" s="438"/>
      <c r="O181" s="438"/>
      <c r="P181" s="438"/>
      <c r="Q181" s="439"/>
    </row>
    <row r="182" spans="1:17">
      <c r="A182" s="1290">
        <v>17</v>
      </c>
      <c r="B182" s="1291">
        <v>330</v>
      </c>
      <c r="C182" s="438"/>
      <c r="D182" s="438"/>
      <c r="E182" s="438"/>
      <c r="F182" s="438"/>
      <c r="G182" s="438"/>
      <c r="H182" s="438"/>
      <c r="I182" s="1290">
        <v>17</v>
      </c>
      <c r="J182" s="1291">
        <v>330</v>
      </c>
      <c r="K182" s="663">
        <f t="shared" si="18"/>
        <v>1965.2</v>
      </c>
      <c r="L182" s="438"/>
      <c r="M182" s="438"/>
      <c r="N182" s="438"/>
      <c r="O182" s="438"/>
      <c r="P182" s="438"/>
      <c r="Q182" s="439"/>
    </row>
    <row r="183" spans="1:17">
      <c r="A183" s="1290">
        <v>17.5</v>
      </c>
      <c r="B183" s="1291">
        <v>0</v>
      </c>
      <c r="C183" s="438"/>
      <c r="D183" s="438"/>
      <c r="E183" s="438"/>
      <c r="F183" s="438"/>
      <c r="G183" s="438"/>
      <c r="H183" s="438"/>
      <c r="I183" s="1290">
        <v>17.5</v>
      </c>
      <c r="J183" s="1291">
        <v>0</v>
      </c>
      <c r="K183" s="663">
        <f t="shared" si="18"/>
        <v>2082.5</v>
      </c>
      <c r="L183" s="438"/>
      <c r="M183" s="438"/>
      <c r="N183" s="438"/>
      <c r="O183" s="438"/>
      <c r="P183" s="438"/>
      <c r="Q183" s="439"/>
    </row>
    <row r="184" spans="1:17">
      <c r="A184" s="489"/>
      <c r="B184" s="438"/>
      <c r="C184" s="438"/>
      <c r="D184" s="438"/>
      <c r="E184" s="438"/>
      <c r="F184" s="438"/>
      <c r="G184" s="438"/>
      <c r="H184" s="438"/>
      <c r="I184" s="1291"/>
      <c r="J184" s="1291"/>
      <c r="K184" s="438"/>
      <c r="L184" s="438"/>
      <c r="M184" s="438"/>
      <c r="N184" s="438"/>
      <c r="O184" s="438"/>
      <c r="P184" s="438"/>
      <c r="Q184" s="439"/>
    </row>
    <row r="185" spans="1:17">
      <c r="A185" s="489"/>
      <c r="B185" s="438"/>
      <c r="C185" s="438"/>
      <c r="D185" s="438"/>
      <c r="E185" s="438"/>
      <c r="F185" s="438"/>
      <c r="G185" s="438"/>
      <c r="H185" s="438"/>
      <c r="I185" s="438"/>
      <c r="J185" s="438"/>
      <c r="K185" s="438"/>
      <c r="L185" s="438"/>
      <c r="M185" s="438"/>
      <c r="N185" s="438"/>
      <c r="O185" s="438"/>
      <c r="P185" s="438"/>
      <c r="Q185" s="439"/>
    </row>
    <row r="186" spans="1:17">
      <c r="A186" s="489"/>
      <c r="B186" s="438"/>
      <c r="C186" s="438"/>
      <c r="D186" s="438"/>
      <c r="E186" s="438"/>
      <c r="F186" s="438"/>
      <c r="G186" s="438"/>
      <c r="H186" s="438"/>
      <c r="I186" s="438"/>
      <c r="J186" s="438"/>
      <c r="K186" s="438"/>
      <c r="L186" s="438"/>
      <c r="M186" s="438"/>
      <c r="N186" s="438"/>
      <c r="O186" s="438"/>
      <c r="P186" s="438"/>
      <c r="Q186" s="439"/>
    </row>
    <row r="187" spans="1:17">
      <c r="A187" s="489"/>
      <c r="B187" s="438"/>
      <c r="C187" s="438"/>
      <c r="D187" s="438"/>
      <c r="E187" s="438"/>
      <c r="F187" s="438"/>
      <c r="G187" s="438"/>
      <c r="H187" s="438"/>
      <c r="I187" s="438"/>
      <c r="J187" s="438"/>
      <c r="K187" s="438"/>
      <c r="L187" s="438"/>
      <c r="M187" s="438"/>
      <c r="N187" s="438"/>
      <c r="O187" s="438"/>
      <c r="P187" s="438"/>
      <c r="Q187" s="439"/>
    </row>
    <row r="188" spans="1:17">
      <c r="A188" s="489"/>
      <c r="B188" s="438"/>
      <c r="C188" s="438"/>
      <c r="D188" s="438"/>
      <c r="E188" s="438"/>
      <c r="F188" s="438"/>
      <c r="G188" s="438"/>
      <c r="H188" s="438"/>
      <c r="I188" s="438"/>
      <c r="J188" s="438"/>
      <c r="K188" s="438"/>
      <c r="L188" s="438"/>
      <c r="M188" s="438"/>
      <c r="N188" s="438"/>
      <c r="O188" s="438"/>
      <c r="P188" s="438"/>
      <c r="Q188" s="439"/>
    </row>
    <row r="189" spans="1:17">
      <c r="A189" s="489"/>
      <c r="B189" s="438"/>
      <c r="C189" s="438"/>
      <c r="D189" s="438"/>
      <c r="E189" s="438"/>
      <c r="F189" s="438"/>
      <c r="G189" s="438"/>
      <c r="H189" s="438"/>
      <c r="I189" s="438"/>
      <c r="J189" s="438"/>
      <c r="K189" s="438"/>
      <c r="L189" s="438"/>
      <c r="M189" s="438"/>
      <c r="N189" s="438"/>
      <c r="O189" s="438"/>
      <c r="P189" s="438"/>
      <c r="Q189" s="439"/>
    </row>
    <row r="190" spans="1:17">
      <c r="A190" s="489"/>
      <c r="B190" s="438"/>
      <c r="C190" s="438"/>
      <c r="D190" s="438"/>
      <c r="E190" s="438"/>
      <c r="F190" s="438"/>
      <c r="G190" s="438"/>
      <c r="H190" s="438"/>
      <c r="I190" s="438"/>
      <c r="J190" s="438"/>
      <c r="K190" s="438"/>
      <c r="L190" s="438"/>
      <c r="M190" s="438"/>
      <c r="N190" s="438"/>
      <c r="O190" s="438"/>
      <c r="P190" s="438"/>
      <c r="Q190" s="439"/>
    </row>
    <row r="191" spans="1:17">
      <c r="A191" s="489"/>
      <c r="B191" s="438"/>
      <c r="C191" s="438"/>
      <c r="D191" s="438"/>
      <c r="E191" s="438"/>
      <c r="F191" s="438"/>
      <c r="G191" s="438"/>
      <c r="H191" s="438"/>
      <c r="I191" s="438"/>
      <c r="J191" s="438"/>
      <c r="K191" s="438"/>
      <c r="L191" s="438"/>
      <c r="M191" s="438"/>
      <c r="N191" s="438"/>
      <c r="O191" s="438"/>
      <c r="P191" s="438"/>
      <c r="Q191" s="439"/>
    </row>
    <row r="192" spans="1:17" ht="13.5" thickBot="1">
      <c r="A192" s="489"/>
      <c r="B192" s="438"/>
      <c r="C192" s="438"/>
      <c r="D192" s="438"/>
      <c r="E192" s="438"/>
      <c r="F192" s="438"/>
      <c r="G192" s="438"/>
      <c r="H192" s="438"/>
      <c r="I192" s="438"/>
      <c r="J192" s="438"/>
      <c r="K192" s="438"/>
      <c r="L192" s="438"/>
      <c r="M192" s="438"/>
      <c r="N192" s="438"/>
      <c r="O192" s="438"/>
      <c r="P192" s="438"/>
      <c r="Q192" s="439"/>
    </row>
    <row r="193" spans="1:22">
      <c r="A193" s="557"/>
      <c r="B193" s="507"/>
      <c r="C193" s="507"/>
      <c r="D193" s="507"/>
      <c r="E193" s="507"/>
      <c r="F193" s="507"/>
      <c r="G193" s="507"/>
      <c r="H193" s="507"/>
      <c r="I193" s="669"/>
      <c r="J193" s="669"/>
      <c r="K193" s="507"/>
      <c r="L193" s="507"/>
      <c r="M193" s="507"/>
      <c r="N193" s="507"/>
      <c r="O193" s="507"/>
      <c r="P193" s="507"/>
      <c r="Q193" s="507"/>
      <c r="R193" s="507"/>
      <c r="S193" s="507"/>
      <c r="T193" s="507"/>
      <c r="U193" s="507"/>
      <c r="V193" s="509"/>
    </row>
    <row r="194" spans="1:22">
      <c r="A194" s="489"/>
      <c r="B194" s="438"/>
      <c r="C194" s="438"/>
      <c r="D194" s="438"/>
      <c r="E194" s="438"/>
      <c r="F194" s="438"/>
      <c r="G194" s="438"/>
      <c r="H194" s="438"/>
      <c r="I194" s="438"/>
      <c r="J194" s="438"/>
      <c r="K194" s="438"/>
      <c r="L194" s="438"/>
      <c r="M194" s="438"/>
      <c r="N194" s="438"/>
      <c r="O194" s="438"/>
      <c r="P194" s="438"/>
      <c r="Q194" s="438"/>
      <c r="R194" s="438"/>
      <c r="S194" s="438"/>
      <c r="T194" s="438"/>
      <c r="U194" s="438"/>
      <c r="V194" s="439"/>
    </row>
    <row r="195" spans="1:22" ht="15">
      <c r="A195" s="489"/>
      <c r="B195" s="438"/>
      <c r="C195" s="438"/>
      <c r="D195" s="438"/>
      <c r="E195" s="438"/>
      <c r="F195" s="438"/>
      <c r="G195" s="438"/>
      <c r="H195" s="438"/>
      <c r="I195" s="646" t="s">
        <v>820</v>
      </c>
      <c r="J195" s="656">
        <v>9.1</v>
      </c>
      <c r="K195" s="441" t="s">
        <v>833</v>
      </c>
      <c r="L195" s="654" t="s">
        <v>822</v>
      </c>
      <c r="M195" s="438"/>
      <c r="N195" s="438"/>
      <c r="O195" s="438"/>
      <c r="P195" s="438"/>
      <c r="Q195" s="438"/>
      <c r="R195" s="438"/>
      <c r="S195" s="438"/>
      <c r="T195" s="438"/>
      <c r="U195" s="438"/>
      <c r="V195" s="439"/>
    </row>
    <row r="196" spans="1:22">
      <c r="A196" s="489"/>
      <c r="B196" s="438"/>
      <c r="C196" s="438"/>
      <c r="D196" s="438"/>
      <c r="E196" s="438"/>
      <c r="F196" s="438"/>
      <c r="G196" s="438"/>
      <c r="H196" s="438"/>
      <c r="I196" s="438"/>
      <c r="J196" s="438"/>
      <c r="K196" s="438"/>
      <c r="L196" s="438"/>
      <c r="M196" s="438"/>
      <c r="N196" s="438"/>
      <c r="O196" s="438"/>
      <c r="P196" s="438"/>
      <c r="Q196" s="438"/>
      <c r="R196" s="438"/>
      <c r="S196" s="438"/>
      <c r="T196" s="438"/>
      <c r="U196" s="438"/>
      <c r="V196" s="439"/>
    </row>
    <row r="197" spans="1:22">
      <c r="A197" s="1888" t="s">
        <v>1757</v>
      </c>
      <c r="B197" s="673" t="s">
        <v>835</v>
      </c>
      <c r="C197" s="438"/>
      <c r="D197" s="438"/>
      <c r="E197" s="438"/>
      <c r="F197" s="438"/>
      <c r="G197" s="438"/>
      <c r="H197" s="438"/>
      <c r="I197" s="438"/>
      <c r="J197" s="438"/>
      <c r="K197" s="438"/>
      <c r="L197" s="438"/>
      <c r="M197" s="438"/>
      <c r="N197" s="438"/>
      <c r="O197" s="438"/>
      <c r="P197" s="438"/>
      <c r="Q197" s="438"/>
      <c r="R197" s="438"/>
      <c r="S197" s="438"/>
      <c r="T197" s="438"/>
      <c r="U197" s="438"/>
      <c r="V197" s="439"/>
    </row>
    <row r="198" spans="1:22" ht="25.5">
      <c r="A198" s="659" t="s">
        <v>825</v>
      </c>
      <c r="B198" s="660" t="s">
        <v>826</v>
      </c>
      <c r="C198" s="438"/>
      <c r="D198" s="438"/>
      <c r="E198" s="438"/>
      <c r="F198" s="438"/>
      <c r="G198" s="438"/>
      <c r="H198" s="438"/>
      <c r="I198" s="672" t="s">
        <v>834</v>
      </c>
      <c r="J198" s="658" t="s">
        <v>824</v>
      </c>
      <c r="K198" s="511"/>
      <c r="L198" s="438"/>
      <c r="M198" s="438"/>
      <c r="N198" s="438"/>
      <c r="O198" s="438"/>
      <c r="P198" s="438"/>
      <c r="Q198" s="438"/>
      <c r="R198" s="438"/>
      <c r="S198" s="438"/>
      <c r="T198" s="438"/>
      <c r="U198" s="438"/>
      <c r="V198" s="439"/>
    </row>
    <row r="199" spans="1:22" ht="25.5">
      <c r="A199" s="661">
        <v>1</v>
      </c>
      <c r="B199" s="662"/>
      <c r="C199" s="438"/>
      <c r="D199" s="438"/>
      <c r="E199" s="438"/>
      <c r="F199" s="438"/>
      <c r="G199" s="438"/>
      <c r="H199" s="438"/>
      <c r="I199" s="660" t="s">
        <v>825</v>
      </c>
      <c r="J199" s="660" t="s">
        <v>826</v>
      </c>
      <c r="K199" s="660" t="s">
        <v>836</v>
      </c>
      <c r="L199" s="660" t="s">
        <v>827</v>
      </c>
      <c r="M199" s="438"/>
      <c r="N199" s="438"/>
      <c r="O199" s="438"/>
      <c r="P199" s="438"/>
      <c r="Q199" s="438"/>
      <c r="R199" s="438"/>
      <c r="S199" s="438"/>
      <c r="T199" s="438"/>
      <c r="U199" s="438"/>
      <c r="V199" s="439"/>
    </row>
    <row r="200" spans="1:22">
      <c r="A200" s="661">
        <v>2</v>
      </c>
      <c r="B200" s="662"/>
      <c r="C200" s="438"/>
      <c r="D200" s="438"/>
      <c r="E200" s="438"/>
      <c r="F200" s="438"/>
      <c r="G200" s="438"/>
      <c r="H200" s="438"/>
      <c r="I200" s="662">
        <v>1</v>
      </c>
      <c r="J200" s="662"/>
      <c r="K200" s="662"/>
      <c r="L200" s="663">
        <f t="shared" ref="L200:L220" si="19">$J$195*(I200*I200)</f>
        <v>9.1</v>
      </c>
      <c r="M200" s="438"/>
      <c r="N200" s="438"/>
      <c r="O200" s="438"/>
      <c r="P200" s="438"/>
      <c r="Q200" s="438"/>
      <c r="R200" s="438"/>
      <c r="S200" s="438"/>
      <c r="T200" s="438"/>
      <c r="U200" s="438"/>
      <c r="V200" s="439"/>
    </row>
    <row r="201" spans="1:22">
      <c r="A201" s="661">
        <v>3</v>
      </c>
      <c r="B201" s="662"/>
      <c r="C201" s="438"/>
      <c r="D201" s="438"/>
      <c r="E201" s="438"/>
      <c r="F201" s="438"/>
      <c r="G201" s="438"/>
      <c r="H201" s="438"/>
      <c r="I201" s="662">
        <v>2</v>
      </c>
      <c r="J201" s="662"/>
      <c r="K201" s="662"/>
      <c r="L201" s="663">
        <f t="shared" si="19"/>
        <v>36.4</v>
      </c>
      <c r="M201" s="438"/>
      <c r="N201" s="438"/>
      <c r="O201" s="438"/>
      <c r="P201" s="438"/>
      <c r="Q201" s="438"/>
      <c r="R201" s="438"/>
      <c r="S201" s="438"/>
      <c r="T201" s="438"/>
      <c r="U201" s="438"/>
      <c r="V201" s="439"/>
    </row>
    <row r="202" spans="1:22">
      <c r="A202" s="661">
        <v>4</v>
      </c>
      <c r="B202" s="662"/>
      <c r="C202" s="438"/>
      <c r="D202" s="438"/>
      <c r="E202" s="438"/>
      <c r="F202" s="438"/>
      <c r="G202" s="438"/>
      <c r="H202" s="438"/>
      <c r="I202" s="662">
        <v>3</v>
      </c>
      <c r="J202" s="662"/>
      <c r="K202" s="662"/>
      <c r="L202" s="663">
        <f t="shared" si="19"/>
        <v>81.899999999999991</v>
      </c>
      <c r="M202" s="438"/>
      <c r="N202" s="438"/>
      <c r="O202" s="438"/>
      <c r="P202" s="438"/>
      <c r="Q202" s="438"/>
      <c r="R202" s="438"/>
      <c r="S202" s="438"/>
      <c r="T202" s="438"/>
      <c r="U202" s="438"/>
      <c r="V202" s="439"/>
    </row>
    <row r="203" spans="1:22">
      <c r="A203" s="661">
        <v>5</v>
      </c>
      <c r="B203" s="662"/>
      <c r="C203" s="438"/>
      <c r="D203" s="438"/>
      <c r="E203" s="438"/>
      <c r="F203" s="438"/>
      <c r="G203" s="438"/>
      <c r="H203" s="438"/>
      <c r="I203" s="662">
        <v>4</v>
      </c>
      <c r="J203" s="662"/>
      <c r="K203" s="662"/>
      <c r="L203" s="663">
        <f t="shared" si="19"/>
        <v>145.6</v>
      </c>
      <c r="M203" s="438"/>
      <c r="N203" s="438"/>
      <c r="O203" s="438"/>
      <c r="P203" s="438"/>
      <c r="Q203" s="438"/>
      <c r="R203" s="438"/>
      <c r="S203" s="438"/>
      <c r="T203" s="438"/>
      <c r="U203" s="438"/>
      <c r="V203" s="439"/>
    </row>
    <row r="204" spans="1:22">
      <c r="A204" s="661">
        <v>6</v>
      </c>
      <c r="B204" s="662"/>
      <c r="C204" s="438"/>
      <c r="D204" s="438"/>
      <c r="E204" s="438"/>
      <c r="F204" s="438"/>
      <c r="G204" s="438"/>
      <c r="H204" s="438"/>
      <c r="I204" s="662">
        <v>5</v>
      </c>
      <c r="J204" s="662"/>
      <c r="K204" s="662"/>
      <c r="L204" s="663">
        <f t="shared" si="19"/>
        <v>227.5</v>
      </c>
      <c r="M204" s="438"/>
      <c r="N204" s="438"/>
      <c r="O204" s="438"/>
      <c r="P204" s="438"/>
      <c r="Q204" s="438"/>
      <c r="R204" s="438"/>
      <c r="S204" s="438"/>
      <c r="T204" s="438"/>
      <c r="U204" s="438"/>
      <c r="V204" s="439"/>
    </row>
    <row r="205" spans="1:22">
      <c r="A205" s="661">
        <v>7</v>
      </c>
      <c r="B205" s="662"/>
      <c r="C205" s="438"/>
      <c r="D205" s="438"/>
      <c r="E205" s="438"/>
      <c r="F205" s="438"/>
      <c r="G205" s="438"/>
      <c r="H205" s="438"/>
      <c r="I205" s="662">
        <v>6</v>
      </c>
      <c r="J205" s="662"/>
      <c r="K205" s="662"/>
      <c r="L205" s="663">
        <f t="shared" si="19"/>
        <v>327.59999999999997</v>
      </c>
      <c r="M205" s="438"/>
      <c r="N205" s="438"/>
      <c r="O205" s="438"/>
      <c r="P205" s="438"/>
      <c r="Q205" s="438"/>
      <c r="R205" s="438"/>
      <c r="S205" s="438"/>
      <c r="T205" s="438"/>
      <c r="U205" s="438"/>
      <c r="V205" s="439"/>
    </row>
    <row r="206" spans="1:22">
      <c r="A206" s="661">
        <v>8</v>
      </c>
      <c r="B206" s="662"/>
      <c r="C206" s="438"/>
      <c r="D206" s="438"/>
      <c r="E206" s="438"/>
      <c r="F206" s="438"/>
      <c r="G206" s="438"/>
      <c r="H206" s="438"/>
      <c r="I206" s="662">
        <v>7</v>
      </c>
      <c r="J206" s="662"/>
      <c r="K206" s="662"/>
      <c r="L206" s="663">
        <f t="shared" si="19"/>
        <v>445.9</v>
      </c>
      <c r="M206" s="438"/>
      <c r="N206" s="438"/>
      <c r="O206" s="438"/>
      <c r="P206" s="438"/>
      <c r="Q206" s="438"/>
      <c r="R206" s="438"/>
      <c r="S206" s="438"/>
      <c r="T206" s="438"/>
      <c r="U206" s="438"/>
      <c r="V206" s="439"/>
    </row>
    <row r="207" spans="1:22">
      <c r="A207" s="661">
        <v>9</v>
      </c>
      <c r="B207" s="662"/>
      <c r="C207" s="438"/>
      <c r="D207" s="438"/>
      <c r="E207" s="438"/>
      <c r="F207" s="438"/>
      <c r="G207" s="438"/>
      <c r="H207" s="438"/>
      <c r="I207" s="662">
        <v>8</v>
      </c>
      <c r="J207" s="662"/>
      <c r="K207" s="662"/>
      <c r="L207" s="663">
        <f t="shared" si="19"/>
        <v>582.4</v>
      </c>
      <c r="M207" s="438"/>
      <c r="N207" s="438"/>
      <c r="O207" s="438"/>
      <c r="P207" s="438"/>
      <c r="Q207" s="438"/>
      <c r="R207" s="438"/>
      <c r="S207" s="438"/>
      <c r="T207" s="438"/>
      <c r="U207" s="438"/>
      <c r="V207" s="439"/>
    </row>
    <row r="208" spans="1:22">
      <c r="A208" s="661">
        <v>10</v>
      </c>
      <c r="B208" s="662"/>
      <c r="C208" s="438"/>
      <c r="D208" s="438"/>
      <c r="E208" s="438"/>
      <c r="F208" s="438"/>
      <c r="G208" s="438"/>
      <c r="H208" s="438"/>
      <c r="I208" s="662">
        <v>9</v>
      </c>
      <c r="J208" s="662"/>
      <c r="K208" s="662"/>
      <c r="L208" s="663">
        <f t="shared" si="19"/>
        <v>737.1</v>
      </c>
      <c r="M208" s="438"/>
      <c r="N208" s="438"/>
      <c r="O208" s="438"/>
      <c r="P208" s="438"/>
      <c r="Q208" s="438"/>
      <c r="R208" s="438"/>
      <c r="S208" s="438"/>
      <c r="T208" s="438"/>
      <c r="U208" s="438"/>
      <c r="V208" s="439"/>
    </row>
    <row r="209" spans="1:22">
      <c r="A209" s="661">
        <v>11</v>
      </c>
      <c r="B209" s="662"/>
      <c r="C209" s="438"/>
      <c r="D209" s="438"/>
      <c r="E209" s="438"/>
      <c r="F209" s="438"/>
      <c r="G209" s="438"/>
      <c r="H209" s="438"/>
      <c r="I209" s="662">
        <v>10</v>
      </c>
      <c r="J209" s="662"/>
      <c r="K209" s="662"/>
      <c r="L209" s="663">
        <f t="shared" si="19"/>
        <v>910</v>
      </c>
      <c r="M209" s="438"/>
      <c r="N209" s="438"/>
      <c r="O209" s="438"/>
      <c r="P209" s="438"/>
      <c r="Q209" s="438"/>
      <c r="R209" s="438"/>
      <c r="S209" s="438"/>
      <c r="T209" s="438"/>
      <c r="U209" s="438"/>
      <c r="V209" s="439"/>
    </row>
    <row r="210" spans="1:22">
      <c r="A210" s="661">
        <v>12</v>
      </c>
      <c r="B210" s="662"/>
      <c r="C210" s="438"/>
      <c r="D210" s="438"/>
      <c r="E210" s="438"/>
      <c r="F210" s="438"/>
      <c r="G210" s="438"/>
      <c r="H210" s="438"/>
      <c r="I210" s="662">
        <v>11</v>
      </c>
      <c r="J210" s="662"/>
      <c r="K210" s="662"/>
      <c r="L210" s="663">
        <f t="shared" si="19"/>
        <v>1101.0999999999999</v>
      </c>
      <c r="M210" s="438"/>
      <c r="N210" s="438"/>
      <c r="O210" s="438"/>
      <c r="P210" s="438"/>
      <c r="Q210" s="438"/>
      <c r="R210" s="438"/>
      <c r="S210" s="438"/>
      <c r="T210" s="438"/>
      <c r="U210" s="438"/>
      <c r="V210" s="439"/>
    </row>
    <row r="211" spans="1:22">
      <c r="A211" s="661">
        <v>13</v>
      </c>
      <c r="B211" s="662"/>
      <c r="C211" s="438"/>
      <c r="D211" s="438"/>
      <c r="E211" s="438"/>
      <c r="F211" s="438"/>
      <c r="G211" s="438"/>
      <c r="H211" s="438"/>
      <c r="I211" s="662">
        <v>12</v>
      </c>
      <c r="J211" s="662"/>
      <c r="K211" s="662"/>
      <c r="L211" s="663">
        <f t="shared" si="19"/>
        <v>1310.3999999999999</v>
      </c>
      <c r="M211" s="438"/>
      <c r="N211" s="438"/>
      <c r="O211" s="438"/>
      <c r="P211" s="438"/>
      <c r="Q211" s="438"/>
      <c r="R211" s="438"/>
      <c r="S211" s="438"/>
      <c r="T211" s="438"/>
      <c r="U211" s="438"/>
      <c r="V211" s="439"/>
    </row>
    <row r="212" spans="1:22">
      <c r="A212" s="661">
        <v>14</v>
      </c>
      <c r="B212" s="662"/>
      <c r="C212" s="438"/>
      <c r="D212" s="438"/>
      <c r="E212" s="438"/>
      <c r="F212" s="438"/>
      <c r="G212" s="438"/>
      <c r="H212" s="438"/>
      <c r="I212" s="662">
        <v>13</v>
      </c>
      <c r="J212" s="662"/>
      <c r="K212" s="662"/>
      <c r="L212" s="663">
        <f t="shared" si="19"/>
        <v>1537.8999999999999</v>
      </c>
      <c r="M212" s="438"/>
      <c r="N212" s="438"/>
      <c r="O212" s="438"/>
      <c r="P212" s="438"/>
      <c r="Q212" s="438"/>
      <c r="R212" s="438"/>
      <c r="S212" s="438"/>
      <c r="T212" s="438"/>
      <c r="U212" s="438"/>
      <c r="V212" s="439"/>
    </row>
    <row r="213" spans="1:22">
      <c r="A213" s="661">
        <v>15</v>
      </c>
      <c r="B213" s="662"/>
      <c r="C213" s="438"/>
      <c r="D213" s="438"/>
      <c r="E213" s="438"/>
      <c r="F213" s="438"/>
      <c r="G213" s="438"/>
      <c r="H213" s="438"/>
      <c r="I213" s="662">
        <v>14</v>
      </c>
      <c r="J213" s="662"/>
      <c r="K213" s="662"/>
      <c r="L213" s="663">
        <f t="shared" si="19"/>
        <v>1783.6</v>
      </c>
      <c r="M213" s="438"/>
      <c r="N213" s="438"/>
      <c r="O213" s="438"/>
      <c r="P213" s="438"/>
      <c r="Q213" s="438"/>
      <c r="R213" s="438"/>
      <c r="S213" s="438"/>
      <c r="T213" s="438"/>
      <c r="U213" s="438"/>
      <c r="V213" s="439"/>
    </row>
    <row r="214" spans="1:22">
      <c r="A214" s="661">
        <v>16</v>
      </c>
      <c r="B214" s="662"/>
      <c r="C214" s="438"/>
      <c r="D214" s="438"/>
      <c r="E214" s="438"/>
      <c r="F214" s="438"/>
      <c r="G214" s="438"/>
      <c r="H214" s="438"/>
      <c r="I214" s="662">
        <v>15</v>
      </c>
      <c r="J214" s="662"/>
      <c r="K214" s="662"/>
      <c r="L214" s="663">
        <f t="shared" si="19"/>
        <v>2047.5</v>
      </c>
      <c r="M214" s="438"/>
      <c r="N214" s="438"/>
      <c r="O214" s="438"/>
      <c r="P214" s="438"/>
      <c r="Q214" s="438"/>
      <c r="R214" s="438"/>
      <c r="S214" s="438"/>
      <c r="T214" s="438"/>
      <c r="U214" s="438"/>
      <c r="V214" s="439"/>
    </row>
    <row r="215" spans="1:22">
      <c r="A215" s="661">
        <v>17</v>
      </c>
      <c r="B215" s="662">
        <v>2360</v>
      </c>
      <c r="C215" s="438"/>
      <c r="D215" s="438"/>
      <c r="E215" s="438"/>
      <c r="F215" s="438"/>
      <c r="G215" s="438"/>
      <c r="H215" s="438"/>
      <c r="I215" s="662">
        <v>16</v>
      </c>
      <c r="J215" s="662"/>
      <c r="K215" s="662"/>
      <c r="L215" s="663">
        <f t="shared" si="19"/>
        <v>2329.6</v>
      </c>
      <c r="M215" s="438"/>
      <c r="N215" s="438"/>
      <c r="O215" s="438"/>
      <c r="P215" s="438"/>
      <c r="Q215" s="438"/>
      <c r="R215" s="438"/>
      <c r="S215" s="438"/>
      <c r="T215" s="438"/>
      <c r="U215" s="438"/>
      <c r="V215" s="439"/>
    </row>
    <row r="216" spans="1:22">
      <c r="A216" s="661">
        <v>18</v>
      </c>
      <c r="B216" s="662">
        <v>2310</v>
      </c>
      <c r="C216" s="438"/>
      <c r="D216" s="438"/>
      <c r="E216" s="438"/>
      <c r="F216" s="438"/>
      <c r="G216" s="438"/>
      <c r="H216" s="438"/>
      <c r="I216" s="661">
        <v>17</v>
      </c>
      <c r="J216" s="662">
        <v>2360</v>
      </c>
      <c r="K216" s="662">
        <f>J216*2</f>
        <v>4720</v>
      </c>
      <c r="L216" s="663">
        <f t="shared" si="19"/>
        <v>2629.9</v>
      </c>
      <c r="M216" s="438"/>
      <c r="N216" s="438"/>
      <c r="O216" s="438"/>
      <c r="P216" s="438"/>
      <c r="Q216" s="438"/>
      <c r="R216" s="438"/>
      <c r="S216" s="438"/>
      <c r="T216" s="438"/>
      <c r="U216" s="438"/>
      <c r="V216" s="439"/>
    </row>
    <row r="217" spans="1:22">
      <c r="A217" s="661">
        <v>19</v>
      </c>
      <c r="B217" s="662">
        <v>2220</v>
      </c>
      <c r="C217" s="438"/>
      <c r="D217" s="438"/>
      <c r="E217" s="438"/>
      <c r="F217" s="438"/>
      <c r="G217" s="438"/>
      <c r="H217" s="438"/>
      <c r="I217" s="661">
        <v>18</v>
      </c>
      <c r="J217" s="662">
        <v>2310</v>
      </c>
      <c r="K217" s="662">
        <f t="shared" ref="K217:K226" si="20">J217*2</f>
        <v>4620</v>
      </c>
      <c r="L217" s="663">
        <f t="shared" si="19"/>
        <v>2948.4</v>
      </c>
      <c r="M217" s="438"/>
      <c r="N217" s="438"/>
      <c r="O217" s="438"/>
      <c r="P217" s="438"/>
      <c r="Q217" s="438"/>
      <c r="R217" s="438"/>
      <c r="S217" s="438"/>
      <c r="T217" s="438"/>
      <c r="U217" s="438"/>
      <c r="V217" s="439"/>
    </row>
    <row r="218" spans="1:22">
      <c r="A218" s="661">
        <v>20</v>
      </c>
      <c r="B218" s="662">
        <v>2040</v>
      </c>
      <c r="C218" s="438"/>
      <c r="D218" s="438"/>
      <c r="E218" s="438"/>
      <c r="F218" s="438"/>
      <c r="G218" s="438"/>
      <c r="H218" s="438"/>
      <c r="I218" s="661">
        <v>19</v>
      </c>
      <c r="J218" s="662">
        <v>2220</v>
      </c>
      <c r="K218" s="662">
        <f t="shared" si="20"/>
        <v>4440</v>
      </c>
      <c r="L218" s="663">
        <f t="shared" si="19"/>
        <v>3285.1</v>
      </c>
      <c r="M218" s="438"/>
      <c r="N218" s="438"/>
      <c r="O218" s="438"/>
      <c r="P218" s="438"/>
      <c r="Q218" s="438"/>
      <c r="R218" s="438"/>
      <c r="S218" s="438"/>
      <c r="T218" s="438"/>
      <c r="U218" s="438"/>
      <c r="V218" s="439"/>
    </row>
    <row r="219" spans="1:22">
      <c r="A219" s="661">
        <v>21</v>
      </c>
      <c r="B219" s="662">
        <v>1815</v>
      </c>
      <c r="C219" s="438"/>
      <c r="D219" s="438"/>
      <c r="E219" s="438"/>
      <c r="F219" s="438"/>
      <c r="G219" s="438"/>
      <c r="H219" s="438"/>
      <c r="I219" s="661">
        <v>20</v>
      </c>
      <c r="J219" s="662">
        <v>2040</v>
      </c>
      <c r="K219" s="662">
        <f t="shared" si="20"/>
        <v>4080</v>
      </c>
      <c r="L219" s="663">
        <f t="shared" si="19"/>
        <v>3640</v>
      </c>
      <c r="M219" s="438"/>
      <c r="N219" s="438"/>
      <c r="O219" s="438"/>
      <c r="P219" s="438"/>
      <c r="Q219" s="438"/>
      <c r="R219" s="438"/>
      <c r="S219" s="438"/>
      <c r="T219" s="438"/>
      <c r="U219" s="438"/>
      <c r="V219" s="439"/>
    </row>
    <row r="220" spans="1:22">
      <c r="A220" s="661">
        <v>22</v>
      </c>
      <c r="B220" s="662">
        <v>1580</v>
      </c>
      <c r="C220" s="438"/>
      <c r="D220" s="438"/>
      <c r="E220" s="438"/>
      <c r="F220" s="438"/>
      <c r="G220" s="438"/>
      <c r="H220" s="438"/>
      <c r="I220" s="661">
        <v>21</v>
      </c>
      <c r="J220" s="662">
        <v>1815</v>
      </c>
      <c r="K220" s="662">
        <f t="shared" si="20"/>
        <v>3630</v>
      </c>
      <c r="L220" s="663">
        <f t="shared" si="19"/>
        <v>4013.1</v>
      </c>
      <c r="M220" s="438"/>
      <c r="N220" s="438"/>
      <c r="O220" s="438"/>
      <c r="P220" s="438"/>
      <c r="Q220" s="438"/>
      <c r="R220" s="438"/>
      <c r="S220" s="438"/>
      <c r="T220" s="438"/>
      <c r="U220" s="438"/>
      <c r="V220" s="439"/>
    </row>
    <row r="221" spans="1:22">
      <c r="A221" s="661">
        <v>23</v>
      </c>
      <c r="B221" s="662">
        <v>1300</v>
      </c>
      <c r="C221" s="438"/>
      <c r="D221" s="438"/>
      <c r="E221" s="438"/>
      <c r="F221" s="438"/>
      <c r="G221" s="438"/>
      <c r="H221" s="438"/>
      <c r="I221" s="661">
        <v>22</v>
      </c>
      <c r="J221" s="662">
        <v>1580</v>
      </c>
      <c r="K221" s="662">
        <f t="shared" si="20"/>
        <v>3160</v>
      </c>
      <c r="L221" s="663"/>
      <c r="M221" s="438"/>
      <c r="N221" s="438"/>
      <c r="O221" s="438"/>
      <c r="P221" s="438"/>
      <c r="Q221" s="438"/>
      <c r="R221" s="438"/>
      <c r="S221" s="438"/>
      <c r="T221" s="438"/>
      <c r="U221" s="438"/>
      <c r="V221" s="439"/>
    </row>
    <row r="222" spans="1:22">
      <c r="A222" s="661">
        <v>24</v>
      </c>
      <c r="B222" s="662">
        <v>1000</v>
      </c>
      <c r="C222" s="438"/>
      <c r="D222" s="438"/>
      <c r="E222" s="438"/>
      <c r="F222" s="438"/>
      <c r="G222" s="438"/>
      <c r="H222" s="438"/>
      <c r="I222" s="661">
        <v>23</v>
      </c>
      <c r="J222" s="662">
        <v>1300</v>
      </c>
      <c r="K222" s="662">
        <f t="shared" si="20"/>
        <v>2600</v>
      </c>
      <c r="L222" s="663"/>
      <c r="M222" s="438"/>
      <c r="N222" s="438"/>
      <c r="O222" s="438"/>
      <c r="P222" s="438"/>
      <c r="Q222" s="438"/>
      <c r="R222" s="438"/>
      <c r="S222" s="438"/>
      <c r="T222" s="438"/>
      <c r="U222" s="438"/>
      <c r="V222" s="439"/>
    </row>
    <row r="223" spans="1:22">
      <c r="A223" s="661">
        <v>25</v>
      </c>
      <c r="B223" s="662">
        <v>680</v>
      </c>
      <c r="C223" s="438"/>
      <c r="D223" s="438"/>
      <c r="E223" s="438"/>
      <c r="F223" s="438"/>
      <c r="G223" s="438"/>
      <c r="H223" s="438"/>
      <c r="I223" s="661">
        <v>24</v>
      </c>
      <c r="J223" s="662">
        <v>1000</v>
      </c>
      <c r="K223" s="662">
        <f t="shared" si="20"/>
        <v>2000</v>
      </c>
      <c r="L223" s="663"/>
      <c r="M223" s="438"/>
      <c r="N223" s="438"/>
      <c r="O223" s="438"/>
      <c r="P223" s="438"/>
      <c r="Q223" s="438"/>
      <c r="R223" s="438"/>
      <c r="S223" s="438"/>
      <c r="T223" s="438"/>
      <c r="U223" s="438"/>
      <c r="V223" s="439"/>
    </row>
    <row r="224" spans="1:22">
      <c r="A224" s="661">
        <v>26</v>
      </c>
      <c r="B224" s="662">
        <v>350</v>
      </c>
      <c r="C224" s="438"/>
      <c r="D224" s="438"/>
      <c r="E224" s="438"/>
      <c r="F224" s="438"/>
      <c r="G224" s="438"/>
      <c r="H224" s="438"/>
      <c r="I224" s="661">
        <v>25</v>
      </c>
      <c r="J224" s="662">
        <v>680</v>
      </c>
      <c r="K224" s="662">
        <f t="shared" si="20"/>
        <v>1360</v>
      </c>
      <c r="L224" s="663"/>
      <c r="M224" s="438"/>
      <c r="N224" s="438"/>
      <c r="O224" s="438"/>
      <c r="P224" s="438"/>
      <c r="Q224" s="438"/>
      <c r="R224" s="438"/>
      <c r="S224" s="438"/>
      <c r="T224" s="438"/>
      <c r="U224" s="438"/>
      <c r="V224" s="439"/>
    </row>
    <row r="225" spans="1:22">
      <c r="A225" s="661">
        <v>27</v>
      </c>
      <c r="B225" s="662">
        <v>0</v>
      </c>
      <c r="C225" s="438"/>
      <c r="D225" s="438"/>
      <c r="E225" s="438"/>
      <c r="F225" s="438"/>
      <c r="G225" s="438"/>
      <c r="H225" s="438"/>
      <c r="I225" s="661">
        <v>26</v>
      </c>
      <c r="J225" s="662">
        <v>350</v>
      </c>
      <c r="K225" s="662">
        <f t="shared" si="20"/>
        <v>700</v>
      </c>
      <c r="L225" s="438"/>
      <c r="M225" s="438"/>
      <c r="N225" s="438"/>
      <c r="O225" s="438"/>
      <c r="P225" s="438"/>
      <c r="Q225" s="438"/>
      <c r="R225" s="438"/>
      <c r="S225" s="438"/>
      <c r="T225" s="438"/>
      <c r="U225" s="438"/>
      <c r="V225" s="439"/>
    </row>
    <row r="226" spans="1:22">
      <c r="A226" s="481"/>
      <c r="B226" s="512"/>
      <c r="C226" s="438"/>
      <c r="D226" s="438"/>
      <c r="E226" s="438"/>
      <c r="F226" s="438"/>
      <c r="G226" s="438"/>
      <c r="H226" s="438"/>
      <c r="I226" s="661">
        <v>27</v>
      </c>
      <c r="J226" s="662">
        <v>0</v>
      </c>
      <c r="K226" s="662">
        <f t="shared" si="20"/>
        <v>0</v>
      </c>
      <c r="L226" s="438"/>
      <c r="M226" s="438"/>
      <c r="N226" s="438"/>
      <c r="O226" s="438"/>
      <c r="P226" s="438"/>
      <c r="Q226" s="438"/>
      <c r="R226" s="438"/>
      <c r="S226" s="438"/>
      <c r="T226" s="438"/>
      <c r="U226" s="438"/>
      <c r="V226" s="439"/>
    </row>
    <row r="227" spans="1:22" ht="13.5" thickBot="1">
      <c r="A227" s="488"/>
      <c r="B227" s="448"/>
      <c r="C227" s="448"/>
      <c r="D227" s="448"/>
      <c r="E227" s="448"/>
      <c r="F227" s="448"/>
      <c r="G227" s="448"/>
      <c r="H227" s="448"/>
      <c r="I227" s="448"/>
      <c r="J227" s="448"/>
      <c r="K227" s="448"/>
      <c r="L227" s="448"/>
      <c r="M227" s="448"/>
      <c r="N227" s="448"/>
      <c r="O227" s="448"/>
      <c r="P227" s="448"/>
      <c r="Q227" s="448"/>
      <c r="R227" s="448"/>
      <c r="S227" s="448"/>
      <c r="T227" s="448"/>
      <c r="U227" s="448"/>
      <c r="V227" s="450"/>
    </row>
    <row r="228" spans="1:22" ht="13.5" thickBot="1"/>
    <row r="229" spans="1:22">
      <c r="A229" s="557"/>
      <c r="B229" s="507"/>
      <c r="C229" s="507"/>
      <c r="D229" s="507"/>
      <c r="E229" s="507"/>
      <c r="F229" s="507"/>
      <c r="G229" s="507"/>
      <c r="H229" s="507"/>
      <c r="I229" s="669"/>
      <c r="J229" s="669"/>
      <c r="K229" s="507"/>
      <c r="L229" s="507"/>
      <c r="M229" s="507"/>
      <c r="N229" s="507"/>
      <c r="O229" s="507"/>
      <c r="P229" s="507"/>
      <c r="Q229" s="509"/>
    </row>
    <row r="230" spans="1:22" ht="23.25">
      <c r="A230" s="2926" t="s">
        <v>837</v>
      </c>
      <c r="B230" s="2927"/>
      <c r="C230" s="2927"/>
      <c r="D230" s="2927"/>
      <c r="E230" s="2927"/>
      <c r="F230" s="2927"/>
      <c r="G230" s="2927"/>
      <c r="H230" s="2927"/>
      <c r="I230" s="2927"/>
      <c r="J230" s="2927"/>
      <c r="K230" s="2927"/>
      <c r="L230" s="2927"/>
      <c r="M230" s="2927"/>
      <c r="N230" s="2927"/>
      <c r="O230" s="2927"/>
      <c r="P230" s="2927"/>
      <c r="Q230" s="2928"/>
    </row>
    <row r="231" spans="1:22">
      <c r="A231" s="489"/>
      <c r="B231" s="438"/>
      <c r="C231" s="438"/>
      <c r="D231" s="438"/>
      <c r="E231" s="438"/>
      <c r="F231" s="438"/>
      <c r="G231" s="438"/>
      <c r="H231" s="438"/>
      <c r="I231" s="512"/>
      <c r="J231" s="512"/>
      <c r="K231" s="438"/>
      <c r="L231" s="438"/>
      <c r="M231" s="438"/>
      <c r="N231" s="438"/>
      <c r="O231" s="438"/>
      <c r="P231" s="438"/>
      <c r="Q231" s="439"/>
    </row>
    <row r="232" spans="1:22">
      <c r="A232" s="489"/>
      <c r="B232" s="438"/>
      <c r="C232" s="438"/>
      <c r="D232" s="438"/>
      <c r="E232" s="438"/>
      <c r="F232" s="438"/>
      <c r="G232" s="438"/>
      <c r="H232" s="438"/>
      <c r="I232" s="512"/>
      <c r="J232" s="512"/>
      <c r="K232" s="438"/>
      <c r="L232" s="438"/>
      <c r="M232" s="438"/>
      <c r="N232" s="438"/>
      <c r="O232" s="438"/>
      <c r="P232" s="438"/>
      <c r="Q232" s="439"/>
    </row>
    <row r="233" spans="1:22" ht="13.5" thickBot="1">
      <c r="A233" s="489"/>
      <c r="B233" s="438"/>
      <c r="C233" s="438"/>
      <c r="D233" s="438"/>
      <c r="J233" s="512"/>
      <c r="K233" s="438"/>
      <c r="L233" s="438"/>
      <c r="M233" s="438"/>
      <c r="N233" s="438"/>
      <c r="O233" s="438"/>
      <c r="P233" s="438"/>
      <c r="Q233" s="439"/>
    </row>
    <row r="234" spans="1:22" ht="15" thickBot="1">
      <c r="A234" s="2929" t="s">
        <v>820</v>
      </c>
      <c r="B234" s="2930"/>
      <c r="C234" s="2931"/>
      <c r="D234" s="2932"/>
      <c r="E234" s="674" t="s">
        <v>821</v>
      </c>
      <c r="F234" s="2933" t="s">
        <v>822</v>
      </c>
      <c r="G234" s="2934"/>
      <c r="H234" s="438"/>
      <c r="I234" s="438"/>
      <c r="J234" s="438"/>
      <c r="K234" s="438"/>
      <c r="L234" s="438"/>
      <c r="M234" s="438"/>
      <c r="N234" s="438"/>
      <c r="O234" s="438"/>
      <c r="P234" s="438"/>
      <c r="Q234" s="439"/>
    </row>
    <row r="235" spans="1:22">
      <c r="A235" s="489"/>
      <c r="B235" s="438"/>
      <c r="C235" s="438"/>
      <c r="D235" s="438"/>
      <c r="E235" s="438"/>
      <c r="F235" s="438"/>
      <c r="G235" s="438"/>
      <c r="H235" s="438"/>
      <c r="M235" s="438"/>
      <c r="N235" s="438"/>
      <c r="O235" s="438"/>
      <c r="P235" s="438"/>
      <c r="Q235" s="439"/>
    </row>
    <row r="236" spans="1:22">
      <c r="A236" s="489" t="s">
        <v>838</v>
      </c>
      <c r="B236" s="438"/>
      <c r="C236" s="438"/>
      <c r="D236" s="438"/>
      <c r="E236" s="438"/>
      <c r="F236" s="438"/>
      <c r="G236" s="438"/>
      <c r="H236" s="438"/>
      <c r="I236" s="438"/>
      <c r="J236" s="438"/>
      <c r="K236" s="438"/>
      <c r="L236" s="438"/>
      <c r="M236" s="438"/>
      <c r="N236" s="438"/>
      <c r="O236" s="438"/>
      <c r="P236" s="438"/>
      <c r="Q236" s="439"/>
    </row>
    <row r="237" spans="1:22">
      <c r="A237" s="670" t="s">
        <v>839</v>
      </c>
      <c r="B237" s="658" t="s">
        <v>824</v>
      </c>
      <c r="C237" s="438"/>
      <c r="D237" s="438"/>
      <c r="E237" s="438"/>
      <c r="F237" s="438"/>
      <c r="G237" s="438"/>
      <c r="H237" s="438"/>
      <c r="I237" s="438"/>
      <c r="J237" s="438"/>
      <c r="K237" s="438"/>
      <c r="L237" s="438"/>
      <c r="M237" s="438"/>
      <c r="N237" s="438"/>
      <c r="O237" s="438"/>
      <c r="P237" s="438"/>
      <c r="Q237" s="439"/>
    </row>
    <row r="238" spans="1:22" ht="25.5">
      <c r="A238" s="659" t="s">
        <v>825</v>
      </c>
      <c r="B238" s="660" t="s">
        <v>826</v>
      </c>
      <c r="C238" s="660" t="s">
        <v>827</v>
      </c>
      <c r="D238" s="438"/>
      <c r="E238" s="438"/>
      <c r="F238" s="438"/>
      <c r="G238" s="438"/>
      <c r="H238" s="438"/>
      <c r="I238" s="438"/>
      <c r="J238" s="438"/>
      <c r="K238" s="438"/>
      <c r="L238" s="438"/>
      <c r="M238" s="438"/>
      <c r="N238" s="438"/>
      <c r="O238" s="438"/>
      <c r="P238" s="438"/>
      <c r="Q238" s="439"/>
    </row>
    <row r="239" spans="1:22">
      <c r="A239" s="661"/>
      <c r="B239" s="662"/>
      <c r="C239" s="663">
        <f>$C$234*(A239*A239)</f>
        <v>0</v>
      </c>
      <c r="D239" s="438"/>
      <c r="E239" s="438"/>
      <c r="F239" s="438"/>
      <c r="G239" s="438"/>
      <c r="H239" s="438"/>
      <c r="I239" s="438"/>
      <c r="J239" s="438"/>
      <c r="L239" s="438"/>
      <c r="M239" s="438"/>
      <c r="N239" s="438"/>
      <c r="O239" s="438"/>
      <c r="P239" s="438"/>
      <c r="Q239" s="439"/>
    </row>
    <row r="240" spans="1:22">
      <c r="A240" s="661"/>
      <c r="B240" s="662"/>
      <c r="C240" s="663">
        <f t="shared" ref="C240:C255" si="21">$C$234*(A240*A240)</f>
        <v>0</v>
      </c>
      <c r="D240" s="438"/>
      <c r="E240" s="438"/>
      <c r="F240" s="438"/>
      <c r="G240" s="438"/>
      <c r="H240" s="438"/>
      <c r="I240" s="438"/>
      <c r="J240" s="438"/>
      <c r="L240" s="438"/>
      <c r="M240" s="438"/>
      <c r="N240" s="438"/>
      <c r="O240" s="438"/>
      <c r="P240" s="438"/>
      <c r="Q240" s="439"/>
    </row>
    <row r="241" spans="1:17">
      <c r="A241" s="661"/>
      <c r="B241" s="662"/>
      <c r="C241" s="663">
        <f t="shared" si="21"/>
        <v>0</v>
      </c>
      <c r="D241" s="438"/>
      <c r="E241" s="438"/>
      <c r="F241" s="438"/>
      <c r="G241" s="438"/>
      <c r="H241" s="438"/>
      <c r="I241" s="438"/>
      <c r="J241" s="438"/>
      <c r="L241" s="438"/>
      <c r="M241" s="438"/>
      <c r="N241" s="438"/>
      <c r="O241" s="438"/>
      <c r="P241" s="438"/>
      <c r="Q241" s="439"/>
    </row>
    <row r="242" spans="1:17">
      <c r="A242" s="661"/>
      <c r="B242" s="662"/>
      <c r="C242" s="663">
        <f t="shared" si="21"/>
        <v>0</v>
      </c>
      <c r="D242" s="438"/>
      <c r="E242" s="438"/>
      <c r="F242" s="438"/>
      <c r="G242" s="438"/>
      <c r="H242" s="438"/>
      <c r="I242" s="438"/>
      <c r="J242" s="438"/>
      <c r="L242" s="438"/>
      <c r="M242" s="438"/>
      <c r="N242" s="438"/>
      <c r="O242" s="438"/>
      <c r="P242" s="438"/>
      <c r="Q242" s="439"/>
    </row>
    <row r="243" spans="1:17">
      <c r="A243" s="661"/>
      <c r="B243" s="662"/>
      <c r="C243" s="663">
        <f t="shared" si="21"/>
        <v>0</v>
      </c>
      <c r="D243" s="438"/>
      <c r="E243" s="438"/>
      <c r="F243" s="438"/>
      <c r="G243" s="438"/>
      <c r="H243" s="438"/>
      <c r="I243" s="438"/>
      <c r="J243" s="438"/>
      <c r="L243" s="438"/>
      <c r="M243" s="438"/>
      <c r="N243" s="438"/>
      <c r="O243" s="438"/>
      <c r="P243" s="438"/>
      <c r="Q243" s="439"/>
    </row>
    <row r="244" spans="1:17">
      <c r="A244" s="661"/>
      <c r="B244" s="662"/>
      <c r="C244" s="663">
        <f t="shared" si="21"/>
        <v>0</v>
      </c>
      <c r="D244" s="438"/>
      <c r="E244" s="438"/>
      <c r="F244" s="438"/>
      <c r="G244" s="438"/>
      <c r="H244" s="438"/>
      <c r="I244" s="438"/>
      <c r="J244" s="438"/>
      <c r="L244" s="438"/>
      <c r="M244" s="438"/>
      <c r="N244" s="438"/>
      <c r="O244" s="438"/>
      <c r="P244" s="438"/>
      <c r="Q244" s="439"/>
    </row>
    <row r="245" spans="1:17">
      <c r="A245" s="661"/>
      <c r="B245" s="662"/>
      <c r="C245" s="663">
        <f t="shared" si="21"/>
        <v>0</v>
      </c>
      <c r="D245" s="438"/>
      <c r="E245" s="438"/>
      <c r="F245" s="438"/>
      <c r="G245" s="438"/>
      <c r="H245" s="438"/>
      <c r="I245" s="438"/>
      <c r="J245" s="438"/>
      <c r="L245" s="438"/>
      <c r="M245" s="438"/>
      <c r="N245" s="438"/>
      <c r="O245" s="438"/>
      <c r="P245" s="438"/>
      <c r="Q245" s="439"/>
    </row>
    <row r="246" spans="1:17">
      <c r="A246" s="948">
        <v>145</v>
      </c>
      <c r="B246" s="949">
        <v>4900</v>
      </c>
      <c r="C246" s="663">
        <f t="shared" si="21"/>
        <v>0</v>
      </c>
      <c r="D246" s="438"/>
      <c r="E246" s="438"/>
      <c r="F246" s="438"/>
      <c r="G246" s="438"/>
      <c r="H246" s="438"/>
      <c r="I246" s="438"/>
      <c r="J246" s="438"/>
      <c r="L246" s="438"/>
      <c r="M246" s="438"/>
      <c r="N246" s="438"/>
      <c r="O246" s="438"/>
      <c r="P246" s="438"/>
      <c r="Q246" s="439"/>
    </row>
    <row r="247" spans="1:17">
      <c r="A247" s="948">
        <v>140</v>
      </c>
      <c r="B247" s="949">
        <v>5000</v>
      </c>
      <c r="C247" s="663">
        <f t="shared" si="21"/>
        <v>0</v>
      </c>
      <c r="D247" s="438"/>
      <c r="E247" s="438"/>
      <c r="F247" s="438"/>
      <c r="G247" s="438"/>
      <c r="H247" s="438"/>
      <c r="I247" s="438"/>
      <c r="J247" s="438"/>
      <c r="L247" s="438"/>
      <c r="M247" s="438"/>
      <c r="N247" s="438"/>
      <c r="O247" s="438"/>
      <c r="P247" s="438"/>
      <c r="Q247" s="439"/>
    </row>
    <row r="248" spans="1:17">
      <c r="A248" s="948">
        <v>130</v>
      </c>
      <c r="B248" s="949">
        <v>4930</v>
      </c>
      <c r="C248" s="663">
        <f t="shared" si="21"/>
        <v>0</v>
      </c>
      <c r="D248" s="438"/>
      <c r="E248" s="438"/>
      <c r="F248" s="438"/>
      <c r="G248" s="438"/>
      <c r="H248" s="438"/>
      <c r="I248" s="438"/>
      <c r="J248" s="438"/>
      <c r="L248" s="438"/>
      <c r="M248" s="438"/>
      <c r="N248" s="438"/>
      <c r="O248" s="438"/>
      <c r="P248" s="438"/>
      <c r="Q248" s="439"/>
    </row>
    <row r="249" spans="1:17">
      <c r="A249" s="948">
        <v>120</v>
      </c>
      <c r="B249" s="949">
        <v>4500</v>
      </c>
      <c r="C249" s="663">
        <f t="shared" si="21"/>
        <v>0</v>
      </c>
      <c r="D249" s="438"/>
      <c r="E249" s="438"/>
      <c r="F249" s="438"/>
      <c r="G249" s="438"/>
      <c r="H249" s="438"/>
      <c r="I249" s="438"/>
      <c r="J249" s="438"/>
      <c r="L249" s="438"/>
      <c r="M249" s="438"/>
      <c r="N249" s="438"/>
      <c r="O249" s="438"/>
      <c r="P249" s="438"/>
      <c r="Q249" s="439"/>
    </row>
    <row r="250" spans="1:17">
      <c r="A250" s="948">
        <v>110</v>
      </c>
      <c r="B250" s="949">
        <v>3890</v>
      </c>
      <c r="C250" s="663">
        <f t="shared" si="21"/>
        <v>0</v>
      </c>
      <c r="D250" s="438"/>
      <c r="E250" s="438"/>
      <c r="F250" s="438"/>
      <c r="G250" s="438"/>
      <c r="H250" s="438"/>
      <c r="I250" s="438"/>
      <c r="J250" s="438"/>
      <c r="L250" s="438"/>
      <c r="M250" s="438"/>
      <c r="N250" s="438"/>
      <c r="O250" s="438"/>
      <c r="P250" s="438"/>
      <c r="Q250" s="439"/>
    </row>
    <row r="251" spans="1:17">
      <c r="A251" s="948">
        <v>100</v>
      </c>
      <c r="B251" s="949">
        <v>3180</v>
      </c>
      <c r="C251" s="663">
        <f t="shared" si="21"/>
        <v>0</v>
      </c>
      <c r="D251" s="438"/>
      <c r="E251" s="438"/>
      <c r="F251" s="438"/>
      <c r="G251" s="438"/>
      <c r="H251" s="438"/>
      <c r="I251" s="438"/>
      <c r="J251" s="438"/>
      <c r="L251" s="438"/>
      <c r="M251" s="438"/>
      <c r="N251" s="438"/>
      <c r="O251" s="438"/>
      <c r="P251" s="438"/>
      <c r="Q251" s="439"/>
    </row>
    <row r="252" spans="1:17">
      <c r="A252" s="948">
        <v>90</v>
      </c>
      <c r="B252" s="949">
        <v>2400</v>
      </c>
      <c r="C252" s="663">
        <f t="shared" si="21"/>
        <v>0</v>
      </c>
      <c r="D252" s="438"/>
      <c r="E252" s="438"/>
      <c r="F252" s="438"/>
      <c r="G252" s="438"/>
      <c r="H252" s="438"/>
      <c r="I252" s="438"/>
      <c r="J252" s="438"/>
      <c r="L252" s="438"/>
      <c r="M252" s="438"/>
      <c r="N252" s="438"/>
      <c r="O252" s="438"/>
      <c r="P252" s="438"/>
      <c r="Q252" s="439"/>
    </row>
    <row r="253" spans="1:17">
      <c r="A253" s="948">
        <v>80</v>
      </c>
      <c r="B253" s="949">
        <v>1630</v>
      </c>
      <c r="C253" s="663">
        <f t="shared" si="21"/>
        <v>0</v>
      </c>
      <c r="D253" s="438"/>
      <c r="E253" s="438"/>
      <c r="F253" s="438"/>
      <c r="G253" s="438"/>
      <c r="H253" s="438"/>
      <c r="I253" s="438"/>
      <c r="J253" s="438"/>
      <c r="L253" s="438"/>
      <c r="M253" s="438"/>
      <c r="N253" s="438"/>
      <c r="O253" s="438"/>
      <c r="P253" s="438"/>
      <c r="Q253" s="439"/>
    </row>
    <row r="254" spans="1:17">
      <c r="A254" s="948">
        <v>70</v>
      </c>
      <c r="B254" s="949">
        <v>810</v>
      </c>
      <c r="C254" s="663">
        <f t="shared" si="21"/>
        <v>0</v>
      </c>
      <c r="D254" s="438"/>
      <c r="E254" s="438"/>
      <c r="F254" s="438"/>
      <c r="G254" s="438"/>
      <c r="H254" s="438"/>
      <c r="I254" s="438"/>
      <c r="J254" s="438"/>
      <c r="L254" s="438"/>
      <c r="M254" s="438"/>
      <c r="N254" s="438"/>
      <c r="O254" s="438"/>
      <c r="P254" s="438"/>
      <c r="Q254" s="439"/>
    </row>
    <row r="255" spans="1:17">
      <c r="A255" s="948">
        <v>60</v>
      </c>
      <c r="B255" s="949">
        <v>0</v>
      </c>
      <c r="C255" s="663">
        <f t="shared" si="21"/>
        <v>0</v>
      </c>
      <c r="D255" s="438"/>
      <c r="E255" s="438"/>
      <c r="F255" s="438"/>
      <c r="G255" s="438"/>
      <c r="H255" s="438"/>
      <c r="I255" s="438"/>
      <c r="J255" s="438"/>
      <c r="K255" s="438"/>
      <c r="L255" s="438"/>
      <c r="M255" s="438"/>
      <c r="N255" s="438"/>
      <c r="O255" s="438"/>
      <c r="P255" s="438"/>
      <c r="Q255" s="439"/>
    </row>
    <row r="256" spans="1:17">
      <c r="A256" s="489"/>
      <c r="B256" s="438"/>
      <c r="C256" s="438"/>
      <c r="D256" s="438"/>
      <c r="E256" s="438"/>
      <c r="F256" s="438"/>
      <c r="G256" s="438"/>
      <c r="H256" s="438"/>
      <c r="I256" s="438"/>
      <c r="J256" s="438"/>
      <c r="K256" s="438"/>
      <c r="L256" s="438"/>
      <c r="M256" s="438"/>
      <c r="N256" s="438"/>
      <c r="O256" s="438"/>
      <c r="P256" s="438"/>
      <c r="Q256" s="439"/>
    </row>
    <row r="257" spans="1:17">
      <c r="A257" s="489"/>
      <c r="B257" s="438"/>
      <c r="C257" s="438"/>
      <c r="D257" s="438"/>
      <c r="E257" s="438"/>
      <c r="F257" s="438"/>
      <c r="G257" s="438"/>
      <c r="H257" s="438"/>
      <c r="I257" s="438"/>
      <c r="J257" s="438"/>
      <c r="K257" s="438"/>
      <c r="L257" s="438"/>
      <c r="M257" s="438"/>
      <c r="N257" s="438"/>
      <c r="O257" s="438"/>
      <c r="P257" s="438"/>
      <c r="Q257" s="439"/>
    </row>
    <row r="258" spans="1:17">
      <c r="A258" s="489"/>
      <c r="B258" s="438"/>
      <c r="C258" s="438"/>
      <c r="D258" s="438"/>
      <c r="E258" s="438"/>
      <c r="F258" s="438"/>
      <c r="G258" s="438"/>
      <c r="H258" s="438"/>
      <c r="I258" s="438"/>
      <c r="J258" s="438"/>
      <c r="K258" s="438"/>
      <c r="L258" s="438"/>
      <c r="M258" s="438"/>
      <c r="N258" s="438"/>
      <c r="O258" s="438"/>
      <c r="P258" s="438"/>
      <c r="Q258" s="439"/>
    </row>
    <row r="259" spans="1:17">
      <c r="A259" s="489"/>
      <c r="B259" s="438"/>
      <c r="C259" s="438"/>
      <c r="D259" s="438"/>
      <c r="E259" s="438"/>
      <c r="F259" s="438"/>
      <c r="G259" s="438"/>
      <c r="H259" s="438"/>
      <c r="I259" s="438"/>
      <c r="J259" s="438"/>
      <c r="K259" s="438"/>
      <c r="L259" s="438"/>
      <c r="M259" s="438"/>
      <c r="N259" s="438"/>
      <c r="O259" s="438"/>
      <c r="P259" s="438"/>
      <c r="Q259" s="439"/>
    </row>
    <row r="260" spans="1:17">
      <c r="A260" s="489"/>
      <c r="B260" s="438"/>
      <c r="C260" s="438"/>
      <c r="D260" s="438"/>
      <c r="E260" s="438"/>
      <c r="F260" s="438"/>
      <c r="G260" s="438"/>
      <c r="H260" s="438"/>
      <c r="I260" s="438"/>
      <c r="J260" s="438"/>
      <c r="K260" s="438"/>
      <c r="L260" s="438"/>
      <c r="M260" s="438"/>
      <c r="N260" s="438"/>
      <c r="O260" s="438"/>
      <c r="P260" s="438"/>
      <c r="Q260" s="439"/>
    </row>
    <row r="261" spans="1:17">
      <c r="A261" s="489"/>
      <c r="B261" s="438"/>
      <c r="C261" s="438"/>
      <c r="D261" s="438"/>
      <c r="E261" s="438"/>
      <c r="F261" s="438"/>
      <c r="G261" s="438"/>
      <c r="H261" s="438"/>
      <c r="I261" s="438"/>
      <c r="J261" s="438"/>
      <c r="K261" s="438"/>
      <c r="L261" s="438"/>
      <c r="M261" s="438"/>
      <c r="N261" s="438"/>
      <c r="O261" s="438"/>
      <c r="P261" s="438"/>
      <c r="Q261" s="439"/>
    </row>
    <row r="262" spans="1:17">
      <c r="A262" s="489"/>
      <c r="B262" s="438"/>
      <c r="C262" s="438"/>
      <c r="D262" s="438"/>
      <c r="E262" s="438"/>
      <c r="F262" s="438"/>
      <c r="G262" s="438"/>
      <c r="H262" s="438"/>
      <c r="I262" s="438"/>
      <c r="J262" s="438"/>
      <c r="K262" s="438"/>
      <c r="L262" s="438"/>
      <c r="M262" s="438"/>
      <c r="N262" s="438"/>
      <c r="O262" s="438"/>
      <c r="P262" s="438"/>
      <c r="Q262" s="439"/>
    </row>
    <row r="263" spans="1:17" ht="13.5" thickBot="1">
      <c r="A263" s="448"/>
      <c r="B263" s="448"/>
      <c r="C263" s="448"/>
      <c r="D263" s="448"/>
      <c r="E263" s="448"/>
      <c r="F263" s="448"/>
      <c r="G263" s="448"/>
      <c r="H263" s="448"/>
      <c r="I263" s="448"/>
      <c r="J263" s="448"/>
      <c r="K263" s="448"/>
      <c r="L263" s="448"/>
      <c r="M263" s="448"/>
      <c r="N263" s="448"/>
      <c r="O263" s="448"/>
      <c r="P263" s="448"/>
      <c r="Q263" s="450"/>
    </row>
    <row r="264" spans="1:17" ht="13.5" thickBot="1"/>
    <row r="265" spans="1:17">
      <c r="A265" s="557"/>
      <c r="B265" s="507"/>
      <c r="C265" s="507"/>
      <c r="D265" s="507"/>
      <c r="E265" s="507"/>
      <c r="F265" s="507"/>
      <c r="G265" s="507"/>
      <c r="H265" s="507"/>
      <c r="I265" s="669"/>
      <c r="J265" s="669"/>
      <c r="K265" s="507"/>
      <c r="L265" s="507"/>
      <c r="M265" s="507"/>
      <c r="N265" s="507"/>
      <c r="O265" s="507"/>
      <c r="P265" s="507"/>
      <c r="Q265" s="509"/>
    </row>
    <row r="266" spans="1:17" ht="23.25">
      <c r="A266" s="2926"/>
      <c r="B266" s="2927"/>
      <c r="C266" s="2927"/>
      <c r="D266" s="2927"/>
      <c r="E266" s="2927"/>
      <c r="F266" s="2927"/>
      <c r="G266" s="2927"/>
      <c r="H266" s="2927"/>
      <c r="I266" s="2927"/>
      <c r="J266" s="2927"/>
      <c r="K266" s="2927"/>
      <c r="L266" s="2927"/>
      <c r="M266" s="2927"/>
      <c r="N266" s="2927"/>
      <c r="O266" s="2927"/>
      <c r="P266" s="2927"/>
      <c r="Q266" s="2928"/>
    </row>
    <row r="267" spans="1:17">
      <c r="A267" s="489"/>
      <c r="B267" s="438"/>
      <c r="C267" s="438"/>
      <c r="D267" s="438"/>
      <c r="E267" s="438"/>
      <c r="F267" s="438"/>
      <c r="G267" s="438"/>
      <c r="H267" s="438"/>
      <c r="I267" s="512"/>
      <c r="J267" s="512"/>
      <c r="K267" s="438"/>
      <c r="L267" s="438"/>
      <c r="M267" s="438"/>
      <c r="N267" s="438"/>
      <c r="O267" s="438"/>
      <c r="P267" s="438"/>
      <c r="Q267" s="439"/>
    </row>
    <row r="268" spans="1:17">
      <c r="A268" s="489"/>
      <c r="B268" s="438"/>
      <c r="C268" s="438"/>
      <c r="D268" s="438"/>
      <c r="E268" s="438"/>
      <c r="F268" s="438"/>
      <c r="G268" s="438"/>
      <c r="H268" s="438"/>
      <c r="I268" s="512"/>
      <c r="J268" s="512"/>
      <c r="K268" s="438"/>
      <c r="L268" s="438"/>
      <c r="M268" s="438"/>
      <c r="N268" s="438"/>
      <c r="O268" s="438"/>
      <c r="P268" s="438"/>
      <c r="Q268" s="439"/>
    </row>
    <row r="269" spans="1:17" ht="13.5" thickBot="1">
      <c r="A269" s="489"/>
      <c r="B269" s="438"/>
      <c r="C269" s="438"/>
      <c r="D269" s="438"/>
      <c r="J269" s="512"/>
      <c r="K269" s="438"/>
      <c r="L269" s="438"/>
      <c r="M269" s="438"/>
      <c r="N269" s="438"/>
      <c r="O269" s="438"/>
      <c r="P269" s="438"/>
      <c r="Q269" s="439"/>
    </row>
    <row r="270" spans="1:17" ht="15" thickBot="1">
      <c r="A270" s="2929" t="s">
        <v>820</v>
      </c>
      <c r="B270" s="2930"/>
      <c r="C270" s="2931">
        <v>6.1619999999999999</v>
      </c>
      <c r="D270" s="2932"/>
      <c r="E270" s="674" t="s">
        <v>821</v>
      </c>
      <c r="F270" s="2933" t="s">
        <v>822</v>
      </c>
      <c r="G270" s="2934"/>
      <c r="H270" s="438"/>
      <c r="I270" s="438"/>
      <c r="J270" s="438"/>
      <c r="K270" s="438"/>
      <c r="L270" s="438"/>
      <c r="M270" s="438"/>
      <c r="N270" s="438"/>
      <c r="O270" s="438"/>
      <c r="P270" s="438"/>
      <c r="Q270" s="439"/>
    </row>
    <row r="271" spans="1:17">
      <c r="A271" s="489"/>
      <c r="B271" s="438"/>
      <c r="C271" s="438"/>
      <c r="D271" s="438"/>
      <c r="E271" s="438"/>
      <c r="F271" s="438"/>
      <c r="G271" s="438"/>
      <c r="H271" s="438"/>
      <c r="M271" s="438"/>
      <c r="N271" s="438"/>
      <c r="O271" s="438"/>
      <c r="P271" s="438"/>
      <c r="Q271" s="439"/>
    </row>
    <row r="272" spans="1:17">
      <c r="A272" s="489" t="s">
        <v>838</v>
      </c>
      <c r="B272" s="438"/>
      <c r="C272" s="438"/>
      <c r="D272" s="438"/>
      <c r="E272" s="438"/>
      <c r="F272" s="438"/>
      <c r="G272" s="438"/>
      <c r="H272" s="438"/>
      <c r="I272" s="438"/>
      <c r="J272" s="438"/>
      <c r="K272" s="438"/>
      <c r="L272" s="438"/>
      <c r="M272" s="438"/>
      <c r="N272" s="438"/>
      <c r="O272" s="438"/>
      <c r="P272" s="438"/>
      <c r="Q272" s="439"/>
    </row>
    <row r="273" spans="1:17">
      <c r="A273" s="670" t="s">
        <v>839</v>
      </c>
      <c r="B273" s="658" t="s">
        <v>824</v>
      </c>
      <c r="C273" s="438"/>
      <c r="D273" s="438"/>
      <c r="E273" s="438"/>
      <c r="F273" s="438"/>
      <c r="G273" s="438"/>
      <c r="H273" s="438"/>
      <c r="I273" s="438"/>
      <c r="J273" s="438"/>
      <c r="K273" s="438"/>
      <c r="L273" s="438"/>
      <c r="M273" s="438"/>
      <c r="N273" s="438"/>
      <c r="O273" s="438"/>
      <c r="P273" s="438"/>
      <c r="Q273" s="439"/>
    </row>
    <row r="274" spans="1:17" ht="25.5">
      <c r="A274" s="659" t="s">
        <v>825</v>
      </c>
      <c r="B274" s="660" t="s">
        <v>826</v>
      </c>
      <c r="C274" s="660" t="s">
        <v>827</v>
      </c>
      <c r="D274" s="438"/>
      <c r="E274" s="438"/>
      <c r="F274" s="438"/>
      <c r="G274" s="438"/>
      <c r="H274" s="438"/>
      <c r="I274" s="438"/>
      <c r="J274" s="438"/>
      <c r="K274" s="438"/>
      <c r="L274" s="438"/>
      <c r="M274" s="438"/>
      <c r="N274" s="438"/>
      <c r="O274" s="438"/>
      <c r="P274" s="438"/>
      <c r="Q274" s="439"/>
    </row>
    <row r="275" spans="1:17">
      <c r="A275" s="1247">
        <v>20</v>
      </c>
      <c r="B275" s="1246">
        <v>3850</v>
      </c>
      <c r="C275" s="663">
        <f>$C$270*(A275*A275)</f>
        <v>2464.8000000000002</v>
      </c>
      <c r="D275" s="438"/>
      <c r="E275" s="438"/>
      <c r="F275" s="438"/>
      <c r="G275" s="438"/>
      <c r="H275" s="438"/>
      <c r="I275" s="438"/>
      <c r="J275" s="438"/>
      <c r="L275" s="438"/>
      <c r="M275" s="438"/>
      <c r="N275" s="438"/>
      <c r="O275" s="438"/>
      <c r="P275" s="438"/>
      <c r="Q275" s="439"/>
    </row>
    <row r="276" spans="1:17">
      <c r="A276" s="1247">
        <v>22</v>
      </c>
      <c r="B276" s="1246">
        <v>3900</v>
      </c>
      <c r="C276" s="663">
        <f>$C$270*(A276*A276)</f>
        <v>2982.4079999999999</v>
      </c>
      <c r="D276" s="438"/>
      <c r="E276" s="438"/>
      <c r="F276" s="438"/>
      <c r="G276" s="438"/>
      <c r="H276" s="438"/>
      <c r="I276" s="438"/>
      <c r="J276" s="438"/>
      <c r="L276" s="438"/>
      <c r="M276" s="438"/>
      <c r="N276" s="438"/>
      <c r="O276" s="438"/>
      <c r="P276" s="438"/>
      <c r="Q276" s="439"/>
    </row>
    <row r="277" spans="1:17">
      <c r="A277" s="1247">
        <v>24</v>
      </c>
      <c r="B277" s="1246">
        <v>3750</v>
      </c>
      <c r="C277" s="663">
        <f>$C$270*(A277*A277)</f>
        <v>3549.3119999999999</v>
      </c>
      <c r="D277" s="438"/>
      <c r="E277" s="438"/>
      <c r="F277" s="438"/>
      <c r="G277" s="438"/>
      <c r="H277" s="438"/>
      <c r="I277" s="438"/>
      <c r="J277" s="438"/>
      <c r="L277" s="438"/>
      <c r="M277" s="438"/>
      <c r="N277" s="438"/>
      <c r="O277" s="438"/>
      <c r="P277" s="438"/>
      <c r="Q277" s="439"/>
    </row>
    <row r="278" spans="1:17">
      <c r="A278" s="1247">
        <v>26</v>
      </c>
      <c r="B278" s="1246">
        <v>3350</v>
      </c>
      <c r="C278" s="663">
        <f>$C$270*(A278*A278)</f>
        <v>4165.5119999999997</v>
      </c>
      <c r="D278" s="438"/>
      <c r="E278" s="438"/>
      <c r="F278" s="438"/>
      <c r="G278" s="438"/>
      <c r="H278" s="438"/>
      <c r="I278" s="438"/>
      <c r="J278" s="438"/>
      <c r="L278" s="438"/>
      <c r="M278" s="438"/>
      <c r="N278" s="438"/>
      <c r="O278" s="438"/>
      <c r="P278" s="438"/>
      <c r="Q278" s="439"/>
    </row>
    <row r="279" spans="1:17">
      <c r="A279" s="1247">
        <v>28</v>
      </c>
      <c r="B279" s="1246">
        <v>2650</v>
      </c>
      <c r="C279" s="663">
        <f>$C$270*(A279*A279)</f>
        <v>4831.0079999999998</v>
      </c>
      <c r="D279" s="438"/>
      <c r="E279" s="438"/>
      <c r="F279" s="438"/>
      <c r="G279" s="438"/>
      <c r="H279" s="438"/>
      <c r="I279" s="438"/>
      <c r="J279" s="438"/>
      <c r="L279" s="438"/>
      <c r="M279" s="438"/>
      <c r="N279" s="438"/>
      <c r="O279" s="438"/>
      <c r="P279" s="438"/>
      <c r="Q279" s="439"/>
    </row>
    <row r="280" spans="1:17">
      <c r="A280" s="1247">
        <v>30</v>
      </c>
      <c r="B280" s="1246">
        <v>1850</v>
      </c>
      <c r="C280" s="663"/>
      <c r="D280" s="438"/>
      <c r="E280" s="438"/>
      <c r="F280" s="438"/>
      <c r="G280" s="438"/>
      <c r="H280" s="438"/>
      <c r="I280" s="438"/>
      <c r="J280" s="438"/>
      <c r="L280" s="438"/>
      <c r="M280" s="438"/>
      <c r="N280" s="438"/>
      <c r="O280" s="438"/>
      <c r="P280" s="438"/>
      <c r="Q280" s="439"/>
    </row>
    <row r="281" spans="1:17">
      <c r="A281" s="1247">
        <v>32</v>
      </c>
      <c r="B281" s="1246">
        <v>1150</v>
      </c>
      <c r="C281" s="663"/>
      <c r="D281" s="438"/>
      <c r="E281" s="438"/>
      <c r="F281" s="438"/>
      <c r="G281" s="438"/>
      <c r="H281" s="438"/>
      <c r="I281" s="438"/>
      <c r="J281" s="438"/>
      <c r="L281" s="438"/>
      <c r="M281" s="438"/>
      <c r="N281" s="438"/>
      <c r="O281" s="438"/>
      <c r="P281" s="438"/>
      <c r="Q281" s="439"/>
    </row>
    <row r="282" spans="1:17">
      <c r="A282" s="1247">
        <v>34</v>
      </c>
      <c r="B282" s="1246">
        <v>500</v>
      </c>
      <c r="C282" s="663"/>
      <c r="D282" s="438"/>
      <c r="E282" s="438"/>
      <c r="F282" s="438"/>
      <c r="G282" s="438"/>
      <c r="H282" s="438"/>
      <c r="I282" s="438"/>
      <c r="J282" s="438"/>
      <c r="L282" s="438"/>
      <c r="M282" s="438"/>
      <c r="N282" s="438"/>
      <c r="O282" s="438"/>
      <c r="P282" s="438"/>
      <c r="Q282" s="439"/>
    </row>
    <row r="283" spans="1:17">
      <c r="A283" s="1247">
        <v>36</v>
      </c>
      <c r="B283" s="1246">
        <v>0</v>
      </c>
      <c r="C283" s="663"/>
      <c r="D283" s="438"/>
      <c r="E283" s="438"/>
      <c r="F283" s="438"/>
      <c r="G283" s="438"/>
      <c r="H283" s="438"/>
      <c r="I283" s="438"/>
      <c r="J283" s="438"/>
      <c r="L283" s="438"/>
      <c r="M283" s="438"/>
      <c r="N283" s="438"/>
      <c r="O283" s="438"/>
      <c r="P283" s="438"/>
      <c r="Q283" s="439"/>
    </row>
    <row r="284" spans="1:17">
      <c r="A284" s="1247"/>
      <c r="B284" s="1246"/>
      <c r="C284" s="663"/>
      <c r="D284" s="438"/>
      <c r="E284" s="438"/>
      <c r="F284" s="438"/>
      <c r="G284" s="438"/>
      <c r="H284" s="438"/>
      <c r="I284" s="438"/>
      <c r="J284" s="438"/>
      <c r="L284" s="438"/>
      <c r="M284" s="438"/>
      <c r="N284" s="438"/>
      <c r="O284" s="438"/>
      <c r="P284" s="438"/>
      <c r="Q284" s="439"/>
    </row>
    <row r="285" spans="1:17">
      <c r="A285" s="1247"/>
      <c r="B285" s="1246"/>
      <c r="C285" s="663"/>
      <c r="D285" s="438"/>
      <c r="E285" s="438"/>
      <c r="F285" s="438"/>
      <c r="G285" s="438"/>
      <c r="H285" s="438"/>
      <c r="I285" s="438"/>
      <c r="J285" s="438"/>
      <c r="L285" s="438"/>
      <c r="M285" s="438"/>
      <c r="N285" s="438"/>
      <c r="O285" s="438"/>
      <c r="P285" s="438"/>
      <c r="Q285" s="439"/>
    </row>
    <row r="286" spans="1:17">
      <c r="A286" s="1247"/>
      <c r="B286" s="1246"/>
      <c r="C286" s="663"/>
      <c r="D286" s="438"/>
      <c r="E286" s="438"/>
      <c r="F286" s="438"/>
      <c r="G286" s="438"/>
      <c r="H286" s="438"/>
      <c r="I286" s="438"/>
      <c r="J286" s="438"/>
      <c r="L286" s="438"/>
      <c r="M286" s="438"/>
      <c r="N286" s="438"/>
      <c r="O286" s="438"/>
      <c r="P286" s="438"/>
      <c r="Q286" s="439"/>
    </row>
    <row r="287" spans="1:17">
      <c r="A287" s="1247"/>
      <c r="B287" s="1246"/>
      <c r="C287" s="663"/>
      <c r="D287" s="438"/>
      <c r="E287" s="438"/>
      <c r="F287" s="438"/>
      <c r="G287" s="438"/>
      <c r="H287" s="438"/>
      <c r="I287" s="438"/>
      <c r="J287" s="438"/>
      <c r="L287" s="438"/>
      <c r="M287" s="438"/>
      <c r="N287" s="438"/>
      <c r="O287" s="438"/>
      <c r="P287" s="438"/>
      <c r="Q287" s="439"/>
    </row>
    <row r="288" spans="1:17">
      <c r="A288" s="1247"/>
      <c r="B288" s="1246"/>
      <c r="C288" s="663"/>
      <c r="D288" s="438"/>
      <c r="E288" s="438"/>
      <c r="F288" s="438"/>
      <c r="G288" s="438"/>
      <c r="H288" s="438"/>
      <c r="I288" s="438"/>
      <c r="J288" s="438"/>
      <c r="L288" s="438"/>
      <c r="M288" s="438"/>
      <c r="N288" s="438"/>
      <c r="O288" s="438"/>
      <c r="P288" s="438"/>
      <c r="Q288" s="439"/>
    </row>
    <row r="289" spans="1:17">
      <c r="A289" s="1247"/>
      <c r="B289" s="1246"/>
      <c r="C289" s="663"/>
      <c r="D289" s="438"/>
      <c r="E289" s="438"/>
      <c r="F289" s="438"/>
      <c r="G289" s="438"/>
      <c r="H289" s="438"/>
      <c r="I289" s="438"/>
      <c r="J289" s="438"/>
      <c r="L289" s="438"/>
      <c r="M289" s="438"/>
      <c r="N289" s="438"/>
      <c r="O289" s="438"/>
      <c r="P289" s="438"/>
      <c r="Q289" s="439"/>
    </row>
    <row r="290" spans="1:17">
      <c r="A290" s="1247"/>
      <c r="B290" s="1246"/>
      <c r="C290" s="663"/>
      <c r="D290" s="438"/>
      <c r="E290" s="438"/>
      <c r="F290" s="438"/>
      <c r="G290" s="438"/>
      <c r="H290" s="438"/>
      <c r="I290" s="438"/>
      <c r="J290" s="438"/>
      <c r="L290" s="438"/>
      <c r="M290" s="438"/>
      <c r="N290" s="438"/>
      <c r="O290" s="438"/>
      <c r="P290" s="438"/>
      <c r="Q290" s="439"/>
    </row>
    <row r="291" spans="1:17">
      <c r="A291" s="1247"/>
      <c r="B291" s="1246"/>
      <c r="C291" s="663"/>
      <c r="D291" s="438"/>
      <c r="E291" s="438"/>
      <c r="F291" s="438"/>
      <c r="G291" s="438"/>
      <c r="H291" s="438"/>
      <c r="I291" s="438"/>
      <c r="J291" s="438"/>
      <c r="K291" s="438"/>
      <c r="L291" s="438"/>
      <c r="M291" s="438"/>
      <c r="N291" s="438"/>
      <c r="O291" s="438"/>
      <c r="P291" s="438"/>
      <c r="Q291" s="439"/>
    </row>
    <row r="292" spans="1:17">
      <c r="A292" s="489"/>
      <c r="B292" s="438"/>
      <c r="C292" s="438"/>
      <c r="D292" s="438"/>
      <c r="E292" s="438"/>
      <c r="F292" s="438"/>
      <c r="G292" s="438"/>
      <c r="H292" s="438"/>
      <c r="I292" s="438"/>
      <c r="J292" s="438"/>
      <c r="K292" s="438"/>
      <c r="L292" s="438"/>
      <c r="M292" s="438"/>
      <c r="N292" s="438"/>
      <c r="O292" s="438"/>
      <c r="P292" s="438"/>
      <c r="Q292" s="439"/>
    </row>
    <row r="293" spans="1:17">
      <c r="A293" s="489"/>
      <c r="B293" s="438"/>
      <c r="C293" s="438"/>
      <c r="D293" s="438"/>
      <c r="E293" s="438"/>
      <c r="F293" s="438"/>
      <c r="G293" s="438"/>
      <c r="H293" s="438"/>
      <c r="I293" s="438"/>
      <c r="J293" s="438"/>
      <c r="K293" s="438"/>
      <c r="L293" s="438"/>
      <c r="M293" s="438"/>
      <c r="N293" s="438"/>
      <c r="O293" s="438"/>
      <c r="P293" s="438"/>
      <c r="Q293" s="439"/>
    </row>
    <row r="294" spans="1:17">
      <c r="A294" s="489"/>
      <c r="B294" s="438"/>
      <c r="C294" s="438"/>
      <c r="D294" s="438"/>
      <c r="E294" s="438"/>
      <c r="F294" s="438"/>
      <c r="G294" s="438"/>
      <c r="H294" s="438"/>
      <c r="I294" s="438"/>
      <c r="J294" s="438"/>
      <c r="K294" s="438"/>
      <c r="L294" s="438"/>
      <c r="M294" s="438"/>
      <c r="N294" s="438"/>
      <c r="O294" s="438"/>
      <c r="P294" s="438"/>
      <c r="Q294" s="439"/>
    </row>
    <row r="295" spans="1:17">
      <c r="A295" s="489"/>
      <c r="B295" s="438"/>
      <c r="C295" s="438"/>
      <c r="D295" s="438"/>
      <c r="E295" s="438"/>
      <c r="F295" s="438"/>
      <c r="G295" s="438"/>
      <c r="H295" s="438"/>
      <c r="I295" s="438"/>
      <c r="J295" s="438"/>
      <c r="K295" s="438"/>
      <c r="L295" s="438"/>
      <c r="M295" s="438"/>
      <c r="N295" s="438"/>
      <c r="O295" s="438"/>
      <c r="P295" s="438"/>
      <c r="Q295" s="439"/>
    </row>
    <row r="296" spans="1:17">
      <c r="A296" s="489"/>
      <c r="B296" s="438"/>
      <c r="C296" s="438"/>
      <c r="D296" s="438"/>
      <c r="E296" s="438"/>
      <c r="F296" s="438"/>
      <c r="G296" s="438"/>
      <c r="H296" s="438"/>
      <c r="I296" s="438"/>
      <c r="J296" s="438"/>
      <c r="K296" s="438"/>
      <c r="L296" s="438"/>
      <c r="M296" s="438"/>
      <c r="N296" s="438"/>
      <c r="O296" s="438"/>
      <c r="P296" s="438"/>
      <c r="Q296" s="439"/>
    </row>
    <row r="297" spans="1:17">
      <c r="A297" s="489"/>
      <c r="B297" s="438"/>
      <c r="C297" s="438"/>
      <c r="D297" s="438"/>
      <c r="E297" s="438"/>
      <c r="F297" s="438"/>
      <c r="G297" s="438"/>
      <c r="H297" s="438"/>
      <c r="I297" s="438"/>
      <c r="J297" s="438"/>
      <c r="K297" s="438"/>
      <c r="L297" s="438"/>
      <c r="M297" s="438"/>
      <c r="N297" s="438"/>
      <c r="O297" s="438"/>
      <c r="P297" s="438"/>
      <c r="Q297" s="439"/>
    </row>
    <row r="298" spans="1:17">
      <c r="A298" s="489"/>
      <c r="B298" s="438"/>
      <c r="C298" s="438"/>
      <c r="D298" s="438"/>
      <c r="E298" s="438"/>
      <c r="F298" s="438"/>
      <c r="G298" s="438"/>
      <c r="H298" s="438"/>
      <c r="I298" s="438"/>
      <c r="J298" s="438"/>
      <c r="K298" s="438"/>
      <c r="L298" s="438"/>
      <c r="M298" s="438"/>
      <c r="N298" s="438"/>
      <c r="O298" s="438"/>
      <c r="P298" s="438"/>
      <c r="Q298" s="439"/>
    </row>
    <row r="299" spans="1:17" ht="13.5" thickBot="1">
      <c r="A299" s="448"/>
      <c r="B299" s="448"/>
      <c r="C299" s="448"/>
      <c r="D299" s="448"/>
      <c r="E299" s="448"/>
      <c r="F299" s="448"/>
      <c r="G299" s="448"/>
      <c r="H299" s="448"/>
      <c r="I299" s="448"/>
      <c r="J299" s="448"/>
      <c r="K299" s="448"/>
      <c r="L299" s="448"/>
      <c r="M299" s="448"/>
      <c r="N299" s="448"/>
      <c r="O299" s="448"/>
      <c r="P299" s="448"/>
      <c r="Q299" s="450"/>
    </row>
    <row r="300" spans="1:17">
      <c r="A300" s="557"/>
      <c r="B300" s="507"/>
      <c r="C300" s="507"/>
      <c r="D300" s="507"/>
      <c r="E300" s="507"/>
      <c r="F300" s="507"/>
      <c r="G300" s="507"/>
      <c r="H300" s="507"/>
      <c r="I300" s="669"/>
      <c r="J300" s="669"/>
      <c r="K300" s="507"/>
      <c r="L300" s="507"/>
      <c r="M300" s="507"/>
      <c r="N300" s="507"/>
      <c r="O300" s="507"/>
      <c r="P300" s="507"/>
      <c r="Q300" s="509"/>
    </row>
    <row r="301" spans="1:17" ht="23.25">
      <c r="A301" s="2926"/>
      <c r="B301" s="2927"/>
      <c r="C301" s="2927"/>
      <c r="D301" s="2927"/>
      <c r="E301" s="2927"/>
      <c r="F301" s="2927"/>
      <c r="G301" s="2927"/>
      <c r="H301" s="2927"/>
      <c r="I301" s="2927"/>
      <c r="J301" s="2927"/>
      <c r="K301" s="2927"/>
      <c r="L301" s="2927"/>
      <c r="M301" s="2927"/>
      <c r="N301" s="2927"/>
      <c r="O301" s="2927"/>
      <c r="P301" s="2927"/>
      <c r="Q301" s="2928"/>
    </row>
    <row r="302" spans="1:17">
      <c r="A302" s="489"/>
      <c r="B302" s="438"/>
      <c r="C302" s="438"/>
      <c r="D302" s="438"/>
      <c r="E302" s="438"/>
      <c r="F302" s="438"/>
      <c r="G302" s="438"/>
      <c r="H302" s="438"/>
      <c r="I302" s="512"/>
      <c r="J302" s="512"/>
      <c r="K302" s="438"/>
      <c r="L302" s="438"/>
      <c r="M302" s="438"/>
      <c r="N302" s="438"/>
      <c r="O302" s="438"/>
      <c r="P302" s="438"/>
      <c r="Q302" s="439"/>
    </row>
    <row r="303" spans="1:17">
      <c r="A303" s="489"/>
      <c r="B303" s="438"/>
      <c r="C303" s="438"/>
      <c r="D303" s="438"/>
      <c r="E303" s="438"/>
      <c r="F303" s="438"/>
      <c r="G303" s="438"/>
      <c r="H303" s="438"/>
      <c r="I303" s="512"/>
      <c r="J303" s="512"/>
      <c r="K303" s="438"/>
      <c r="L303" s="438"/>
      <c r="M303" s="438"/>
      <c r="N303" s="438"/>
      <c r="O303" s="438"/>
      <c r="P303" s="438"/>
      <c r="Q303" s="439"/>
    </row>
    <row r="304" spans="1:17" ht="13.5" thickBot="1">
      <c r="A304" s="489"/>
      <c r="B304" s="438"/>
      <c r="C304" s="438"/>
      <c r="D304" s="438"/>
      <c r="J304" s="512"/>
      <c r="K304" s="438"/>
      <c r="L304" s="438"/>
      <c r="M304" s="438"/>
      <c r="N304" s="438"/>
      <c r="O304" s="438"/>
      <c r="P304" s="438"/>
      <c r="Q304" s="439"/>
    </row>
    <row r="305" spans="1:17" ht="15" thickBot="1">
      <c r="A305" s="2929" t="s">
        <v>820</v>
      </c>
      <c r="B305" s="2930"/>
      <c r="C305" s="2931">
        <v>6.1619999999999999</v>
      </c>
      <c r="D305" s="2932"/>
      <c r="E305" s="674" t="s">
        <v>821</v>
      </c>
      <c r="F305" s="2933" t="s">
        <v>822</v>
      </c>
      <c r="G305" s="2934"/>
      <c r="H305" s="438"/>
      <c r="I305" s="438"/>
      <c r="J305" s="438"/>
      <c r="K305" s="438"/>
      <c r="L305" s="438"/>
      <c r="M305" s="438"/>
      <c r="N305" s="438"/>
      <c r="O305" s="438"/>
      <c r="P305" s="438"/>
      <c r="Q305" s="439"/>
    </row>
    <row r="306" spans="1:17">
      <c r="A306" s="489"/>
      <c r="B306" s="438"/>
      <c r="C306" s="438"/>
      <c r="D306" s="438"/>
      <c r="E306" s="438"/>
      <c r="F306" s="438"/>
      <c r="G306" s="438"/>
      <c r="H306" s="438"/>
      <c r="M306" s="438"/>
      <c r="N306" s="438"/>
      <c r="O306" s="438"/>
      <c r="P306" s="438"/>
      <c r="Q306" s="439"/>
    </row>
    <row r="307" spans="1:17">
      <c r="A307" s="489" t="s">
        <v>838</v>
      </c>
      <c r="B307" s="438"/>
      <c r="C307" s="438"/>
      <c r="D307" s="438"/>
      <c r="E307" s="438"/>
      <c r="F307" s="438"/>
      <c r="G307" s="438"/>
      <c r="H307" s="438"/>
      <c r="I307" s="438"/>
      <c r="J307" s="438"/>
      <c r="K307" s="438"/>
      <c r="L307" s="438"/>
      <c r="M307" s="438"/>
      <c r="N307" s="438"/>
      <c r="O307" s="438"/>
      <c r="P307" s="438"/>
      <c r="Q307" s="439"/>
    </row>
    <row r="308" spans="1:17">
      <c r="A308" s="670" t="s">
        <v>839</v>
      </c>
      <c r="B308" s="2325" t="s">
        <v>824</v>
      </c>
      <c r="C308" s="438"/>
      <c r="D308" s="438"/>
      <c r="E308" s="438"/>
      <c r="F308" s="438"/>
      <c r="G308" s="438"/>
      <c r="H308" s="438"/>
      <c r="I308" s="438"/>
      <c r="J308" s="438"/>
      <c r="K308" s="438"/>
      <c r="L308" s="438"/>
      <c r="M308" s="438"/>
      <c r="N308" s="438"/>
      <c r="O308" s="438"/>
      <c r="P308" s="438"/>
      <c r="Q308" s="439"/>
    </row>
    <row r="309" spans="1:17" ht="25.5">
      <c r="A309" s="659" t="s">
        <v>825</v>
      </c>
      <c r="B309" s="660" t="s">
        <v>826</v>
      </c>
      <c r="C309" s="660" t="s">
        <v>827</v>
      </c>
      <c r="D309" s="438"/>
      <c r="E309" s="438"/>
      <c r="F309" s="438"/>
      <c r="G309" s="438"/>
      <c r="H309" s="438"/>
      <c r="I309" s="438"/>
      <c r="J309" s="438"/>
      <c r="K309" s="438"/>
      <c r="L309" s="438"/>
      <c r="M309" s="438"/>
      <c r="N309" s="438"/>
      <c r="O309" s="438"/>
      <c r="P309" s="438"/>
      <c r="Q309" s="439"/>
    </row>
    <row r="310" spans="1:17">
      <c r="A310" s="2324">
        <v>22</v>
      </c>
      <c r="B310" s="2323">
        <v>2000</v>
      </c>
      <c r="C310" s="663">
        <f>$C$270*(A310*A310)</f>
        <v>2982.4079999999999</v>
      </c>
      <c r="D310" s="438"/>
      <c r="E310" s="438"/>
      <c r="F310" s="438"/>
      <c r="G310" s="438"/>
      <c r="H310" s="438"/>
      <c r="I310" s="438"/>
      <c r="J310" s="438"/>
      <c r="L310" s="438"/>
      <c r="M310" s="438"/>
      <c r="N310" s="438"/>
      <c r="O310" s="438"/>
      <c r="P310" s="438"/>
      <c r="Q310" s="439"/>
    </row>
    <row r="311" spans="1:17">
      <c r="A311" s="2324">
        <v>28</v>
      </c>
      <c r="B311" s="2323">
        <v>1750</v>
      </c>
      <c r="C311" s="663">
        <f t="shared" ref="C311:C318" si="22">$C$270*(A311*A311)</f>
        <v>4831.0079999999998</v>
      </c>
      <c r="D311" s="438"/>
      <c r="E311" s="438"/>
      <c r="F311" s="438"/>
      <c r="G311" s="438"/>
      <c r="H311" s="438"/>
      <c r="I311" s="438"/>
      <c r="J311" s="438"/>
      <c r="L311" s="438"/>
      <c r="M311" s="438"/>
      <c r="N311" s="438"/>
      <c r="O311" s="438"/>
      <c r="P311" s="438"/>
      <c r="Q311" s="439"/>
    </row>
    <row r="312" spans="1:17">
      <c r="A312" s="2324">
        <v>30</v>
      </c>
      <c r="B312" s="2323">
        <v>1500</v>
      </c>
      <c r="C312" s="663">
        <f t="shared" si="22"/>
        <v>5545.8</v>
      </c>
      <c r="D312" s="438"/>
      <c r="E312" s="438"/>
      <c r="F312" s="438"/>
      <c r="G312" s="438"/>
      <c r="H312" s="438"/>
      <c r="I312" s="438"/>
      <c r="J312" s="438"/>
      <c r="L312" s="438"/>
      <c r="M312" s="438"/>
      <c r="N312" s="438"/>
      <c r="O312" s="438"/>
      <c r="P312" s="438"/>
      <c r="Q312" s="439"/>
    </row>
    <row r="313" spans="1:17">
      <c r="A313" s="2324">
        <v>32</v>
      </c>
      <c r="B313" s="2323">
        <v>1250</v>
      </c>
      <c r="C313" s="663">
        <f t="shared" si="22"/>
        <v>6309.8879999999999</v>
      </c>
      <c r="D313" s="438"/>
      <c r="E313" s="438"/>
      <c r="F313" s="438"/>
      <c r="G313" s="438"/>
      <c r="H313" s="438"/>
      <c r="I313" s="438"/>
      <c r="J313" s="438"/>
      <c r="L313" s="438"/>
      <c r="M313" s="438"/>
      <c r="N313" s="438"/>
      <c r="O313" s="438"/>
      <c r="P313" s="438"/>
      <c r="Q313" s="439"/>
    </row>
    <row r="314" spans="1:17">
      <c r="A314" s="2324">
        <v>34</v>
      </c>
      <c r="B314" s="2323">
        <v>1000</v>
      </c>
      <c r="C314" s="663">
        <f t="shared" si="22"/>
        <v>7123.2719999999999</v>
      </c>
      <c r="D314" s="438"/>
      <c r="E314" s="438"/>
      <c r="F314" s="438"/>
      <c r="G314" s="438"/>
      <c r="H314" s="438"/>
      <c r="I314" s="438"/>
      <c r="J314" s="438"/>
      <c r="L314" s="438"/>
      <c r="M314" s="438"/>
      <c r="N314" s="438"/>
      <c r="O314" s="438"/>
      <c r="P314" s="438"/>
      <c r="Q314" s="439"/>
    </row>
    <row r="315" spans="1:17">
      <c r="A315" s="2324">
        <v>37</v>
      </c>
      <c r="B315" s="2323">
        <v>750</v>
      </c>
      <c r="C315" s="663">
        <f t="shared" si="22"/>
        <v>8435.7780000000002</v>
      </c>
      <c r="D315" s="438"/>
      <c r="E315" s="438"/>
      <c r="F315" s="438"/>
      <c r="G315" s="438"/>
      <c r="H315" s="438"/>
      <c r="I315" s="438"/>
      <c r="J315" s="438"/>
      <c r="L315" s="438"/>
      <c r="M315" s="438"/>
      <c r="N315" s="438"/>
      <c r="O315" s="438"/>
      <c r="P315" s="438"/>
      <c r="Q315" s="439"/>
    </row>
    <row r="316" spans="1:17">
      <c r="A316" s="2324">
        <v>38</v>
      </c>
      <c r="B316" s="2323">
        <v>500</v>
      </c>
      <c r="C316" s="663">
        <f t="shared" si="22"/>
        <v>8897.9279999999999</v>
      </c>
      <c r="D316" s="438"/>
      <c r="E316" s="438"/>
      <c r="F316" s="438"/>
      <c r="G316" s="438"/>
      <c r="H316" s="438"/>
      <c r="I316" s="438"/>
      <c r="J316" s="438"/>
      <c r="L316" s="438"/>
      <c r="M316" s="438"/>
      <c r="N316" s="438"/>
      <c r="O316" s="438"/>
      <c r="P316" s="438"/>
      <c r="Q316" s="439"/>
    </row>
    <row r="317" spans="1:17">
      <c r="A317" s="2324">
        <v>41</v>
      </c>
      <c r="B317" s="2323">
        <v>250</v>
      </c>
      <c r="C317" s="663">
        <f t="shared" si="22"/>
        <v>10358.322</v>
      </c>
      <c r="D317" s="438"/>
      <c r="E317" s="438"/>
      <c r="F317" s="438"/>
      <c r="G317" s="438"/>
      <c r="H317" s="438"/>
      <c r="I317" s="438"/>
      <c r="J317" s="438"/>
      <c r="L317" s="438"/>
      <c r="M317" s="438"/>
      <c r="N317" s="438"/>
      <c r="O317" s="438"/>
      <c r="P317" s="438"/>
      <c r="Q317" s="439"/>
    </row>
    <row r="318" spans="1:17">
      <c r="A318" s="2324">
        <v>42</v>
      </c>
      <c r="B318" s="2323">
        <v>0</v>
      </c>
      <c r="C318" s="663">
        <f t="shared" si="22"/>
        <v>10869.768</v>
      </c>
      <c r="D318" s="438"/>
      <c r="E318" s="438"/>
      <c r="F318" s="438"/>
      <c r="G318" s="438"/>
      <c r="H318" s="438"/>
      <c r="I318" s="438"/>
      <c r="J318" s="438"/>
      <c r="L318" s="438"/>
      <c r="M318" s="438"/>
      <c r="N318" s="438"/>
      <c r="O318" s="438"/>
      <c r="P318" s="438"/>
      <c r="Q318" s="439"/>
    </row>
    <row r="319" spans="1:17">
      <c r="A319" s="2324"/>
      <c r="B319" s="2323"/>
      <c r="C319" s="663"/>
      <c r="D319" s="438"/>
      <c r="E319" s="438"/>
      <c r="F319" s="438"/>
      <c r="G319" s="438"/>
      <c r="H319" s="438"/>
      <c r="I319" s="438"/>
      <c r="J319" s="438"/>
      <c r="L319" s="438"/>
      <c r="M319" s="438"/>
      <c r="N319" s="438"/>
      <c r="O319" s="438"/>
      <c r="P319" s="438"/>
      <c r="Q319" s="439"/>
    </row>
    <row r="320" spans="1:17">
      <c r="A320" s="2324"/>
      <c r="B320" s="2323"/>
      <c r="C320" s="663"/>
      <c r="D320" s="438"/>
      <c r="E320" s="438"/>
      <c r="F320" s="438"/>
      <c r="G320" s="438"/>
      <c r="H320" s="438"/>
      <c r="I320" s="438"/>
      <c r="J320" s="438"/>
      <c r="L320" s="438"/>
      <c r="M320" s="438"/>
      <c r="N320" s="438"/>
      <c r="O320" s="438"/>
      <c r="P320" s="438"/>
      <c r="Q320" s="439"/>
    </row>
    <row r="321" spans="1:17">
      <c r="A321" s="2324"/>
      <c r="B321" s="2323"/>
      <c r="C321" s="663"/>
      <c r="D321" s="438"/>
      <c r="E321" s="438"/>
      <c r="F321" s="438"/>
      <c r="G321" s="438"/>
      <c r="H321" s="438"/>
      <c r="I321" s="438"/>
      <c r="J321" s="438"/>
      <c r="L321" s="438"/>
      <c r="M321" s="438"/>
      <c r="N321" s="438"/>
      <c r="O321" s="438"/>
      <c r="P321" s="438"/>
      <c r="Q321" s="439"/>
    </row>
    <row r="322" spans="1:17">
      <c r="A322" s="2324"/>
      <c r="B322" s="2323"/>
      <c r="C322" s="663"/>
      <c r="D322" s="438"/>
      <c r="E322" s="438"/>
      <c r="F322" s="438"/>
      <c r="G322" s="438"/>
      <c r="H322" s="438"/>
      <c r="I322" s="438"/>
      <c r="J322" s="438"/>
      <c r="L322" s="438"/>
      <c r="M322" s="438"/>
      <c r="N322" s="438"/>
      <c r="O322" s="438"/>
      <c r="P322" s="438"/>
      <c r="Q322" s="439"/>
    </row>
    <row r="323" spans="1:17">
      <c r="A323" s="2324"/>
      <c r="B323" s="2323"/>
      <c r="C323" s="663"/>
      <c r="D323" s="438"/>
      <c r="E323" s="438"/>
      <c r="F323" s="438"/>
      <c r="G323" s="438"/>
      <c r="H323" s="438"/>
      <c r="I323" s="438"/>
      <c r="J323" s="438"/>
      <c r="L323" s="438"/>
      <c r="M323" s="438"/>
      <c r="N323" s="438"/>
      <c r="O323" s="438"/>
      <c r="P323" s="438"/>
      <c r="Q323" s="439"/>
    </row>
    <row r="324" spans="1:17">
      <c r="A324" s="2324"/>
      <c r="B324" s="2323"/>
      <c r="C324" s="663"/>
      <c r="D324" s="438"/>
      <c r="E324" s="438"/>
      <c r="F324" s="438"/>
      <c r="G324" s="438"/>
      <c r="H324" s="438"/>
      <c r="I324" s="438"/>
      <c r="J324" s="438"/>
      <c r="L324" s="438"/>
      <c r="M324" s="438"/>
      <c r="N324" s="438"/>
      <c r="O324" s="438"/>
      <c r="P324" s="438"/>
      <c r="Q324" s="439"/>
    </row>
    <row r="325" spans="1:17">
      <c r="A325" s="2324"/>
      <c r="B325" s="2323"/>
      <c r="C325" s="663"/>
      <c r="D325" s="438"/>
      <c r="E325" s="438"/>
      <c r="F325" s="438"/>
      <c r="G325" s="438"/>
      <c r="H325" s="438"/>
      <c r="I325" s="438"/>
      <c r="J325" s="438"/>
      <c r="L325" s="438"/>
      <c r="M325" s="438"/>
      <c r="N325" s="438"/>
      <c r="O325" s="438"/>
      <c r="P325" s="438"/>
      <c r="Q325" s="439"/>
    </row>
    <row r="326" spans="1:17">
      <c r="A326" s="2324"/>
      <c r="B326" s="2323"/>
      <c r="C326" s="663"/>
      <c r="D326" s="438"/>
      <c r="E326" s="438"/>
      <c r="F326" s="438"/>
      <c r="G326" s="438"/>
      <c r="H326" s="438"/>
      <c r="I326" s="438"/>
      <c r="J326" s="438"/>
      <c r="K326" s="438"/>
      <c r="L326" s="438"/>
      <c r="M326" s="438"/>
      <c r="N326" s="438"/>
      <c r="O326" s="438"/>
      <c r="P326" s="438"/>
      <c r="Q326" s="439"/>
    </row>
    <row r="327" spans="1:17">
      <c r="A327" s="489"/>
      <c r="B327" s="438"/>
      <c r="C327" s="438"/>
      <c r="D327" s="438"/>
      <c r="E327" s="438"/>
      <c r="F327" s="438"/>
      <c r="G327" s="438"/>
      <c r="H327" s="438"/>
      <c r="I327" s="438"/>
      <c r="J327" s="438"/>
      <c r="K327" s="438"/>
      <c r="L327" s="438"/>
      <c r="M327" s="438"/>
      <c r="N327" s="438"/>
      <c r="O327" s="438"/>
      <c r="P327" s="438"/>
      <c r="Q327" s="439"/>
    </row>
    <row r="328" spans="1:17">
      <c r="A328" s="489"/>
      <c r="B328" s="438"/>
      <c r="C328" s="438"/>
      <c r="D328" s="438"/>
      <c r="E328" s="438"/>
      <c r="F328" s="438"/>
      <c r="G328" s="438"/>
      <c r="H328" s="438"/>
      <c r="I328" s="438"/>
      <c r="J328" s="438"/>
      <c r="K328" s="438"/>
      <c r="L328" s="438"/>
      <c r="M328" s="438"/>
      <c r="N328" s="438"/>
      <c r="O328" s="438"/>
      <c r="P328" s="438"/>
      <c r="Q328" s="439"/>
    </row>
    <row r="329" spans="1:17">
      <c r="A329" s="489"/>
      <c r="B329" s="438"/>
      <c r="C329" s="438"/>
      <c r="D329" s="438"/>
      <c r="E329" s="438"/>
      <c r="F329" s="438"/>
      <c r="G329" s="438"/>
      <c r="H329" s="438"/>
      <c r="I329" s="438"/>
      <c r="J329" s="438"/>
      <c r="K329" s="438"/>
      <c r="L329" s="438"/>
      <c r="M329" s="438"/>
      <c r="N329" s="438"/>
      <c r="O329" s="438"/>
      <c r="P329" s="438"/>
      <c r="Q329" s="439"/>
    </row>
    <row r="330" spans="1:17">
      <c r="A330" s="489"/>
      <c r="B330" s="438"/>
      <c r="C330" s="438"/>
      <c r="D330" s="438"/>
      <c r="E330" s="438"/>
      <c r="F330" s="438"/>
      <c r="G330" s="438"/>
      <c r="H330" s="438"/>
      <c r="I330" s="438"/>
      <c r="J330" s="438"/>
      <c r="K330" s="438"/>
      <c r="L330" s="438"/>
      <c r="M330" s="438"/>
      <c r="N330" s="438"/>
      <c r="O330" s="438"/>
      <c r="P330" s="438"/>
      <c r="Q330" s="439"/>
    </row>
    <row r="331" spans="1:17">
      <c r="A331" s="489"/>
      <c r="B331" s="438"/>
      <c r="C331" s="438"/>
      <c r="D331" s="438"/>
      <c r="E331" s="438"/>
      <c r="F331" s="438"/>
      <c r="G331" s="438"/>
      <c r="H331" s="438"/>
      <c r="I331" s="438"/>
      <c r="J331" s="438"/>
      <c r="K331" s="438"/>
      <c r="L331" s="438"/>
      <c r="M331" s="438"/>
      <c r="N331" s="438"/>
      <c r="O331" s="438"/>
      <c r="P331" s="438"/>
      <c r="Q331" s="439"/>
    </row>
    <row r="332" spans="1:17">
      <c r="A332" s="489"/>
      <c r="B332" s="438"/>
      <c r="C332" s="438"/>
      <c r="D332" s="438"/>
      <c r="E332" s="438"/>
      <c r="F332" s="438"/>
      <c r="G332" s="438"/>
      <c r="H332" s="438"/>
      <c r="I332" s="438"/>
      <c r="J332" s="438"/>
      <c r="K332" s="438"/>
      <c r="L332" s="438"/>
      <c r="M332" s="438"/>
      <c r="N332" s="438"/>
      <c r="O332" s="438"/>
      <c r="P332" s="438"/>
      <c r="Q332" s="439"/>
    </row>
    <row r="333" spans="1:17">
      <c r="A333" s="489"/>
      <c r="B333" s="438"/>
      <c r="C333" s="438"/>
      <c r="D333" s="438"/>
      <c r="E333" s="438"/>
      <c r="F333" s="438"/>
      <c r="G333" s="438"/>
      <c r="H333" s="438"/>
      <c r="I333" s="438"/>
      <c r="J333" s="438"/>
      <c r="K333" s="438"/>
      <c r="L333" s="438"/>
      <c r="M333" s="438"/>
      <c r="N333" s="438"/>
      <c r="O333" s="438"/>
      <c r="P333" s="438"/>
      <c r="Q333" s="439"/>
    </row>
    <row r="334" spans="1:17" ht="13.5" thickBot="1">
      <c r="A334" s="448"/>
      <c r="B334" s="448"/>
      <c r="C334" s="448"/>
      <c r="D334" s="448"/>
      <c r="E334" s="448"/>
      <c r="F334" s="448"/>
      <c r="G334" s="448"/>
      <c r="H334" s="448"/>
      <c r="I334" s="448"/>
      <c r="J334" s="448"/>
      <c r="K334" s="448"/>
      <c r="L334" s="448"/>
      <c r="M334" s="448"/>
      <c r="N334" s="448"/>
      <c r="O334" s="448"/>
      <c r="P334" s="448"/>
      <c r="Q334" s="450"/>
    </row>
  </sheetData>
  <mergeCells count="13">
    <mergeCell ref="A301:Q301"/>
    <mergeCell ref="A305:B305"/>
    <mergeCell ref="C305:D305"/>
    <mergeCell ref="F305:G305"/>
    <mergeCell ref="G1:I1"/>
    <mergeCell ref="A270:B270"/>
    <mergeCell ref="C270:D270"/>
    <mergeCell ref="F270:G270"/>
    <mergeCell ref="A230:Q230"/>
    <mergeCell ref="A234:B234"/>
    <mergeCell ref="C234:D234"/>
    <mergeCell ref="F234:G234"/>
    <mergeCell ref="A266:Q266"/>
  </mergeCells>
  <hyperlinks>
    <hyperlink ref="G1" location="INDEX!A1" display="INDEX!A1"/>
  </hyperlinks>
  <pageMargins left="0.75" right="0.75" top="1" bottom="1" header="0.5" footer="0.5"/>
  <pageSetup paperSize="9" orientation="portrait" r:id="rId1"/>
  <headerFooter alignWithMargins="0"/>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00"/>
  </sheetPr>
  <dimension ref="B1:M67"/>
  <sheetViews>
    <sheetView zoomScale="115" zoomScaleNormal="115" workbookViewId="0">
      <selection activeCell="G1" sqref="G1:I1"/>
    </sheetView>
  </sheetViews>
  <sheetFormatPr defaultRowHeight="15"/>
  <cols>
    <col min="1" max="1" width="2.85546875" customWidth="1"/>
    <col min="11" max="11" width="11" bestFit="1" customWidth="1"/>
  </cols>
  <sheetData>
    <row r="1" spans="2:13" ht="24" thickBot="1">
      <c r="B1" s="2655" t="s">
        <v>2156</v>
      </c>
      <c r="C1" s="435"/>
      <c r="D1" s="435"/>
      <c r="E1" s="435"/>
      <c r="F1" s="435"/>
      <c r="G1" s="2777" t="s">
        <v>1749</v>
      </c>
      <c r="H1" s="2778"/>
      <c r="I1" s="2779"/>
      <c r="J1" s="435"/>
    </row>
    <row r="2" spans="2:13" ht="15.75" thickBot="1">
      <c r="B2" s="435"/>
      <c r="C2" s="435"/>
      <c r="D2" s="435"/>
      <c r="E2" s="435"/>
      <c r="F2" s="435"/>
      <c r="G2" s="435"/>
      <c r="H2" s="435"/>
      <c r="I2" s="435"/>
      <c r="J2" s="435"/>
    </row>
    <row r="3" spans="2:13">
      <c r="B3" s="557"/>
      <c r="C3" s="507"/>
      <c r="D3" s="507"/>
      <c r="E3" s="507"/>
      <c r="F3" s="507"/>
      <c r="G3" s="507"/>
      <c r="H3" s="507"/>
      <c r="I3" s="509"/>
      <c r="J3" s="435"/>
      <c r="K3" s="2509" t="s">
        <v>2158</v>
      </c>
    </row>
    <row r="4" spans="2:13">
      <c r="B4" s="544" t="s">
        <v>2153</v>
      </c>
      <c r="C4" s="438"/>
      <c r="D4" s="438"/>
      <c r="E4" s="438"/>
      <c r="F4" s="438"/>
      <c r="G4" s="438"/>
      <c r="H4" s="438"/>
      <c r="I4" s="439"/>
      <c r="J4" s="435"/>
    </row>
    <row r="5" spans="2:13">
      <c r="B5" s="544"/>
      <c r="C5" s="438"/>
      <c r="D5" s="438"/>
      <c r="E5" s="438"/>
      <c r="F5" s="438"/>
      <c r="G5" s="438"/>
      <c r="H5" s="438"/>
      <c r="I5" s="439"/>
      <c r="J5" s="435"/>
    </row>
    <row r="6" spans="2:13">
      <c r="B6" s="640"/>
      <c r="C6" s="438"/>
      <c r="D6" s="438"/>
      <c r="E6" s="438"/>
      <c r="F6" s="438"/>
      <c r="G6" s="438"/>
      <c r="H6" s="438"/>
      <c r="I6" s="439"/>
      <c r="J6" s="435"/>
    </row>
    <row r="7" spans="2:13">
      <c r="B7" s="489"/>
      <c r="C7" s="438"/>
      <c r="D7" s="438"/>
      <c r="E7" s="438"/>
      <c r="F7" s="438"/>
      <c r="G7" s="438"/>
      <c r="H7" s="438"/>
      <c r="I7" s="439"/>
      <c r="J7" s="435"/>
    </row>
    <row r="8" spans="2:13">
      <c r="B8" s="641"/>
      <c r="C8" s="546"/>
      <c r="D8" s="642"/>
      <c r="E8" s="438"/>
      <c r="F8" s="438"/>
      <c r="G8" s="438"/>
      <c r="H8" s="512"/>
      <c r="I8" s="439"/>
      <c r="J8" s="435"/>
    </row>
    <row r="9" spans="2:13">
      <c r="B9" s="489"/>
      <c r="C9" s="438"/>
      <c r="D9" s="438"/>
      <c r="E9" s="438"/>
      <c r="F9" s="438"/>
      <c r="G9" s="438"/>
      <c r="H9" s="438"/>
      <c r="I9" s="439"/>
      <c r="J9" s="435"/>
    </row>
    <row r="10" spans="2:13">
      <c r="B10" s="489"/>
      <c r="C10" s="438"/>
      <c r="D10" s="438"/>
      <c r="E10" s="438"/>
      <c r="F10" s="438"/>
      <c r="G10" s="438"/>
      <c r="H10" s="438"/>
      <c r="I10" s="439"/>
      <c r="J10" s="435"/>
    </row>
    <row r="11" spans="2:13">
      <c r="B11" s="2904" t="s">
        <v>2145</v>
      </c>
      <c r="C11" s="2903"/>
      <c r="D11" s="2903"/>
      <c r="E11" s="858">
        <v>952</v>
      </c>
      <c r="F11" s="441" t="s">
        <v>2148</v>
      </c>
      <c r="G11" s="646" t="s">
        <v>573</v>
      </c>
      <c r="H11" s="438"/>
      <c r="I11" s="439"/>
      <c r="J11" s="435"/>
    </row>
    <row r="12" spans="2:13">
      <c r="B12" s="2904" t="s">
        <v>2146</v>
      </c>
      <c r="C12" s="2903"/>
      <c r="D12" s="2903"/>
      <c r="E12" s="1553">
        <v>1190</v>
      </c>
      <c r="F12" s="441" t="s">
        <v>2148</v>
      </c>
      <c r="G12" s="646" t="s">
        <v>573</v>
      </c>
      <c r="H12" s="438"/>
      <c r="I12" s="439"/>
      <c r="J12" s="435"/>
    </row>
    <row r="13" spans="2:13" ht="15.75" thickBot="1">
      <c r="B13" s="2904" t="s">
        <v>2147</v>
      </c>
      <c r="C13" s="2903"/>
      <c r="D13" s="2903"/>
      <c r="E13" s="858">
        <v>123</v>
      </c>
      <c r="F13" s="441" t="s">
        <v>732</v>
      </c>
      <c r="G13" s="646" t="s">
        <v>573</v>
      </c>
      <c r="H13" s="438"/>
      <c r="I13" s="439"/>
      <c r="J13" s="435"/>
    </row>
    <row r="14" spans="2:13" ht="16.5" thickBot="1">
      <c r="B14" s="2907" t="s">
        <v>2149</v>
      </c>
      <c r="C14" s="2908"/>
      <c r="D14" s="2909"/>
      <c r="E14" s="2604">
        <f>(E13*E12)/E11</f>
        <v>153.75</v>
      </c>
      <c r="F14" s="2600" t="s">
        <v>732</v>
      </c>
      <c r="G14" s="438"/>
      <c r="H14" s="438"/>
      <c r="I14" s="439"/>
      <c r="J14" s="435"/>
    </row>
    <row r="15" spans="2:13" ht="15.75" thickBot="1">
      <c r="B15" s="488"/>
      <c r="C15" s="448"/>
      <c r="D15" s="448"/>
      <c r="E15" s="448"/>
      <c r="F15" s="448"/>
      <c r="G15" s="448"/>
      <c r="H15" s="448"/>
      <c r="I15" s="450"/>
      <c r="J15" s="435"/>
      <c r="M15">
        <v>82.63</v>
      </c>
    </row>
    <row r="16" spans="2:13">
      <c r="B16" s="557"/>
      <c r="C16" s="507"/>
      <c r="D16" s="507"/>
      <c r="E16" s="507"/>
      <c r="F16" s="507"/>
      <c r="G16" s="507"/>
      <c r="H16" s="507"/>
      <c r="I16" s="509"/>
      <c r="M16">
        <v>125.25</v>
      </c>
    </row>
    <row r="17" spans="2:13">
      <c r="B17" s="544" t="s">
        <v>2152</v>
      </c>
      <c r="C17" s="438"/>
      <c r="D17" s="438"/>
      <c r="E17" s="438"/>
      <c r="F17" s="438"/>
      <c r="G17" s="438"/>
      <c r="H17" s="438"/>
      <c r="I17" s="439"/>
      <c r="M17">
        <v>15.71</v>
      </c>
    </row>
    <row r="18" spans="2:13">
      <c r="B18" s="544"/>
      <c r="C18" s="438"/>
      <c r="D18" s="438"/>
      <c r="E18" s="438"/>
      <c r="F18" s="438"/>
      <c r="G18" s="438"/>
      <c r="H18" s="438"/>
      <c r="I18" s="439"/>
      <c r="M18">
        <v>16.21</v>
      </c>
    </row>
    <row r="19" spans="2:13">
      <c r="B19" s="640"/>
      <c r="C19" s="438"/>
      <c r="D19" s="438"/>
      <c r="E19" s="438"/>
      <c r="F19" s="438"/>
      <c r="G19" s="438"/>
      <c r="H19" s="438"/>
      <c r="I19" s="439"/>
      <c r="K19">
        <v>2412.7199999999998</v>
      </c>
      <c r="M19">
        <v>590.20000000000005</v>
      </c>
    </row>
    <row r="20" spans="2:13">
      <c r="B20" s="489"/>
      <c r="C20" s="438"/>
      <c r="D20" s="438"/>
      <c r="E20" s="438"/>
      <c r="F20" s="438"/>
      <c r="G20" s="438"/>
      <c r="H20" s="438"/>
      <c r="I20" s="439"/>
      <c r="K20">
        <v>260.2</v>
      </c>
      <c r="L20">
        <v>36.44</v>
      </c>
      <c r="M20">
        <v>894.62</v>
      </c>
    </row>
    <row r="21" spans="2:13">
      <c r="B21" s="641"/>
      <c r="C21" s="546"/>
      <c r="D21" s="642"/>
      <c r="E21" s="438"/>
      <c r="F21" s="438"/>
      <c r="G21" s="438"/>
      <c r="H21" s="512"/>
      <c r="I21" s="439"/>
      <c r="K21">
        <v>224.4</v>
      </c>
      <c r="L21" s="56">
        <v>31.42</v>
      </c>
      <c r="M21">
        <v>112.2</v>
      </c>
    </row>
    <row r="22" spans="2:13">
      <c r="B22" s="489"/>
      <c r="C22" s="438"/>
      <c r="D22" s="438"/>
      <c r="E22" s="438"/>
      <c r="F22" s="438"/>
      <c r="G22" s="438"/>
      <c r="H22" s="438"/>
      <c r="I22" s="439"/>
      <c r="K22">
        <v>253.4</v>
      </c>
      <c r="L22" s="56">
        <v>35.479999999999997</v>
      </c>
      <c r="M22">
        <v>115.79</v>
      </c>
    </row>
    <row r="23" spans="2:13">
      <c r="B23" s="489"/>
      <c r="C23" s="438"/>
      <c r="D23" s="438"/>
      <c r="E23" s="438"/>
      <c r="F23" s="438"/>
      <c r="G23" s="438"/>
      <c r="H23" s="438"/>
      <c r="I23" s="439"/>
      <c r="K23">
        <v>460</v>
      </c>
      <c r="L23" s="56">
        <v>64.400000000000006</v>
      </c>
      <c r="M23" s="2509">
        <f>SUM(M15:M22)</f>
        <v>1952.61</v>
      </c>
    </row>
    <row r="24" spans="2:13">
      <c r="B24" s="2904" t="s">
        <v>2145</v>
      </c>
      <c r="C24" s="2903"/>
      <c r="D24" s="2903"/>
      <c r="E24" s="2663">
        <f>$E$11</f>
        <v>952</v>
      </c>
      <c r="F24" s="441" t="s">
        <v>2148</v>
      </c>
      <c r="G24" s="2690" t="s">
        <v>573</v>
      </c>
      <c r="H24" s="438"/>
      <c r="I24" s="439"/>
      <c r="K24" s="2509">
        <f>SUM(K19:K23)</f>
        <v>3610.72</v>
      </c>
      <c r="L24" s="2509">
        <f>SUM(L19:L23)</f>
        <v>167.74</v>
      </c>
    </row>
    <row r="25" spans="2:13">
      <c r="B25" s="2904" t="s">
        <v>2146</v>
      </c>
      <c r="C25" s="2903"/>
      <c r="D25" s="2903"/>
      <c r="E25" s="2663">
        <f>E12</f>
        <v>1190</v>
      </c>
      <c r="F25" s="441" t="s">
        <v>2148</v>
      </c>
      <c r="G25" s="2690" t="s">
        <v>573</v>
      </c>
      <c r="H25" s="438"/>
      <c r="I25" s="439"/>
      <c r="K25">
        <f>4931.93-K24</f>
        <v>1321.2100000000005</v>
      </c>
      <c r="L25" s="56"/>
    </row>
    <row r="26" spans="2:13" ht="15.75" thickBot="1">
      <c r="B26" s="2904" t="s">
        <v>2150</v>
      </c>
      <c r="C26" s="2903"/>
      <c r="D26" s="2903"/>
      <c r="E26" s="1553">
        <v>1200</v>
      </c>
      <c r="F26" s="441" t="s">
        <v>220</v>
      </c>
      <c r="G26" s="646" t="s">
        <v>573</v>
      </c>
      <c r="H26" s="438"/>
      <c r="I26" s="439"/>
      <c r="L26" s="56">
        <f>L24+K24</f>
        <v>3778.46</v>
      </c>
    </row>
    <row r="27" spans="2:13" ht="16.5" thickBot="1">
      <c r="B27" s="2907" t="s">
        <v>2151</v>
      </c>
      <c r="C27" s="2908"/>
      <c r="D27" s="2909"/>
      <c r="E27" s="2604">
        <f>(E26*(POWER(E25,2))/(POWER(E24,2)))</f>
        <v>1875</v>
      </c>
      <c r="F27" s="2600" t="s">
        <v>220</v>
      </c>
      <c r="G27" s="438"/>
      <c r="H27" s="438"/>
      <c r="I27" s="439"/>
      <c r="L27" s="56"/>
    </row>
    <row r="28" spans="2:13" ht="15.75" thickBot="1">
      <c r="B28" s="488"/>
      <c r="C28" s="448"/>
      <c r="D28" s="448"/>
      <c r="E28" s="448"/>
      <c r="F28" s="448"/>
      <c r="G28" s="448"/>
      <c r="H28" s="448"/>
      <c r="I28" s="450"/>
      <c r="L28" s="56"/>
    </row>
    <row r="29" spans="2:13">
      <c r="B29" s="557"/>
      <c r="C29" s="507"/>
      <c r="D29" s="507"/>
      <c r="E29" s="507"/>
      <c r="F29" s="507"/>
      <c r="G29" s="507"/>
      <c r="H29" s="507"/>
      <c r="I29" s="509"/>
    </row>
    <row r="30" spans="2:13">
      <c r="B30" s="544" t="s">
        <v>2154</v>
      </c>
      <c r="C30" s="438"/>
      <c r="D30" s="438"/>
      <c r="E30" s="438"/>
      <c r="F30" s="438"/>
      <c r="G30" s="438"/>
      <c r="H30" s="438"/>
      <c r="I30" s="439"/>
    </row>
    <row r="31" spans="2:13">
      <c r="B31" s="544"/>
      <c r="C31" s="438"/>
      <c r="D31" s="438"/>
      <c r="E31" s="438"/>
      <c r="F31" s="438"/>
      <c r="G31" s="438"/>
      <c r="H31" s="438"/>
      <c r="I31" s="439"/>
    </row>
    <row r="32" spans="2:13">
      <c r="B32" s="640"/>
      <c r="C32" s="438"/>
      <c r="D32" s="438"/>
      <c r="E32" s="438"/>
      <c r="F32" s="438"/>
      <c r="G32" s="438"/>
      <c r="H32" s="438"/>
      <c r="I32" s="439"/>
    </row>
    <row r="33" spans="2:11">
      <c r="B33" s="489"/>
      <c r="C33" s="438"/>
      <c r="D33" s="438"/>
      <c r="E33" s="438"/>
      <c r="F33" s="438"/>
      <c r="G33" s="438"/>
      <c r="H33" s="438"/>
      <c r="I33" s="439"/>
    </row>
    <row r="34" spans="2:11">
      <c r="B34" s="641"/>
      <c r="C34" s="546"/>
      <c r="D34" s="642"/>
      <c r="E34" s="438"/>
      <c r="F34" s="438"/>
      <c r="G34" s="438"/>
      <c r="H34" s="512"/>
      <c r="I34" s="439"/>
    </row>
    <row r="35" spans="2:11">
      <c r="B35" s="489"/>
      <c r="C35" s="438"/>
      <c r="D35" s="438"/>
      <c r="E35" s="438"/>
      <c r="F35" s="438"/>
      <c r="G35" s="438"/>
      <c r="H35" s="438"/>
      <c r="I35" s="439"/>
    </row>
    <row r="36" spans="2:11">
      <c r="B36" s="489"/>
      <c r="C36" s="438"/>
      <c r="D36" s="438"/>
      <c r="E36" s="438"/>
      <c r="F36" s="438"/>
      <c r="G36" s="438"/>
      <c r="H36" s="438"/>
      <c r="I36" s="439"/>
    </row>
    <row r="37" spans="2:11">
      <c r="B37" s="2904" t="s">
        <v>2145</v>
      </c>
      <c r="C37" s="2903"/>
      <c r="D37" s="2903"/>
      <c r="E37" s="2663">
        <f>$E$11</f>
        <v>952</v>
      </c>
      <c r="F37" s="441" t="s">
        <v>2148</v>
      </c>
      <c r="G37" s="2690" t="s">
        <v>573</v>
      </c>
      <c r="H37" s="438"/>
      <c r="I37" s="439"/>
      <c r="K37" s="56"/>
    </row>
    <row r="38" spans="2:11">
      <c r="B38" s="2904" t="s">
        <v>2146</v>
      </c>
      <c r="C38" s="2903"/>
      <c r="D38" s="2903"/>
      <c r="E38" s="2663">
        <f>E25</f>
        <v>1190</v>
      </c>
      <c r="F38" s="441" t="s">
        <v>2148</v>
      </c>
      <c r="G38" s="2690" t="s">
        <v>573</v>
      </c>
      <c r="H38" s="438"/>
      <c r="I38" s="439"/>
      <c r="K38" s="56"/>
    </row>
    <row r="39" spans="2:11" ht="15.75" thickBot="1">
      <c r="B39" s="2904" t="s">
        <v>2155</v>
      </c>
      <c r="C39" s="2903"/>
      <c r="D39" s="2903"/>
      <c r="E39" s="1553">
        <v>2250</v>
      </c>
      <c r="F39" s="441" t="s">
        <v>218</v>
      </c>
      <c r="G39" s="646" t="s">
        <v>573</v>
      </c>
      <c r="H39" s="438"/>
      <c r="I39" s="439"/>
      <c r="K39" s="56"/>
    </row>
    <row r="40" spans="2:11" ht="16.5" thickBot="1">
      <c r="B40" s="2907" t="s">
        <v>2151</v>
      </c>
      <c r="C40" s="2908"/>
      <c r="D40" s="2909"/>
      <c r="E40" s="2604">
        <f>(E39*(POWER(E38,3))/(POWER(E37,3)))</f>
        <v>4394.53125</v>
      </c>
      <c r="F40" s="2600" t="s">
        <v>218</v>
      </c>
      <c r="G40" s="438"/>
      <c r="H40" s="438"/>
      <c r="I40" s="439"/>
      <c r="K40" s="56"/>
    </row>
    <row r="41" spans="2:11" ht="15.75" thickBot="1">
      <c r="B41" s="488"/>
      <c r="C41" s="448"/>
      <c r="D41" s="448"/>
      <c r="E41" s="448"/>
      <c r="F41" s="448"/>
      <c r="G41" s="448"/>
      <c r="H41" s="448"/>
      <c r="I41" s="450"/>
      <c r="K41" s="56"/>
    </row>
    <row r="42" spans="2:11">
      <c r="B42" s="557"/>
      <c r="C42" s="507"/>
      <c r="D42" s="507"/>
      <c r="E42" s="507"/>
      <c r="F42" s="507"/>
      <c r="G42" s="507"/>
      <c r="H42" s="507"/>
      <c r="I42" s="509"/>
    </row>
    <row r="43" spans="2:11">
      <c r="B43" s="2664" t="s">
        <v>2163</v>
      </c>
      <c r="C43" s="438"/>
      <c r="D43" s="438"/>
      <c r="E43" s="438"/>
      <c r="F43" s="438"/>
      <c r="G43" s="438"/>
      <c r="H43" s="438"/>
      <c r="I43" s="439"/>
    </row>
    <row r="44" spans="2:11">
      <c r="B44" s="544"/>
      <c r="C44" s="438"/>
      <c r="D44" s="438"/>
      <c r="E44" s="438"/>
      <c r="F44" s="438"/>
      <c r="G44" s="438"/>
      <c r="H44" s="438"/>
      <c r="I44" s="439"/>
    </row>
    <row r="45" spans="2:11">
      <c r="B45" s="640"/>
      <c r="C45" s="438"/>
      <c r="D45" s="438"/>
      <c r="E45" s="438"/>
      <c r="F45" s="438"/>
      <c r="G45" s="438"/>
      <c r="H45" s="438"/>
      <c r="I45" s="439"/>
    </row>
    <row r="46" spans="2:11">
      <c r="B46" s="489"/>
      <c r="C46" s="438"/>
      <c r="D46" s="438"/>
      <c r="E46" s="438"/>
      <c r="F46" s="438"/>
      <c r="G46" s="438"/>
      <c r="H46" s="438"/>
      <c r="I46" s="439"/>
    </row>
    <row r="47" spans="2:11">
      <c r="B47" s="641"/>
      <c r="C47" s="546"/>
      <c r="D47" s="642"/>
      <c r="E47" s="438"/>
      <c r="F47" s="438"/>
      <c r="G47" s="438"/>
      <c r="H47" s="512"/>
      <c r="I47" s="439"/>
    </row>
    <row r="48" spans="2:11">
      <c r="B48" s="489"/>
      <c r="C48" s="438"/>
      <c r="D48" s="438"/>
      <c r="E48" s="438"/>
      <c r="F48" s="438"/>
      <c r="G48" s="438"/>
      <c r="H48" s="438"/>
      <c r="I48" s="439"/>
    </row>
    <row r="49" spans="2:9">
      <c r="B49" s="489"/>
      <c r="C49" s="438"/>
      <c r="D49" s="438"/>
      <c r="E49" s="438"/>
      <c r="F49" s="438"/>
      <c r="G49" s="438"/>
      <c r="H49" s="438"/>
      <c r="I49" s="439"/>
    </row>
    <row r="50" spans="2:9">
      <c r="B50" s="2904" t="s">
        <v>2161</v>
      </c>
      <c r="C50" s="2903"/>
      <c r="D50" s="2903"/>
      <c r="E50" s="2663">
        <f>$E$11</f>
        <v>952</v>
      </c>
      <c r="F50" s="441" t="s">
        <v>2148</v>
      </c>
      <c r="G50" s="2690" t="s">
        <v>573</v>
      </c>
      <c r="H50" s="438"/>
      <c r="I50" s="439"/>
    </row>
    <row r="51" spans="2:9">
      <c r="B51" s="2904" t="s">
        <v>2162</v>
      </c>
      <c r="C51" s="2903"/>
      <c r="D51" s="2903"/>
      <c r="E51" s="2663">
        <f>E38</f>
        <v>1190</v>
      </c>
      <c r="F51" s="441" t="s">
        <v>2148</v>
      </c>
      <c r="G51" s="2690" t="s">
        <v>573</v>
      </c>
      <c r="H51" s="438"/>
      <c r="I51" s="439"/>
    </row>
    <row r="52" spans="2:9" ht="15.75" thickBot="1">
      <c r="B52" s="2904" t="s">
        <v>2160</v>
      </c>
      <c r="C52" s="2903"/>
      <c r="D52" s="2903"/>
      <c r="E52" s="1553">
        <v>250</v>
      </c>
      <c r="F52" s="441" t="s">
        <v>286</v>
      </c>
      <c r="G52" s="646" t="s">
        <v>573</v>
      </c>
      <c r="H52" s="438"/>
      <c r="I52" s="439"/>
    </row>
    <row r="53" spans="2:9" ht="16.5" thickBot="1">
      <c r="B53" s="2907" t="s">
        <v>2159</v>
      </c>
      <c r="C53" s="2908"/>
      <c r="D53" s="2909"/>
      <c r="E53" s="2604">
        <f>E52*(E50/E51)</f>
        <v>200</v>
      </c>
      <c r="F53" s="2600" t="s">
        <v>286</v>
      </c>
      <c r="G53" s="438"/>
      <c r="H53" s="438"/>
      <c r="I53" s="439"/>
    </row>
    <row r="54" spans="2:9" ht="15.75" thickBot="1">
      <c r="B54" s="488"/>
      <c r="C54" s="448"/>
      <c r="D54" s="448"/>
      <c r="E54" s="448"/>
      <c r="F54" s="448"/>
      <c r="G54" s="448"/>
      <c r="H54" s="448"/>
      <c r="I54" s="450"/>
    </row>
    <row r="55" spans="2:9">
      <c r="B55" s="557"/>
      <c r="C55" s="507"/>
      <c r="D55" s="507"/>
      <c r="E55" s="507"/>
      <c r="F55" s="507"/>
      <c r="G55" s="507"/>
      <c r="H55" s="507"/>
      <c r="I55" s="509"/>
    </row>
    <row r="56" spans="2:9">
      <c r="B56" s="2664" t="s">
        <v>2164</v>
      </c>
      <c r="C56" s="438"/>
      <c r="D56" s="438"/>
      <c r="E56" s="438"/>
      <c r="F56" s="438"/>
      <c r="G56" s="438"/>
      <c r="H56" s="438"/>
      <c r="I56" s="439"/>
    </row>
    <row r="57" spans="2:9">
      <c r="B57" s="544"/>
      <c r="C57" s="438"/>
      <c r="D57" s="438"/>
      <c r="E57" s="438"/>
      <c r="F57" s="438"/>
      <c r="G57" s="438"/>
      <c r="H57" s="438"/>
      <c r="I57" s="439"/>
    </row>
    <row r="58" spans="2:9">
      <c r="B58" s="640"/>
      <c r="C58" s="438"/>
      <c r="D58" s="438"/>
      <c r="E58" s="438"/>
      <c r="F58" s="438"/>
      <c r="G58" s="438"/>
      <c r="H58" s="438"/>
      <c r="I58" s="439"/>
    </row>
    <row r="59" spans="2:9">
      <c r="B59" s="489"/>
      <c r="C59" s="438"/>
      <c r="D59" s="438"/>
      <c r="E59" s="438"/>
      <c r="F59" s="438"/>
      <c r="G59" s="438"/>
      <c r="H59" s="438"/>
      <c r="I59" s="439"/>
    </row>
    <row r="60" spans="2:9">
      <c r="B60" s="641"/>
      <c r="C60" s="546"/>
      <c r="D60" s="642"/>
      <c r="E60" s="438"/>
      <c r="F60" s="438"/>
      <c r="G60" s="438"/>
      <c r="H60" s="512"/>
      <c r="I60" s="439"/>
    </row>
    <row r="61" spans="2:9">
      <c r="B61" s="489"/>
      <c r="C61" s="438"/>
      <c r="D61" s="438"/>
      <c r="E61" s="438"/>
      <c r="F61" s="438"/>
      <c r="G61" s="438"/>
      <c r="H61" s="438"/>
      <c r="I61" s="439"/>
    </row>
    <row r="62" spans="2:9">
      <c r="B62" s="489"/>
      <c r="C62" s="438"/>
      <c r="D62" s="438"/>
      <c r="E62" s="438"/>
      <c r="F62" s="438"/>
      <c r="G62" s="438"/>
      <c r="H62" s="438"/>
      <c r="I62" s="439"/>
    </row>
    <row r="63" spans="2:9">
      <c r="B63" s="2904" t="s">
        <v>2165</v>
      </c>
      <c r="C63" s="2903"/>
      <c r="D63" s="2903"/>
      <c r="E63" s="2663">
        <f>$E$11</f>
        <v>952</v>
      </c>
      <c r="F63" s="441" t="s">
        <v>2148</v>
      </c>
      <c r="G63" s="2690" t="s">
        <v>573</v>
      </c>
      <c r="H63" s="438"/>
      <c r="I63" s="439"/>
    </row>
    <row r="64" spans="2:9">
      <c r="B64" s="2904" t="s">
        <v>2166</v>
      </c>
      <c r="C64" s="2903"/>
      <c r="D64" s="2903"/>
      <c r="E64" s="2663">
        <f>E51</f>
        <v>1190</v>
      </c>
      <c r="F64" s="441" t="s">
        <v>2148</v>
      </c>
      <c r="G64" s="2690" t="s">
        <v>573</v>
      </c>
      <c r="H64" s="438"/>
      <c r="I64" s="439"/>
    </row>
    <row r="65" spans="2:9" ht="15.75" thickBot="1">
      <c r="B65" s="2904" t="s">
        <v>2160</v>
      </c>
      <c r="C65" s="2903"/>
      <c r="D65" s="2903"/>
      <c r="E65" s="858">
        <v>250</v>
      </c>
      <c r="F65" s="441" t="s">
        <v>286</v>
      </c>
      <c r="G65" s="646" t="s">
        <v>573</v>
      </c>
      <c r="H65" s="438"/>
      <c r="I65" s="439"/>
    </row>
    <row r="66" spans="2:9" ht="16.5" thickBot="1">
      <c r="B66" s="2907" t="s">
        <v>2159</v>
      </c>
      <c r="C66" s="2908"/>
      <c r="D66" s="2909"/>
      <c r="E66" s="2604">
        <f>E65*(E64/E63)</f>
        <v>312.5</v>
      </c>
      <c r="F66" s="2600" t="s">
        <v>286</v>
      </c>
      <c r="G66" s="438"/>
      <c r="H66" s="438"/>
      <c r="I66" s="439"/>
    </row>
    <row r="67" spans="2:9" ht="15.75" thickBot="1">
      <c r="B67" s="488"/>
      <c r="C67" s="448"/>
      <c r="D67" s="448"/>
      <c r="E67" s="448"/>
      <c r="F67" s="448"/>
      <c r="G67" s="448"/>
      <c r="H67" s="448"/>
      <c r="I67" s="450"/>
    </row>
  </sheetData>
  <mergeCells count="21">
    <mergeCell ref="B53:D53"/>
    <mergeCell ref="B63:D63"/>
    <mergeCell ref="B64:D64"/>
    <mergeCell ref="B65:D65"/>
    <mergeCell ref="B66:D66"/>
    <mergeCell ref="G1:I1"/>
    <mergeCell ref="B11:D11"/>
    <mergeCell ref="B12:D12"/>
    <mergeCell ref="B13:D13"/>
    <mergeCell ref="B52:D52"/>
    <mergeCell ref="B14:D14"/>
    <mergeCell ref="B24:D24"/>
    <mergeCell ref="B25:D25"/>
    <mergeCell ref="B26:D26"/>
    <mergeCell ref="B27:D27"/>
    <mergeCell ref="B37:D37"/>
    <mergeCell ref="B38:D38"/>
    <mergeCell ref="B39:D39"/>
    <mergeCell ref="B40:D40"/>
    <mergeCell ref="B50:D50"/>
    <mergeCell ref="B51:D51"/>
  </mergeCells>
  <hyperlinks>
    <hyperlink ref="G1" location="INDEX!A1" display="INDEX!A1"/>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abColor rgb="FFFFFF99"/>
  </sheetPr>
  <dimension ref="A1:N45"/>
  <sheetViews>
    <sheetView zoomScale="85" zoomScaleNormal="85" workbookViewId="0">
      <selection activeCell="L1" sqref="L1:N1"/>
    </sheetView>
  </sheetViews>
  <sheetFormatPr defaultColWidth="12.5703125" defaultRowHeight="15"/>
  <cols>
    <col min="1" max="1" width="13.85546875" style="675" customWidth="1"/>
    <col min="2" max="2" width="4.85546875" style="675" customWidth="1"/>
    <col min="3" max="3" width="13.85546875" style="675" customWidth="1"/>
    <col min="4" max="4" width="7.42578125" style="675" customWidth="1"/>
    <col min="5" max="5" width="5" style="675" customWidth="1"/>
    <col min="6" max="9" width="13.85546875" style="675" customWidth="1"/>
    <col min="10" max="10" width="12.5703125" style="675"/>
    <col min="11" max="11" width="11.28515625" style="675" customWidth="1"/>
    <col min="12" max="12" width="31" style="675" bestFit="1" customWidth="1"/>
    <col min="13" max="256" width="12.5703125" style="675"/>
    <col min="257" max="257" width="13.85546875" style="675" customWidth="1"/>
    <col min="258" max="258" width="4.85546875" style="675" customWidth="1"/>
    <col min="259" max="259" width="13.85546875" style="675" customWidth="1"/>
    <col min="260" max="260" width="7.42578125" style="675" customWidth="1"/>
    <col min="261" max="265" width="13.85546875" style="675" customWidth="1"/>
    <col min="266" max="266" width="12.5703125" style="675"/>
    <col min="267" max="267" width="11.28515625" style="675" customWidth="1"/>
    <col min="268" max="512" width="12.5703125" style="675"/>
    <col min="513" max="513" width="13.85546875" style="675" customWidth="1"/>
    <col min="514" max="514" width="4.85546875" style="675" customWidth="1"/>
    <col min="515" max="515" width="13.85546875" style="675" customWidth="1"/>
    <col min="516" max="516" width="7.42578125" style="675" customWidth="1"/>
    <col min="517" max="521" width="13.85546875" style="675" customWidth="1"/>
    <col min="522" max="522" width="12.5703125" style="675"/>
    <col min="523" max="523" width="11.28515625" style="675" customWidth="1"/>
    <col min="524" max="768" width="12.5703125" style="675"/>
    <col min="769" max="769" width="13.85546875" style="675" customWidth="1"/>
    <col min="770" max="770" width="4.85546875" style="675" customWidth="1"/>
    <col min="771" max="771" width="13.85546875" style="675" customWidth="1"/>
    <col min="772" max="772" width="7.42578125" style="675" customWidth="1"/>
    <col min="773" max="777" width="13.85546875" style="675" customWidth="1"/>
    <col min="778" max="778" width="12.5703125" style="675"/>
    <col min="779" max="779" width="11.28515625" style="675" customWidth="1"/>
    <col min="780" max="1024" width="12.5703125" style="675"/>
    <col min="1025" max="1025" width="13.85546875" style="675" customWidth="1"/>
    <col min="1026" max="1026" width="4.85546875" style="675" customWidth="1"/>
    <col min="1027" max="1027" width="13.85546875" style="675" customWidth="1"/>
    <col min="1028" max="1028" width="7.42578125" style="675" customWidth="1"/>
    <col min="1029" max="1033" width="13.85546875" style="675" customWidth="1"/>
    <col min="1034" max="1034" width="12.5703125" style="675"/>
    <col min="1035" max="1035" width="11.28515625" style="675" customWidth="1"/>
    <col min="1036" max="1280" width="12.5703125" style="675"/>
    <col min="1281" max="1281" width="13.85546875" style="675" customWidth="1"/>
    <col min="1282" max="1282" width="4.85546875" style="675" customWidth="1"/>
    <col min="1283" max="1283" width="13.85546875" style="675" customWidth="1"/>
    <col min="1284" max="1284" width="7.42578125" style="675" customWidth="1"/>
    <col min="1285" max="1289" width="13.85546875" style="675" customWidth="1"/>
    <col min="1290" max="1290" width="12.5703125" style="675"/>
    <col min="1291" max="1291" width="11.28515625" style="675" customWidth="1"/>
    <col min="1292" max="1536" width="12.5703125" style="675"/>
    <col min="1537" max="1537" width="13.85546875" style="675" customWidth="1"/>
    <col min="1538" max="1538" width="4.85546875" style="675" customWidth="1"/>
    <col min="1539" max="1539" width="13.85546875" style="675" customWidth="1"/>
    <col min="1540" max="1540" width="7.42578125" style="675" customWidth="1"/>
    <col min="1541" max="1545" width="13.85546875" style="675" customWidth="1"/>
    <col min="1546" max="1546" width="12.5703125" style="675"/>
    <col min="1547" max="1547" width="11.28515625" style="675" customWidth="1"/>
    <col min="1548" max="1792" width="12.5703125" style="675"/>
    <col min="1793" max="1793" width="13.85546875" style="675" customWidth="1"/>
    <col min="1794" max="1794" width="4.85546875" style="675" customWidth="1"/>
    <col min="1795" max="1795" width="13.85546875" style="675" customWidth="1"/>
    <col min="1796" max="1796" width="7.42578125" style="675" customWidth="1"/>
    <col min="1797" max="1801" width="13.85546875" style="675" customWidth="1"/>
    <col min="1802" max="1802" width="12.5703125" style="675"/>
    <col min="1803" max="1803" width="11.28515625" style="675" customWidth="1"/>
    <col min="1804" max="2048" width="12.5703125" style="675"/>
    <col min="2049" max="2049" width="13.85546875" style="675" customWidth="1"/>
    <col min="2050" max="2050" width="4.85546875" style="675" customWidth="1"/>
    <col min="2051" max="2051" width="13.85546875" style="675" customWidth="1"/>
    <col min="2052" max="2052" width="7.42578125" style="675" customWidth="1"/>
    <col min="2053" max="2057" width="13.85546875" style="675" customWidth="1"/>
    <col min="2058" max="2058" width="12.5703125" style="675"/>
    <col min="2059" max="2059" width="11.28515625" style="675" customWidth="1"/>
    <col min="2060" max="2304" width="12.5703125" style="675"/>
    <col min="2305" max="2305" width="13.85546875" style="675" customWidth="1"/>
    <col min="2306" max="2306" width="4.85546875" style="675" customWidth="1"/>
    <col min="2307" max="2307" width="13.85546875" style="675" customWidth="1"/>
    <col min="2308" max="2308" width="7.42578125" style="675" customWidth="1"/>
    <col min="2309" max="2313" width="13.85546875" style="675" customWidth="1"/>
    <col min="2314" max="2314" width="12.5703125" style="675"/>
    <col min="2315" max="2315" width="11.28515625" style="675" customWidth="1"/>
    <col min="2316" max="2560" width="12.5703125" style="675"/>
    <col min="2561" max="2561" width="13.85546875" style="675" customWidth="1"/>
    <col min="2562" max="2562" width="4.85546875" style="675" customWidth="1"/>
    <col min="2563" max="2563" width="13.85546875" style="675" customWidth="1"/>
    <col min="2564" max="2564" width="7.42578125" style="675" customWidth="1"/>
    <col min="2565" max="2569" width="13.85546875" style="675" customWidth="1"/>
    <col min="2570" max="2570" width="12.5703125" style="675"/>
    <col min="2571" max="2571" width="11.28515625" style="675" customWidth="1"/>
    <col min="2572" max="2816" width="12.5703125" style="675"/>
    <col min="2817" max="2817" width="13.85546875" style="675" customWidth="1"/>
    <col min="2818" max="2818" width="4.85546875" style="675" customWidth="1"/>
    <col min="2819" max="2819" width="13.85546875" style="675" customWidth="1"/>
    <col min="2820" max="2820" width="7.42578125" style="675" customWidth="1"/>
    <col min="2821" max="2825" width="13.85546875" style="675" customWidth="1"/>
    <col min="2826" max="2826" width="12.5703125" style="675"/>
    <col min="2827" max="2827" width="11.28515625" style="675" customWidth="1"/>
    <col min="2828" max="3072" width="12.5703125" style="675"/>
    <col min="3073" max="3073" width="13.85546875" style="675" customWidth="1"/>
    <col min="3074" max="3074" width="4.85546875" style="675" customWidth="1"/>
    <col min="3075" max="3075" width="13.85546875" style="675" customWidth="1"/>
    <col min="3076" max="3076" width="7.42578125" style="675" customWidth="1"/>
    <col min="3077" max="3081" width="13.85546875" style="675" customWidth="1"/>
    <col min="3082" max="3082" width="12.5703125" style="675"/>
    <col min="3083" max="3083" width="11.28515625" style="675" customWidth="1"/>
    <col min="3084" max="3328" width="12.5703125" style="675"/>
    <col min="3329" max="3329" width="13.85546875" style="675" customWidth="1"/>
    <col min="3330" max="3330" width="4.85546875" style="675" customWidth="1"/>
    <col min="3331" max="3331" width="13.85546875" style="675" customWidth="1"/>
    <col min="3332" max="3332" width="7.42578125" style="675" customWidth="1"/>
    <col min="3333" max="3337" width="13.85546875" style="675" customWidth="1"/>
    <col min="3338" max="3338" width="12.5703125" style="675"/>
    <col min="3339" max="3339" width="11.28515625" style="675" customWidth="1"/>
    <col min="3340" max="3584" width="12.5703125" style="675"/>
    <col min="3585" max="3585" width="13.85546875" style="675" customWidth="1"/>
    <col min="3586" max="3586" width="4.85546875" style="675" customWidth="1"/>
    <col min="3587" max="3587" width="13.85546875" style="675" customWidth="1"/>
    <col min="3588" max="3588" width="7.42578125" style="675" customWidth="1"/>
    <col min="3589" max="3593" width="13.85546875" style="675" customWidth="1"/>
    <col min="3594" max="3594" width="12.5703125" style="675"/>
    <col min="3595" max="3595" width="11.28515625" style="675" customWidth="1"/>
    <col min="3596" max="3840" width="12.5703125" style="675"/>
    <col min="3841" max="3841" width="13.85546875" style="675" customWidth="1"/>
    <col min="3842" max="3842" width="4.85546875" style="675" customWidth="1"/>
    <col min="3843" max="3843" width="13.85546875" style="675" customWidth="1"/>
    <col min="3844" max="3844" width="7.42578125" style="675" customWidth="1"/>
    <col min="3845" max="3849" width="13.85546875" style="675" customWidth="1"/>
    <col min="3850" max="3850" width="12.5703125" style="675"/>
    <col min="3851" max="3851" width="11.28515625" style="675" customWidth="1"/>
    <col min="3852" max="4096" width="12.5703125" style="675"/>
    <col min="4097" max="4097" width="13.85546875" style="675" customWidth="1"/>
    <col min="4098" max="4098" width="4.85546875" style="675" customWidth="1"/>
    <col min="4099" max="4099" width="13.85546875" style="675" customWidth="1"/>
    <col min="4100" max="4100" width="7.42578125" style="675" customWidth="1"/>
    <col min="4101" max="4105" width="13.85546875" style="675" customWidth="1"/>
    <col min="4106" max="4106" width="12.5703125" style="675"/>
    <col min="4107" max="4107" width="11.28515625" style="675" customWidth="1"/>
    <col min="4108" max="4352" width="12.5703125" style="675"/>
    <col min="4353" max="4353" width="13.85546875" style="675" customWidth="1"/>
    <col min="4354" max="4354" width="4.85546875" style="675" customWidth="1"/>
    <col min="4355" max="4355" width="13.85546875" style="675" customWidth="1"/>
    <col min="4356" max="4356" width="7.42578125" style="675" customWidth="1"/>
    <col min="4357" max="4361" width="13.85546875" style="675" customWidth="1"/>
    <col min="4362" max="4362" width="12.5703125" style="675"/>
    <col min="4363" max="4363" width="11.28515625" style="675" customWidth="1"/>
    <col min="4364" max="4608" width="12.5703125" style="675"/>
    <col min="4609" max="4609" width="13.85546875" style="675" customWidth="1"/>
    <col min="4610" max="4610" width="4.85546875" style="675" customWidth="1"/>
    <col min="4611" max="4611" width="13.85546875" style="675" customWidth="1"/>
    <col min="4612" max="4612" width="7.42578125" style="675" customWidth="1"/>
    <col min="4613" max="4617" width="13.85546875" style="675" customWidth="1"/>
    <col min="4618" max="4618" width="12.5703125" style="675"/>
    <col min="4619" max="4619" width="11.28515625" style="675" customWidth="1"/>
    <col min="4620" max="4864" width="12.5703125" style="675"/>
    <col min="4865" max="4865" width="13.85546875" style="675" customWidth="1"/>
    <col min="4866" max="4866" width="4.85546875" style="675" customWidth="1"/>
    <col min="4867" max="4867" width="13.85546875" style="675" customWidth="1"/>
    <col min="4868" max="4868" width="7.42578125" style="675" customWidth="1"/>
    <col min="4869" max="4873" width="13.85546875" style="675" customWidth="1"/>
    <col min="4874" max="4874" width="12.5703125" style="675"/>
    <col min="4875" max="4875" width="11.28515625" style="675" customWidth="1"/>
    <col min="4876" max="5120" width="12.5703125" style="675"/>
    <col min="5121" max="5121" width="13.85546875" style="675" customWidth="1"/>
    <col min="5122" max="5122" width="4.85546875" style="675" customWidth="1"/>
    <col min="5123" max="5123" width="13.85546875" style="675" customWidth="1"/>
    <col min="5124" max="5124" width="7.42578125" style="675" customWidth="1"/>
    <col min="5125" max="5129" width="13.85546875" style="675" customWidth="1"/>
    <col min="5130" max="5130" width="12.5703125" style="675"/>
    <col min="5131" max="5131" width="11.28515625" style="675" customWidth="1"/>
    <col min="5132" max="5376" width="12.5703125" style="675"/>
    <col min="5377" max="5377" width="13.85546875" style="675" customWidth="1"/>
    <col min="5378" max="5378" width="4.85546875" style="675" customWidth="1"/>
    <col min="5379" max="5379" width="13.85546875" style="675" customWidth="1"/>
    <col min="5380" max="5380" width="7.42578125" style="675" customWidth="1"/>
    <col min="5381" max="5385" width="13.85546875" style="675" customWidth="1"/>
    <col min="5386" max="5386" width="12.5703125" style="675"/>
    <col min="5387" max="5387" width="11.28515625" style="675" customWidth="1"/>
    <col min="5388" max="5632" width="12.5703125" style="675"/>
    <col min="5633" max="5633" width="13.85546875" style="675" customWidth="1"/>
    <col min="5634" max="5634" width="4.85546875" style="675" customWidth="1"/>
    <col min="5635" max="5635" width="13.85546875" style="675" customWidth="1"/>
    <col min="5636" max="5636" width="7.42578125" style="675" customWidth="1"/>
    <col min="5637" max="5641" width="13.85546875" style="675" customWidth="1"/>
    <col min="5642" max="5642" width="12.5703125" style="675"/>
    <col min="5643" max="5643" width="11.28515625" style="675" customWidth="1"/>
    <col min="5644" max="5888" width="12.5703125" style="675"/>
    <col min="5889" max="5889" width="13.85546875" style="675" customWidth="1"/>
    <col min="5890" max="5890" width="4.85546875" style="675" customWidth="1"/>
    <col min="5891" max="5891" width="13.85546875" style="675" customWidth="1"/>
    <col min="5892" max="5892" width="7.42578125" style="675" customWidth="1"/>
    <col min="5893" max="5897" width="13.85546875" style="675" customWidth="1"/>
    <col min="5898" max="5898" width="12.5703125" style="675"/>
    <col min="5899" max="5899" width="11.28515625" style="675" customWidth="1"/>
    <col min="5900" max="6144" width="12.5703125" style="675"/>
    <col min="6145" max="6145" width="13.85546875" style="675" customWidth="1"/>
    <col min="6146" max="6146" width="4.85546875" style="675" customWidth="1"/>
    <col min="6147" max="6147" width="13.85546875" style="675" customWidth="1"/>
    <col min="6148" max="6148" width="7.42578125" style="675" customWidth="1"/>
    <col min="6149" max="6153" width="13.85546875" style="675" customWidth="1"/>
    <col min="6154" max="6154" width="12.5703125" style="675"/>
    <col min="6155" max="6155" width="11.28515625" style="675" customWidth="1"/>
    <col min="6156" max="6400" width="12.5703125" style="675"/>
    <col min="6401" max="6401" width="13.85546875" style="675" customWidth="1"/>
    <col min="6402" max="6402" width="4.85546875" style="675" customWidth="1"/>
    <col min="6403" max="6403" width="13.85546875" style="675" customWidth="1"/>
    <col min="6404" max="6404" width="7.42578125" style="675" customWidth="1"/>
    <col min="6405" max="6409" width="13.85546875" style="675" customWidth="1"/>
    <col min="6410" max="6410" width="12.5703125" style="675"/>
    <col min="6411" max="6411" width="11.28515625" style="675" customWidth="1"/>
    <col min="6412" max="6656" width="12.5703125" style="675"/>
    <col min="6657" max="6657" width="13.85546875" style="675" customWidth="1"/>
    <col min="6658" max="6658" width="4.85546875" style="675" customWidth="1"/>
    <col min="6659" max="6659" width="13.85546875" style="675" customWidth="1"/>
    <col min="6660" max="6660" width="7.42578125" style="675" customWidth="1"/>
    <col min="6661" max="6665" width="13.85546875" style="675" customWidth="1"/>
    <col min="6666" max="6666" width="12.5703125" style="675"/>
    <col min="6667" max="6667" width="11.28515625" style="675" customWidth="1"/>
    <col min="6668" max="6912" width="12.5703125" style="675"/>
    <col min="6913" max="6913" width="13.85546875" style="675" customWidth="1"/>
    <col min="6914" max="6914" width="4.85546875" style="675" customWidth="1"/>
    <col min="6915" max="6915" width="13.85546875" style="675" customWidth="1"/>
    <col min="6916" max="6916" width="7.42578125" style="675" customWidth="1"/>
    <col min="6917" max="6921" width="13.85546875" style="675" customWidth="1"/>
    <col min="6922" max="6922" width="12.5703125" style="675"/>
    <col min="6923" max="6923" width="11.28515625" style="675" customWidth="1"/>
    <col min="6924" max="7168" width="12.5703125" style="675"/>
    <col min="7169" max="7169" width="13.85546875" style="675" customWidth="1"/>
    <col min="7170" max="7170" width="4.85546875" style="675" customWidth="1"/>
    <col min="7171" max="7171" width="13.85546875" style="675" customWidth="1"/>
    <col min="7172" max="7172" width="7.42578125" style="675" customWidth="1"/>
    <col min="7173" max="7177" width="13.85546875" style="675" customWidth="1"/>
    <col min="7178" max="7178" width="12.5703125" style="675"/>
    <col min="7179" max="7179" width="11.28515625" style="675" customWidth="1"/>
    <col min="7180" max="7424" width="12.5703125" style="675"/>
    <col min="7425" max="7425" width="13.85546875" style="675" customWidth="1"/>
    <col min="7426" max="7426" width="4.85546875" style="675" customWidth="1"/>
    <col min="7427" max="7427" width="13.85546875" style="675" customWidth="1"/>
    <col min="7428" max="7428" width="7.42578125" style="675" customWidth="1"/>
    <col min="7429" max="7433" width="13.85546875" style="675" customWidth="1"/>
    <col min="7434" max="7434" width="12.5703125" style="675"/>
    <col min="7435" max="7435" width="11.28515625" style="675" customWidth="1"/>
    <col min="7436" max="7680" width="12.5703125" style="675"/>
    <col min="7681" max="7681" width="13.85546875" style="675" customWidth="1"/>
    <col min="7682" max="7682" width="4.85546875" style="675" customWidth="1"/>
    <col min="7683" max="7683" width="13.85546875" style="675" customWidth="1"/>
    <col min="7684" max="7684" width="7.42578125" style="675" customWidth="1"/>
    <col min="7685" max="7689" width="13.85546875" style="675" customWidth="1"/>
    <col min="7690" max="7690" width="12.5703125" style="675"/>
    <col min="7691" max="7691" width="11.28515625" style="675" customWidth="1"/>
    <col min="7692" max="7936" width="12.5703125" style="675"/>
    <col min="7937" max="7937" width="13.85546875" style="675" customWidth="1"/>
    <col min="7938" max="7938" width="4.85546875" style="675" customWidth="1"/>
    <col min="7939" max="7939" width="13.85546875" style="675" customWidth="1"/>
    <col min="7940" max="7940" width="7.42578125" style="675" customWidth="1"/>
    <col min="7941" max="7945" width="13.85546875" style="675" customWidth="1"/>
    <col min="7946" max="7946" width="12.5703125" style="675"/>
    <col min="7947" max="7947" width="11.28515625" style="675" customWidth="1"/>
    <col min="7948" max="8192" width="12.5703125" style="675"/>
    <col min="8193" max="8193" width="13.85546875" style="675" customWidth="1"/>
    <col min="8194" max="8194" width="4.85546875" style="675" customWidth="1"/>
    <col min="8195" max="8195" width="13.85546875" style="675" customWidth="1"/>
    <col min="8196" max="8196" width="7.42578125" style="675" customWidth="1"/>
    <col min="8197" max="8201" width="13.85546875" style="675" customWidth="1"/>
    <col min="8202" max="8202" width="12.5703125" style="675"/>
    <col min="8203" max="8203" width="11.28515625" style="675" customWidth="1"/>
    <col min="8204" max="8448" width="12.5703125" style="675"/>
    <col min="8449" max="8449" width="13.85546875" style="675" customWidth="1"/>
    <col min="8450" max="8450" width="4.85546875" style="675" customWidth="1"/>
    <col min="8451" max="8451" width="13.85546875" style="675" customWidth="1"/>
    <col min="8452" max="8452" width="7.42578125" style="675" customWidth="1"/>
    <col min="8453" max="8457" width="13.85546875" style="675" customWidth="1"/>
    <col min="8458" max="8458" width="12.5703125" style="675"/>
    <col min="8459" max="8459" width="11.28515625" style="675" customWidth="1"/>
    <col min="8460" max="8704" width="12.5703125" style="675"/>
    <col min="8705" max="8705" width="13.85546875" style="675" customWidth="1"/>
    <col min="8706" max="8706" width="4.85546875" style="675" customWidth="1"/>
    <col min="8707" max="8707" width="13.85546875" style="675" customWidth="1"/>
    <col min="8708" max="8708" width="7.42578125" style="675" customWidth="1"/>
    <col min="8709" max="8713" width="13.85546875" style="675" customWidth="1"/>
    <col min="8714" max="8714" width="12.5703125" style="675"/>
    <col min="8715" max="8715" width="11.28515625" style="675" customWidth="1"/>
    <col min="8716" max="8960" width="12.5703125" style="675"/>
    <col min="8961" max="8961" width="13.85546875" style="675" customWidth="1"/>
    <col min="8962" max="8962" width="4.85546875" style="675" customWidth="1"/>
    <col min="8963" max="8963" width="13.85546875" style="675" customWidth="1"/>
    <col min="8964" max="8964" width="7.42578125" style="675" customWidth="1"/>
    <col min="8965" max="8969" width="13.85546875" style="675" customWidth="1"/>
    <col min="8970" max="8970" width="12.5703125" style="675"/>
    <col min="8971" max="8971" width="11.28515625" style="675" customWidth="1"/>
    <col min="8972" max="9216" width="12.5703125" style="675"/>
    <col min="9217" max="9217" width="13.85546875" style="675" customWidth="1"/>
    <col min="9218" max="9218" width="4.85546875" style="675" customWidth="1"/>
    <col min="9219" max="9219" width="13.85546875" style="675" customWidth="1"/>
    <col min="9220" max="9220" width="7.42578125" style="675" customWidth="1"/>
    <col min="9221" max="9225" width="13.85546875" style="675" customWidth="1"/>
    <col min="9226" max="9226" width="12.5703125" style="675"/>
    <col min="9227" max="9227" width="11.28515625" style="675" customWidth="1"/>
    <col min="9228" max="9472" width="12.5703125" style="675"/>
    <col min="9473" max="9473" width="13.85546875" style="675" customWidth="1"/>
    <col min="9474" max="9474" width="4.85546875" style="675" customWidth="1"/>
    <col min="9475" max="9475" width="13.85546875" style="675" customWidth="1"/>
    <col min="9476" max="9476" width="7.42578125" style="675" customWidth="1"/>
    <col min="9477" max="9481" width="13.85546875" style="675" customWidth="1"/>
    <col min="9482" max="9482" width="12.5703125" style="675"/>
    <col min="9483" max="9483" width="11.28515625" style="675" customWidth="1"/>
    <col min="9484" max="9728" width="12.5703125" style="675"/>
    <col min="9729" max="9729" width="13.85546875" style="675" customWidth="1"/>
    <col min="9730" max="9730" width="4.85546875" style="675" customWidth="1"/>
    <col min="9731" max="9731" width="13.85546875" style="675" customWidth="1"/>
    <col min="9732" max="9732" width="7.42578125" style="675" customWidth="1"/>
    <col min="9733" max="9737" width="13.85546875" style="675" customWidth="1"/>
    <col min="9738" max="9738" width="12.5703125" style="675"/>
    <col min="9739" max="9739" width="11.28515625" style="675" customWidth="1"/>
    <col min="9740" max="9984" width="12.5703125" style="675"/>
    <col min="9985" max="9985" width="13.85546875" style="675" customWidth="1"/>
    <col min="9986" max="9986" width="4.85546875" style="675" customWidth="1"/>
    <col min="9987" max="9987" width="13.85546875" style="675" customWidth="1"/>
    <col min="9988" max="9988" width="7.42578125" style="675" customWidth="1"/>
    <col min="9989" max="9993" width="13.85546875" style="675" customWidth="1"/>
    <col min="9994" max="9994" width="12.5703125" style="675"/>
    <col min="9995" max="9995" width="11.28515625" style="675" customWidth="1"/>
    <col min="9996" max="10240" width="12.5703125" style="675"/>
    <col min="10241" max="10241" width="13.85546875" style="675" customWidth="1"/>
    <col min="10242" max="10242" width="4.85546875" style="675" customWidth="1"/>
    <col min="10243" max="10243" width="13.85546875" style="675" customWidth="1"/>
    <col min="10244" max="10244" width="7.42578125" style="675" customWidth="1"/>
    <col min="10245" max="10249" width="13.85546875" style="675" customWidth="1"/>
    <col min="10250" max="10250" width="12.5703125" style="675"/>
    <col min="10251" max="10251" width="11.28515625" style="675" customWidth="1"/>
    <col min="10252" max="10496" width="12.5703125" style="675"/>
    <col min="10497" max="10497" width="13.85546875" style="675" customWidth="1"/>
    <col min="10498" max="10498" width="4.85546875" style="675" customWidth="1"/>
    <col min="10499" max="10499" width="13.85546875" style="675" customWidth="1"/>
    <col min="10500" max="10500" width="7.42578125" style="675" customWidth="1"/>
    <col min="10501" max="10505" width="13.85546875" style="675" customWidth="1"/>
    <col min="10506" max="10506" width="12.5703125" style="675"/>
    <col min="10507" max="10507" width="11.28515625" style="675" customWidth="1"/>
    <col min="10508" max="10752" width="12.5703125" style="675"/>
    <col min="10753" max="10753" width="13.85546875" style="675" customWidth="1"/>
    <col min="10754" max="10754" width="4.85546875" style="675" customWidth="1"/>
    <col min="10755" max="10755" width="13.85546875" style="675" customWidth="1"/>
    <col min="10756" max="10756" width="7.42578125" style="675" customWidth="1"/>
    <col min="10757" max="10761" width="13.85546875" style="675" customWidth="1"/>
    <col min="10762" max="10762" width="12.5703125" style="675"/>
    <col min="10763" max="10763" width="11.28515625" style="675" customWidth="1"/>
    <col min="10764" max="11008" width="12.5703125" style="675"/>
    <col min="11009" max="11009" width="13.85546875" style="675" customWidth="1"/>
    <col min="11010" max="11010" width="4.85546875" style="675" customWidth="1"/>
    <col min="11011" max="11011" width="13.85546875" style="675" customWidth="1"/>
    <col min="11012" max="11012" width="7.42578125" style="675" customWidth="1"/>
    <col min="11013" max="11017" width="13.85546875" style="675" customWidth="1"/>
    <col min="11018" max="11018" width="12.5703125" style="675"/>
    <col min="11019" max="11019" width="11.28515625" style="675" customWidth="1"/>
    <col min="11020" max="11264" width="12.5703125" style="675"/>
    <col min="11265" max="11265" width="13.85546875" style="675" customWidth="1"/>
    <col min="11266" max="11266" width="4.85546875" style="675" customWidth="1"/>
    <col min="11267" max="11267" width="13.85546875" style="675" customWidth="1"/>
    <col min="11268" max="11268" width="7.42578125" style="675" customWidth="1"/>
    <col min="11269" max="11273" width="13.85546875" style="675" customWidth="1"/>
    <col min="11274" max="11274" width="12.5703125" style="675"/>
    <col min="11275" max="11275" width="11.28515625" style="675" customWidth="1"/>
    <col min="11276" max="11520" width="12.5703125" style="675"/>
    <col min="11521" max="11521" width="13.85546875" style="675" customWidth="1"/>
    <col min="11522" max="11522" width="4.85546875" style="675" customWidth="1"/>
    <col min="11523" max="11523" width="13.85546875" style="675" customWidth="1"/>
    <col min="11524" max="11524" width="7.42578125" style="675" customWidth="1"/>
    <col min="11525" max="11529" width="13.85546875" style="675" customWidth="1"/>
    <col min="11530" max="11530" width="12.5703125" style="675"/>
    <col min="11531" max="11531" width="11.28515625" style="675" customWidth="1"/>
    <col min="11532" max="11776" width="12.5703125" style="675"/>
    <col min="11777" max="11777" width="13.85546875" style="675" customWidth="1"/>
    <col min="11778" max="11778" width="4.85546875" style="675" customWidth="1"/>
    <col min="11779" max="11779" width="13.85546875" style="675" customWidth="1"/>
    <col min="11780" max="11780" width="7.42578125" style="675" customWidth="1"/>
    <col min="11781" max="11785" width="13.85546875" style="675" customWidth="1"/>
    <col min="11786" max="11786" width="12.5703125" style="675"/>
    <col min="11787" max="11787" width="11.28515625" style="675" customWidth="1"/>
    <col min="11788" max="12032" width="12.5703125" style="675"/>
    <col min="12033" max="12033" width="13.85546875" style="675" customWidth="1"/>
    <col min="12034" max="12034" width="4.85546875" style="675" customWidth="1"/>
    <col min="12035" max="12035" width="13.85546875" style="675" customWidth="1"/>
    <col min="12036" max="12036" width="7.42578125" style="675" customWidth="1"/>
    <col min="12037" max="12041" width="13.85546875" style="675" customWidth="1"/>
    <col min="12042" max="12042" width="12.5703125" style="675"/>
    <col min="12043" max="12043" width="11.28515625" style="675" customWidth="1"/>
    <col min="12044" max="12288" width="12.5703125" style="675"/>
    <col min="12289" max="12289" width="13.85546875" style="675" customWidth="1"/>
    <col min="12290" max="12290" width="4.85546875" style="675" customWidth="1"/>
    <col min="12291" max="12291" width="13.85546875" style="675" customWidth="1"/>
    <col min="12292" max="12292" width="7.42578125" style="675" customWidth="1"/>
    <col min="12293" max="12297" width="13.85546875" style="675" customWidth="1"/>
    <col min="12298" max="12298" width="12.5703125" style="675"/>
    <col min="12299" max="12299" width="11.28515625" style="675" customWidth="1"/>
    <col min="12300" max="12544" width="12.5703125" style="675"/>
    <col min="12545" max="12545" width="13.85546875" style="675" customWidth="1"/>
    <col min="12546" max="12546" width="4.85546875" style="675" customWidth="1"/>
    <col min="12547" max="12547" width="13.85546875" style="675" customWidth="1"/>
    <col min="12548" max="12548" width="7.42578125" style="675" customWidth="1"/>
    <col min="12549" max="12553" width="13.85546875" style="675" customWidth="1"/>
    <col min="12554" max="12554" width="12.5703125" style="675"/>
    <col min="12555" max="12555" width="11.28515625" style="675" customWidth="1"/>
    <col min="12556" max="12800" width="12.5703125" style="675"/>
    <col min="12801" max="12801" width="13.85546875" style="675" customWidth="1"/>
    <col min="12802" max="12802" width="4.85546875" style="675" customWidth="1"/>
    <col min="12803" max="12803" width="13.85546875" style="675" customWidth="1"/>
    <col min="12804" max="12804" width="7.42578125" style="675" customWidth="1"/>
    <col min="12805" max="12809" width="13.85546875" style="675" customWidth="1"/>
    <col min="12810" max="12810" width="12.5703125" style="675"/>
    <col min="12811" max="12811" width="11.28515625" style="675" customWidth="1"/>
    <col min="12812" max="13056" width="12.5703125" style="675"/>
    <col min="13057" max="13057" width="13.85546875" style="675" customWidth="1"/>
    <col min="13058" max="13058" width="4.85546875" style="675" customWidth="1"/>
    <col min="13059" max="13059" width="13.85546875" style="675" customWidth="1"/>
    <col min="13060" max="13060" width="7.42578125" style="675" customWidth="1"/>
    <col min="13061" max="13065" width="13.85546875" style="675" customWidth="1"/>
    <col min="13066" max="13066" width="12.5703125" style="675"/>
    <col min="13067" max="13067" width="11.28515625" style="675" customWidth="1"/>
    <col min="13068" max="13312" width="12.5703125" style="675"/>
    <col min="13313" max="13313" width="13.85546875" style="675" customWidth="1"/>
    <col min="13314" max="13314" width="4.85546875" style="675" customWidth="1"/>
    <col min="13315" max="13315" width="13.85546875" style="675" customWidth="1"/>
    <col min="13316" max="13316" width="7.42578125" style="675" customWidth="1"/>
    <col min="13317" max="13321" width="13.85546875" style="675" customWidth="1"/>
    <col min="13322" max="13322" width="12.5703125" style="675"/>
    <col min="13323" max="13323" width="11.28515625" style="675" customWidth="1"/>
    <col min="13324" max="13568" width="12.5703125" style="675"/>
    <col min="13569" max="13569" width="13.85546875" style="675" customWidth="1"/>
    <col min="13570" max="13570" width="4.85546875" style="675" customWidth="1"/>
    <col min="13571" max="13571" width="13.85546875" style="675" customWidth="1"/>
    <col min="13572" max="13572" width="7.42578125" style="675" customWidth="1"/>
    <col min="13573" max="13577" width="13.85546875" style="675" customWidth="1"/>
    <col min="13578" max="13578" width="12.5703125" style="675"/>
    <col min="13579" max="13579" width="11.28515625" style="675" customWidth="1"/>
    <col min="13580" max="13824" width="12.5703125" style="675"/>
    <col min="13825" max="13825" width="13.85546875" style="675" customWidth="1"/>
    <col min="13826" max="13826" width="4.85546875" style="675" customWidth="1"/>
    <col min="13827" max="13827" width="13.85546875" style="675" customWidth="1"/>
    <col min="13828" max="13828" width="7.42578125" style="675" customWidth="1"/>
    <col min="13829" max="13833" width="13.85546875" style="675" customWidth="1"/>
    <col min="13834" max="13834" width="12.5703125" style="675"/>
    <col min="13835" max="13835" width="11.28515625" style="675" customWidth="1"/>
    <col min="13836" max="14080" width="12.5703125" style="675"/>
    <col min="14081" max="14081" width="13.85546875" style="675" customWidth="1"/>
    <col min="14082" max="14082" width="4.85546875" style="675" customWidth="1"/>
    <col min="14083" max="14083" width="13.85546875" style="675" customWidth="1"/>
    <col min="14084" max="14084" width="7.42578125" style="675" customWidth="1"/>
    <col min="14085" max="14089" width="13.85546875" style="675" customWidth="1"/>
    <col min="14090" max="14090" width="12.5703125" style="675"/>
    <col min="14091" max="14091" width="11.28515625" style="675" customWidth="1"/>
    <col min="14092" max="14336" width="12.5703125" style="675"/>
    <col min="14337" max="14337" width="13.85546875" style="675" customWidth="1"/>
    <col min="14338" max="14338" width="4.85546875" style="675" customWidth="1"/>
    <col min="14339" max="14339" width="13.85546875" style="675" customWidth="1"/>
    <col min="14340" max="14340" width="7.42578125" style="675" customWidth="1"/>
    <col min="14341" max="14345" width="13.85546875" style="675" customWidth="1"/>
    <col min="14346" max="14346" width="12.5703125" style="675"/>
    <col min="14347" max="14347" width="11.28515625" style="675" customWidth="1"/>
    <col min="14348" max="14592" width="12.5703125" style="675"/>
    <col min="14593" max="14593" width="13.85546875" style="675" customWidth="1"/>
    <col min="14594" max="14594" width="4.85546875" style="675" customWidth="1"/>
    <col min="14595" max="14595" width="13.85546875" style="675" customWidth="1"/>
    <col min="14596" max="14596" width="7.42578125" style="675" customWidth="1"/>
    <col min="14597" max="14601" width="13.85546875" style="675" customWidth="1"/>
    <col min="14602" max="14602" width="12.5703125" style="675"/>
    <col min="14603" max="14603" width="11.28515625" style="675" customWidth="1"/>
    <col min="14604" max="14848" width="12.5703125" style="675"/>
    <col min="14849" max="14849" width="13.85546875" style="675" customWidth="1"/>
    <col min="14850" max="14850" width="4.85546875" style="675" customWidth="1"/>
    <col min="14851" max="14851" width="13.85546875" style="675" customWidth="1"/>
    <col min="14852" max="14852" width="7.42578125" style="675" customWidth="1"/>
    <col min="14853" max="14857" width="13.85546875" style="675" customWidth="1"/>
    <col min="14858" max="14858" width="12.5703125" style="675"/>
    <col min="14859" max="14859" width="11.28515625" style="675" customWidth="1"/>
    <col min="14860" max="15104" width="12.5703125" style="675"/>
    <col min="15105" max="15105" width="13.85546875" style="675" customWidth="1"/>
    <col min="15106" max="15106" width="4.85546875" style="675" customWidth="1"/>
    <col min="15107" max="15107" width="13.85546875" style="675" customWidth="1"/>
    <col min="15108" max="15108" width="7.42578125" style="675" customWidth="1"/>
    <col min="15109" max="15113" width="13.85546875" style="675" customWidth="1"/>
    <col min="15114" max="15114" width="12.5703125" style="675"/>
    <col min="15115" max="15115" width="11.28515625" style="675" customWidth="1"/>
    <col min="15116" max="15360" width="12.5703125" style="675"/>
    <col min="15361" max="15361" width="13.85546875" style="675" customWidth="1"/>
    <col min="15362" max="15362" width="4.85546875" style="675" customWidth="1"/>
    <col min="15363" max="15363" width="13.85546875" style="675" customWidth="1"/>
    <col min="15364" max="15364" width="7.42578125" style="675" customWidth="1"/>
    <col min="15365" max="15369" width="13.85546875" style="675" customWidth="1"/>
    <col min="15370" max="15370" width="12.5703125" style="675"/>
    <col min="15371" max="15371" width="11.28515625" style="675" customWidth="1"/>
    <col min="15372" max="15616" width="12.5703125" style="675"/>
    <col min="15617" max="15617" width="13.85546875" style="675" customWidth="1"/>
    <col min="15618" max="15618" width="4.85546875" style="675" customWidth="1"/>
    <col min="15619" max="15619" width="13.85546875" style="675" customWidth="1"/>
    <col min="15620" max="15620" width="7.42578125" style="675" customWidth="1"/>
    <col min="15621" max="15625" width="13.85546875" style="675" customWidth="1"/>
    <col min="15626" max="15626" width="12.5703125" style="675"/>
    <col min="15627" max="15627" width="11.28515625" style="675" customWidth="1"/>
    <col min="15628" max="15872" width="12.5703125" style="675"/>
    <col min="15873" max="15873" width="13.85546875" style="675" customWidth="1"/>
    <col min="15874" max="15874" width="4.85546875" style="675" customWidth="1"/>
    <col min="15875" max="15875" width="13.85546875" style="675" customWidth="1"/>
    <col min="15876" max="15876" width="7.42578125" style="675" customWidth="1"/>
    <col min="15877" max="15881" width="13.85546875" style="675" customWidth="1"/>
    <col min="15882" max="15882" width="12.5703125" style="675"/>
    <col min="15883" max="15883" width="11.28515625" style="675" customWidth="1"/>
    <col min="15884" max="16128" width="12.5703125" style="675"/>
    <col min="16129" max="16129" width="13.85546875" style="675" customWidth="1"/>
    <col min="16130" max="16130" width="4.85546875" style="675" customWidth="1"/>
    <col min="16131" max="16131" width="13.85546875" style="675" customWidth="1"/>
    <col min="16132" max="16132" width="7.42578125" style="675" customWidth="1"/>
    <col min="16133" max="16137" width="13.85546875" style="675" customWidth="1"/>
    <col min="16138" max="16138" width="12.5703125" style="675"/>
    <col min="16139" max="16139" width="11.28515625" style="675" customWidth="1"/>
    <col min="16140" max="16384" width="12.5703125" style="675"/>
  </cols>
  <sheetData>
    <row r="1" spans="2:14" ht="24" thickBot="1">
      <c r="B1" s="1500" t="s">
        <v>840</v>
      </c>
      <c r="C1" s="1501"/>
      <c r="D1" s="1501"/>
      <c r="E1" s="1501"/>
      <c r="F1" s="1501"/>
      <c r="G1" s="1501"/>
      <c r="H1" s="1501"/>
      <c r="I1" s="1501"/>
      <c r="J1" s="1502"/>
      <c r="L1" s="2777" t="s">
        <v>1749</v>
      </c>
      <c r="M1" s="2778"/>
      <c r="N1" s="2779"/>
    </row>
    <row r="2" spans="2:14" ht="14.1" customHeight="1" thickBot="1">
      <c r="B2" s="1503" t="s">
        <v>841</v>
      </c>
      <c r="C2" s="1504"/>
      <c r="D2" s="1504"/>
      <c r="E2" s="1504"/>
      <c r="F2" s="1504"/>
      <c r="G2" s="1504"/>
      <c r="H2" s="1504"/>
      <c r="I2" s="1504"/>
      <c r="J2" s="1505"/>
    </row>
    <row r="3" spans="2:14" ht="16.5" customHeight="1" thickBot="1">
      <c r="B3" s="1506"/>
      <c r="C3" s="1507"/>
      <c r="D3" s="1507"/>
      <c r="E3" s="1507"/>
      <c r="F3" s="2939" t="s">
        <v>1053</v>
      </c>
      <c r="G3" s="2937"/>
      <c r="H3" s="2938"/>
      <c r="I3" s="2937" t="s">
        <v>842</v>
      </c>
      <c r="J3" s="2938"/>
    </row>
    <row r="4" spans="2:14" ht="24" thickBot="1">
      <c r="B4" s="1506"/>
      <c r="C4" s="1507"/>
      <c r="D4" s="1507"/>
      <c r="E4" s="1507"/>
      <c r="F4" s="1530" t="s">
        <v>843</v>
      </c>
      <c r="G4" s="1531" t="s">
        <v>844</v>
      </c>
      <c r="H4" s="1532" t="s">
        <v>845</v>
      </c>
      <c r="I4" s="1530" t="s">
        <v>435</v>
      </c>
      <c r="J4" s="1532" t="s">
        <v>673</v>
      </c>
      <c r="L4" s="2940" t="s">
        <v>2067</v>
      </c>
      <c r="M4" s="2941"/>
      <c r="N4" s="2942"/>
    </row>
    <row r="5" spans="2:14" ht="15.75">
      <c r="B5" s="1508" t="s">
        <v>846</v>
      </c>
      <c r="C5" s="1889">
        <v>75</v>
      </c>
      <c r="D5" s="1904" t="s">
        <v>357</v>
      </c>
      <c r="E5" s="1507"/>
      <c r="F5" s="1893" t="str">
        <f>IF(OR(C6="",C7=""),"",SQRT((C7*C7)-(C6*C6)))</f>
        <v/>
      </c>
      <c r="G5" s="1894" t="str">
        <f>IF(OR(C5="",C7=""),"",SQRT((C7*C7)-(C5*C5)))</f>
        <v/>
      </c>
      <c r="H5" s="1895">
        <f>IF(OR(C5="",C6=""),"",SQRT((C5*C5)+(C6*C6)))</f>
        <v>150.08331019803634</v>
      </c>
      <c r="I5" s="1533">
        <f>IF(OR(C5="",C6=""),"",ATAN(SUM(C6/C5))*180/PI())</f>
        <v>60.018360631150671</v>
      </c>
      <c r="J5" s="1534">
        <f>IF(OR(C5="",C6=""),"",SUM(90-I5))</f>
        <v>29.981639368849329</v>
      </c>
      <c r="L5" s="2943" t="s">
        <v>926</v>
      </c>
      <c r="M5" s="2944"/>
      <c r="N5" s="2945"/>
    </row>
    <row r="6" spans="2:14">
      <c r="B6" s="1508" t="s">
        <v>847</v>
      </c>
      <c r="C6" s="1890">
        <v>130</v>
      </c>
      <c r="D6" s="1905" t="s">
        <v>357</v>
      </c>
      <c r="E6" s="1507"/>
      <c r="F6" s="1535" t="str">
        <f>IF(OR(C7="",C10=""),"",SUM(C7*COS((C10)/180*PI())))</f>
        <v/>
      </c>
      <c r="G6" s="1536" t="str">
        <f>IF(OR(C7="",C10=""),"",SUM(C7*SIN((C10)/180*PI())))</f>
        <v/>
      </c>
      <c r="H6" s="1537" t="str">
        <f>IF(OR(C6="",C10=""),"",SUM(C6/SIN((C10)/180*PI())))</f>
        <v/>
      </c>
      <c r="I6" s="1538" t="str">
        <f>IF(OR(C5="",C7=""),"",SUM(90-J6))</f>
        <v/>
      </c>
      <c r="J6" s="1539" t="str">
        <f>IF(OR(C5="",C7=""),"",ASIN(SUM(C5/C7))*180/PI())</f>
        <v/>
      </c>
      <c r="L6" s="842" t="s">
        <v>2069</v>
      </c>
      <c r="M6" s="768">
        <v>1.85</v>
      </c>
      <c r="N6" s="565" t="s">
        <v>357</v>
      </c>
    </row>
    <row r="7" spans="2:14" ht="15.75" thickBot="1">
      <c r="B7" s="1508" t="s">
        <v>848</v>
      </c>
      <c r="C7" s="1891"/>
      <c r="D7" s="1906" t="s">
        <v>357</v>
      </c>
      <c r="E7" s="1507"/>
      <c r="F7" s="1535" t="str">
        <f>IF(OR(C7="",C11=""),"",SUM(C7*SIN((C11)/180*PI())))</f>
        <v/>
      </c>
      <c r="G7" s="1536" t="str">
        <f>IF(OR(C7="",C11=""),"",SUM(C7*COS((C11)/180*PI())))</f>
        <v/>
      </c>
      <c r="H7" s="1537">
        <f>IF(OR(C6="",C11=""),"",SUM(C6/COS((C11)/180*PI())))</f>
        <v>150.11106998930268</v>
      </c>
      <c r="I7" s="1538" t="str">
        <f>IF(OR(C6="",C7=""),"",ASIN(SUM(C6/C7))*180/PI())</f>
        <v/>
      </c>
      <c r="J7" s="1539" t="str">
        <f>IF(OR(C6="",C7=""),"",SUM(90-I7))</f>
        <v/>
      </c>
      <c r="L7" s="842" t="s">
        <v>2070</v>
      </c>
      <c r="M7" s="768">
        <v>0.76</v>
      </c>
      <c r="N7" s="565" t="s">
        <v>357</v>
      </c>
    </row>
    <row r="8" spans="2:14" ht="16.5" thickBot="1">
      <c r="B8" s="1506"/>
      <c r="C8" s="1507"/>
      <c r="D8" s="1507"/>
      <c r="E8" s="1507"/>
      <c r="F8" s="1535" t="str">
        <f>IF(OR(C6="",C10=""),"",SUM(C6*TAN((90-C10)/180*PI())))</f>
        <v/>
      </c>
      <c r="G8" s="1536" t="str">
        <f>IF(OR(C5="",C10=""),"",SUM(C5*TAN((C10)/180*PI())))</f>
        <v/>
      </c>
      <c r="H8" s="1537" t="str">
        <f>IF(OR(C5="",C10=""),"",SUM(C5/COS((C10)/180*PI())))</f>
        <v/>
      </c>
      <c r="I8" s="1538" t="str">
        <f>IF(OR(C7="",C11=""),"",SUM(90-C11))</f>
        <v/>
      </c>
      <c r="J8" s="1539" t="str">
        <f>IF(OR(C7="",C10=""),"",SUM(90-C10))</f>
        <v/>
      </c>
      <c r="L8" s="2331" t="s">
        <v>362</v>
      </c>
      <c r="M8" s="2333">
        <f>PI()*(M7*M7)/4</f>
        <v>0.45364597917836613</v>
      </c>
      <c r="N8" s="1596" t="s">
        <v>896</v>
      </c>
    </row>
    <row r="9" spans="2:14" ht="16.5" thickBot="1">
      <c r="B9" s="1508" t="s">
        <v>849</v>
      </c>
      <c r="C9" s="1892">
        <v>90</v>
      </c>
      <c r="D9" s="1907" t="s">
        <v>863</v>
      </c>
      <c r="E9" s="1507"/>
      <c r="F9" s="1535">
        <f>IF(OR(C6="",C11=""),"",SUM(C6*TAN((C11)/180*PI())))</f>
        <v>75.055534994651339</v>
      </c>
      <c r="G9" s="1536">
        <f>IF(OR(C5="",C11=""),"",SUM(C5*TAN((90-C11)/180*PI())))</f>
        <v>129.90381056766574</v>
      </c>
      <c r="H9" s="1537">
        <f>IF(OR(C5="",C11=""),"",SUM(C5/SIN((C11)/180*PI())))</f>
        <v>150.00000000000003</v>
      </c>
      <c r="I9" s="1538">
        <f>IF(OR(C6="",C11=""),"",SUM(90-C11))</f>
        <v>60</v>
      </c>
      <c r="J9" s="1539" t="str">
        <f>IF(OR(C6="",C10=""),"",SUM(90-C10))</f>
        <v/>
      </c>
      <c r="L9" s="2331" t="s">
        <v>2067</v>
      </c>
      <c r="M9" s="2332">
        <f>M6*M8</f>
        <v>0.83924506147997735</v>
      </c>
      <c r="N9" s="1596" t="s">
        <v>972</v>
      </c>
    </row>
    <row r="10" spans="2:14" ht="18.75" thickBot="1">
      <c r="B10" s="1508" t="s">
        <v>850</v>
      </c>
      <c r="C10" s="1909"/>
      <c r="D10" s="1905" t="s">
        <v>863</v>
      </c>
      <c r="E10" s="1908" t="str">
        <f>IF(OR(C10="",C11=""),"","This will not work with 2 angles entered")</f>
        <v/>
      </c>
      <c r="F10" s="1540"/>
      <c r="G10" s="1541"/>
      <c r="H10" s="1542"/>
      <c r="I10" s="1543">
        <f>IF(OR(C5="",C11=""),"",SUM(90-C11))</f>
        <v>60</v>
      </c>
      <c r="J10" s="1544" t="str">
        <f>IF(OR(C5="",C10=""),"",SUM(90-C10))</f>
        <v/>
      </c>
      <c r="L10" s="1595" t="s">
        <v>2067</v>
      </c>
      <c r="M10" s="2332">
        <f>M9</f>
        <v>0.83924506147997735</v>
      </c>
      <c r="N10" s="1596" t="s">
        <v>2132</v>
      </c>
    </row>
    <row r="11" spans="2:14" ht="16.5" thickBot="1">
      <c r="B11" s="1508" t="s">
        <v>851</v>
      </c>
      <c r="C11" s="1891">
        <v>30</v>
      </c>
      <c r="D11" s="1910" t="s">
        <v>863</v>
      </c>
      <c r="E11" s="1507"/>
      <c r="F11" s="1499"/>
      <c r="G11" s="1499"/>
      <c r="H11" s="1499"/>
      <c r="I11" s="1509"/>
      <c r="J11" s="1510"/>
      <c r="L11" s="1595" t="s">
        <v>2067</v>
      </c>
      <c r="M11" s="2332">
        <f>M9*1000</f>
        <v>839.24506147997738</v>
      </c>
      <c r="N11" s="1596" t="s">
        <v>2133</v>
      </c>
    </row>
    <row r="12" spans="2:14" ht="15.6" customHeight="1" thickBot="1">
      <c r="B12" s="1506"/>
      <c r="C12" s="1507"/>
      <c r="D12" s="1507"/>
      <c r="E12" s="1507"/>
      <c r="F12" s="1545" t="s">
        <v>852</v>
      </c>
      <c r="G12" s="1546"/>
      <c r="H12" s="1546"/>
      <c r="I12" s="1547"/>
      <c r="J12" s="1548"/>
    </row>
    <row r="13" spans="2:14" ht="12" customHeight="1" thickBot="1">
      <c r="B13" s="1506"/>
      <c r="C13" s="1507"/>
      <c r="D13" s="1507"/>
      <c r="E13" s="1507"/>
      <c r="F13" s="1549" t="s">
        <v>853</v>
      </c>
      <c r="G13" s="1550"/>
      <c r="H13" s="1550"/>
      <c r="I13" s="1551"/>
      <c r="J13" s="1552"/>
      <c r="L13" s="2946" t="s">
        <v>2067</v>
      </c>
      <c r="M13" s="2947"/>
      <c r="N13" s="2948"/>
    </row>
    <row r="14" spans="2:14" ht="15.75" thickBot="1">
      <c r="B14" s="1506"/>
      <c r="C14" s="1507"/>
      <c r="D14" s="1507"/>
      <c r="E14" s="1507"/>
      <c r="F14" s="1896">
        <f>IF(H14="","",+H14)</f>
        <v>6</v>
      </c>
      <c r="G14" s="1897" t="s">
        <v>1759</v>
      </c>
      <c r="H14" s="1898">
        <v>6</v>
      </c>
      <c r="I14" s="1899">
        <f>IF(H14+H15+H16="","",TRUNC(F14))</f>
        <v>6</v>
      </c>
      <c r="J14" s="1900" t="s">
        <v>842</v>
      </c>
      <c r="L14" s="2949"/>
      <c r="M14" s="2950"/>
      <c r="N14" s="2951"/>
    </row>
    <row r="15" spans="2:14" ht="15.75">
      <c r="B15" s="1511" t="s">
        <v>435</v>
      </c>
      <c r="C15" s="1507"/>
      <c r="D15" s="1507"/>
      <c r="E15" s="1507"/>
      <c r="F15" s="1901">
        <f>IF(H15="","",H15/60)</f>
        <v>0.41666666666666669</v>
      </c>
      <c r="G15" s="1512" t="s">
        <v>1761</v>
      </c>
      <c r="H15" s="1898">
        <v>25</v>
      </c>
      <c r="I15" s="1513">
        <f>IF(H14+H15+H16="","",TRUNC((F17-I14)*60))</f>
        <v>25</v>
      </c>
      <c r="J15" s="1514" t="s">
        <v>854</v>
      </c>
      <c r="L15" s="2943" t="s">
        <v>926</v>
      </c>
      <c r="M15" s="2944"/>
      <c r="N15" s="2945"/>
    </row>
    <row r="16" spans="2:14" ht="15.75" thickBot="1">
      <c r="B16" s="1506"/>
      <c r="C16" s="1507"/>
      <c r="D16" s="1507"/>
      <c r="E16" s="1507"/>
      <c r="F16" s="1902">
        <f>IF(H16="","",H16/3600)</f>
        <v>2.7777777777777779E-3</v>
      </c>
      <c r="G16" s="1515" t="s">
        <v>1760</v>
      </c>
      <c r="H16" s="1495">
        <v>10</v>
      </c>
      <c r="I16" s="1496">
        <f>IF(H14+H15+H16="","",((F17-I14)*60-I15)*60)</f>
        <v>10.000000000002629</v>
      </c>
      <c r="J16" s="1516" t="s">
        <v>855</v>
      </c>
      <c r="L16" s="842" t="s">
        <v>2068</v>
      </c>
      <c r="M16" s="768">
        <v>10</v>
      </c>
      <c r="N16" s="565" t="s">
        <v>357</v>
      </c>
    </row>
    <row r="17" spans="1:14" ht="15.75" thickBot="1">
      <c r="B17" s="1506"/>
      <c r="C17" s="1507"/>
      <c r="D17" s="1517" t="s">
        <v>845</v>
      </c>
      <c r="E17" s="1507"/>
      <c r="F17" s="2935">
        <f>IF(H14+H15+H16="","",SUM(F14+F15+F16))</f>
        <v>6.4194444444444452</v>
      </c>
      <c r="G17" s="2936"/>
      <c r="H17" s="2936"/>
      <c r="I17" s="1518" t="s">
        <v>856</v>
      </c>
      <c r="J17" s="1519"/>
      <c r="L17" s="842" t="s">
        <v>1904</v>
      </c>
      <c r="M17" s="768">
        <v>3.5</v>
      </c>
      <c r="N17" s="565" t="s">
        <v>357</v>
      </c>
    </row>
    <row r="18" spans="1:14" ht="15.75" thickBot="1">
      <c r="B18" s="1511" t="s">
        <v>857</v>
      </c>
      <c r="C18" s="1507"/>
      <c r="D18" s="1507"/>
      <c r="E18" s="1507"/>
      <c r="F18" s="1507"/>
      <c r="G18" s="1520" t="s">
        <v>858</v>
      </c>
      <c r="H18" s="1507" t="s">
        <v>859</v>
      </c>
      <c r="I18" s="1507"/>
      <c r="J18" s="1521"/>
      <c r="L18" s="842" t="s">
        <v>1905</v>
      </c>
      <c r="M18" s="768">
        <v>3.5</v>
      </c>
      <c r="N18" s="565" t="s">
        <v>357</v>
      </c>
    </row>
    <row r="19" spans="1:14" ht="16.5" thickBot="1">
      <c r="B19" s="1506"/>
      <c r="C19" s="1507"/>
      <c r="D19" s="1507"/>
      <c r="E19" s="1507"/>
      <c r="F19" s="1507"/>
      <c r="G19" s="1507"/>
      <c r="H19" s="1507" t="s">
        <v>860</v>
      </c>
      <c r="I19" s="1507"/>
      <c r="J19" s="1521"/>
      <c r="L19" s="2331" t="s">
        <v>362</v>
      </c>
      <c r="M19" s="2332">
        <f>M18*M17</f>
        <v>12.25</v>
      </c>
      <c r="N19" s="1596" t="s">
        <v>357</v>
      </c>
    </row>
    <row r="20" spans="1:14" ht="16.5" thickBot="1">
      <c r="B20" s="1506"/>
      <c r="C20" s="1507"/>
      <c r="D20" s="1507"/>
      <c r="E20" s="1507"/>
      <c r="F20" s="1517" t="s">
        <v>861</v>
      </c>
      <c r="G20" s="1507"/>
      <c r="H20" s="1507" t="s">
        <v>862</v>
      </c>
      <c r="I20" s="1507"/>
      <c r="J20" s="1521"/>
      <c r="L20" s="2331" t="s">
        <v>2067</v>
      </c>
      <c r="M20" s="2332">
        <f>M16*M17</f>
        <v>35</v>
      </c>
      <c r="N20" s="1596" t="s">
        <v>972</v>
      </c>
    </row>
    <row r="21" spans="1:14" ht="16.5" thickBot="1">
      <c r="B21" s="1522" t="s">
        <v>434</v>
      </c>
      <c r="C21" s="1523"/>
      <c r="D21" s="1524" t="s">
        <v>844</v>
      </c>
      <c r="E21" s="1524"/>
      <c r="F21" s="1523"/>
      <c r="G21" s="1523"/>
      <c r="H21" s="1523"/>
      <c r="I21" s="1523"/>
      <c r="J21" s="1525"/>
      <c r="L21" s="1595" t="s">
        <v>2067</v>
      </c>
      <c r="M21" s="2332">
        <f>M20</f>
        <v>35</v>
      </c>
      <c r="N21" s="1596" t="s">
        <v>2132</v>
      </c>
    </row>
    <row r="22" spans="1:14" ht="16.5" thickBot="1">
      <c r="L22" s="1595" t="s">
        <v>2067</v>
      </c>
      <c r="M22" s="2332">
        <f>M20*1000</f>
        <v>35000</v>
      </c>
      <c r="N22" s="1596" t="s">
        <v>2133</v>
      </c>
    </row>
    <row r="23" spans="1:14" ht="15.75" thickBot="1"/>
    <row r="24" spans="1:14">
      <c r="A24" s="676"/>
      <c r="B24" s="507"/>
      <c r="C24" s="507"/>
      <c r="D24" s="507"/>
      <c r="E24" s="507"/>
      <c r="F24" s="507"/>
      <c r="G24" s="507"/>
      <c r="H24" s="507"/>
      <c r="I24" s="507"/>
      <c r="J24" s="677"/>
    </row>
    <row r="25" spans="1:14">
      <c r="A25" s="678"/>
      <c r="B25" s="438"/>
      <c r="C25" s="438"/>
      <c r="D25" s="438"/>
      <c r="E25" s="438"/>
      <c r="F25" s="438"/>
      <c r="G25" s="438"/>
      <c r="H25" s="438"/>
      <c r="I25" s="438"/>
      <c r="J25" s="679"/>
    </row>
    <row r="26" spans="1:14">
      <c r="A26" s="678"/>
      <c r="B26" s="438"/>
      <c r="C26" s="438"/>
      <c r="D26" s="438"/>
      <c r="E26" s="438"/>
      <c r="F26" s="438"/>
      <c r="G26" s="438"/>
      <c r="H26" s="438"/>
      <c r="I26" s="438"/>
      <c r="J26" s="679"/>
    </row>
    <row r="27" spans="1:14">
      <c r="A27" s="678"/>
      <c r="B27" s="438"/>
      <c r="C27" s="438"/>
      <c r="D27" s="438"/>
      <c r="E27" s="438"/>
      <c r="F27" s="438"/>
      <c r="G27" s="438"/>
      <c r="H27" s="438"/>
      <c r="I27" s="438"/>
      <c r="J27" s="679"/>
    </row>
    <row r="28" spans="1:14">
      <c r="A28" s="678"/>
      <c r="B28" s="438"/>
      <c r="C28" s="438"/>
      <c r="D28" s="438"/>
      <c r="E28" s="438"/>
      <c r="F28" s="438"/>
      <c r="G28" s="438"/>
      <c r="H28" s="438"/>
      <c r="I28" s="438"/>
      <c r="J28" s="679"/>
    </row>
    <row r="29" spans="1:14">
      <c r="A29" s="678"/>
      <c r="B29" s="438"/>
      <c r="C29" s="438"/>
      <c r="D29" s="438"/>
      <c r="E29" s="438"/>
      <c r="F29" s="438"/>
      <c r="G29" s="438"/>
      <c r="H29" s="438"/>
      <c r="I29" s="438"/>
      <c r="J29" s="679"/>
    </row>
    <row r="30" spans="1:14">
      <c r="A30" s="678"/>
      <c r="B30" s="438"/>
      <c r="C30" s="438"/>
      <c r="D30" s="438"/>
      <c r="E30" s="438"/>
      <c r="F30" s="438"/>
      <c r="G30" s="438"/>
      <c r="H30" s="438"/>
      <c r="I30" s="438"/>
      <c r="J30" s="679"/>
    </row>
    <row r="31" spans="1:14">
      <c r="A31" s="678"/>
      <c r="B31" s="438"/>
      <c r="C31" s="438"/>
      <c r="D31" s="438"/>
      <c r="E31" s="438"/>
      <c r="F31" s="438"/>
      <c r="G31" s="438"/>
      <c r="H31" s="438"/>
      <c r="I31" s="438"/>
      <c r="J31" s="679"/>
    </row>
    <row r="32" spans="1:14">
      <c r="A32" s="678"/>
      <c r="B32" s="438"/>
      <c r="C32" s="438"/>
      <c r="D32" s="438"/>
      <c r="E32" s="438"/>
      <c r="F32" s="438"/>
      <c r="G32" s="438"/>
      <c r="H32" s="438"/>
      <c r="I32" s="438"/>
      <c r="J32" s="679"/>
    </row>
    <row r="33" spans="1:10" ht="15.75" thickBot="1">
      <c r="A33" s="678"/>
      <c r="B33" s="438"/>
      <c r="C33" s="438"/>
      <c r="D33" s="438"/>
      <c r="E33" s="438"/>
      <c r="F33" s="438"/>
      <c r="G33" s="438"/>
      <c r="H33" s="438"/>
      <c r="I33" s="438"/>
      <c r="J33" s="679"/>
    </row>
    <row r="34" spans="1:10" ht="15.75" thickBot="1">
      <c r="A34" s="678"/>
      <c r="B34" s="438"/>
      <c r="C34" s="438"/>
      <c r="D34" s="438"/>
      <c r="E34" s="438"/>
      <c r="F34" s="438"/>
      <c r="G34" s="438"/>
      <c r="H34" s="1526">
        <v>75</v>
      </c>
      <c r="I34" s="1527" t="s">
        <v>357</v>
      </c>
      <c r="J34" s="679"/>
    </row>
    <row r="35" spans="1:10">
      <c r="A35" s="678"/>
      <c r="B35" s="438"/>
      <c r="C35" s="438"/>
      <c r="D35" s="438"/>
      <c r="E35" s="438"/>
      <c r="F35" s="438"/>
      <c r="G35" s="438"/>
      <c r="H35" s="438"/>
      <c r="I35" s="438"/>
      <c r="J35" s="679"/>
    </row>
    <row r="36" spans="1:10">
      <c r="A36" s="678"/>
      <c r="B36" s="438"/>
      <c r="C36" s="438"/>
      <c r="D36" s="438"/>
      <c r="E36" s="438"/>
      <c r="F36" s="438"/>
      <c r="G36" s="438"/>
      <c r="H36" s="438"/>
      <c r="I36" s="438"/>
      <c r="J36" s="679"/>
    </row>
    <row r="37" spans="1:10">
      <c r="A37" s="678"/>
      <c r="B37" s="438"/>
      <c r="C37" s="438"/>
      <c r="D37" s="438"/>
      <c r="E37" s="438"/>
      <c r="F37" s="438"/>
      <c r="G37" s="438"/>
      <c r="H37" s="438"/>
      <c r="I37" s="438"/>
      <c r="J37" s="679"/>
    </row>
    <row r="38" spans="1:10">
      <c r="A38" s="678"/>
      <c r="B38" s="438"/>
      <c r="C38" s="438"/>
      <c r="D38" s="438"/>
      <c r="E38" s="438"/>
      <c r="F38" s="438"/>
      <c r="G38" s="438"/>
      <c r="H38" s="438"/>
      <c r="I38" s="438"/>
      <c r="J38" s="679"/>
    </row>
    <row r="39" spans="1:10">
      <c r="A39" s="678"/>
      <c r="B39" s="438"/>
      <c r="C39" s="438"/>
      <c r="D39" s="438"/>
      <c r="E39" s="438"/>
      <c r="F39" s="438"/>
      <c r="G39" s="438"/>
      <c r="H39" s="438"/>
      <c r="I39" s="438"/>
      <c r="J39" s="679"/>
    </row>
    <row r="40" spans="1:10">
      <c r="A40" s="678"/>
      <c r="B40" s="438"/>
      <c r="C40" s="438"/>
      <c r="D40" s="438"/>
      <c r="E40" s="438"/>
      <c r="F40" s="438"/>
      <c r="G40" s="438"/>
      <c r="H40" s="438"/>
      <c r="I40" s="438"/>
      <c r="J40" s="679"/>
    </row>
    <row r="41" spans="1:10" ht="15.75" thickBot="1">
      <c r="A41" s="678"/>
      <c r="B41" s="438"/>
      <c r="C41" s="438"/>
      <c r="D41" s="438"/>
      <c r="E41" s="438"/>
      <c r="F41" s="438"/>
      <c r="G41" s="438"/>
      <c r="H41" s="438"/>
      <c r="I41" s="438"/>
      <c r="J41" s="679"/>
    </row>
    <row r="42" spans="1:10" ht="15.75" thickBot="1">
      <c r="A42" s="678"/>
      <c r="B42" s="438"/>
      <c r="C42" s="438"/>
      <c r="D42" s="1528">
        <v>30</v>
      </c>
      <c r="E42" s="1903" t="s">
        <v>863</v>
      </c>
      <c r="F42" s="438"/>
      <c r="G42" s="438"/>
      <c r="H42" s="438"/>
      <c r="I42" s="438"/>
      <c r="J42" s="679"/>
    </row>
    <row r="43" spans="1:10" ht="15.75" thickBot="1">
      <c r="A43" s="678"/>
      <c r="B43" s="438"/>
      <c r="C43" s="438"/>
      <c r="D43" s="438"/>
      <c r="E43" s="438"/>
      <c r="F43" s="438"/>
      <c r="G43" s="438"/>
      <c r="H43" s="438"/>
      <c r="I43" s="438"/>
      <c r="J43" s="679"/>
    </row>
    <row r="44" spans="1:10" ht="15.75" thickBot="1">
      <c r="A44" s="678"/>
      <c r="B44" s="438"/>
      <c r="C44" s="561" t="s">
        <v>864</v>
      </c>
      <c r="D44" s="1497">
        <f>H34/(D45)</f>
        <v>150.00000000000003</v>
      </c>
      <c r="E44" s="1498" t="s">
        <v>357</v>
      </c>
      <c r="F44" s="438"/>
      <c r="G44" s="438"/>
      <c r="H44" s="438"/>
      <c r="I44" s="438"/>
      <c r="J44" s="679"/>
    </row>
    <row r="45" spans="1:10" ht="15.75" thickBot="1">
      <c r="A45" s="681"/>
      <c r="B45" s="448"/>
      <c r="C45" s="448"/>
      <c r="D45" s="682">
        <f>SIN(D42*PI()/180)</f>
        <v>0.49999999999999994</v>
      </c>
      <c r="E45" s="448"/>
      <c r="F45" s="448"/>
      <c r="G45" s="448"/>
      <c r="H45" s="448"/>
      <c r="I45" s="448"/>
      <c r="J45" s="683"/>
    </row>
  </sheetData>
  <sheetProtection formatCells="0" formatColumns="0" formatRows="0" insertColumns="0" insertRows="0" insertHyperlinks="0" sort="0" autoFilter="0"/>
  <mergeCells count="8">
    <mergeCell ref="F17:H17"/>
    <mergeCell ref="I3:J3"/>
    <mergeCell ref="F3:H3"/>
    <mergeCell ref="L1:N1"/>
    <mergeCell ref="L4:N4"/>
    <mergeCell ref="L5:N5"/>
    <mergeCell ref="L15:N15"/>
    <mergeCell ref="L13:N14"/>
  </mergeCells>
  <hyperlinks>
    <hyperlink ref="L1" location="INDEX!A1" display="INDEX!A1"/>
  </hyperlinks>
  <printOptions horizontalCentered="1" verticalCentered="1" gridLines="1" gridLinesSet="0"/>
  <pageMargins left="0.5" right="0.5" top="0.5" bottom="0.5" header="0.5" footer="0.5"/>
  <pageSetup orientation="landscape" blackAndWhite="1" horizontalDpi="180" verticalDpi="180" r:id="rId1"/>
  <headerFooter alignWithMargins="0"/>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9900"/>
  </sheetPr>
  <dimension ref="A1:S96"/>
  <sheetViews>
    <sheetView zoomScale="70" zoomScaleNormal="70" workbookViewId="0">
      <selection activeCell="K1" sqref="K1:M1"/>
    </sheetView>
  </sheetViews>
  <sheetFormatPr defaultRowHeight="12.75"/>
  <cols>
    <col min="1" max="1" width="9.140625" style="435"/>
    <col min="2" max="2" width="24.42578125" style="435" customWidth="1"/>
    <col min="3" max="3" width="27.7109375" style="435" customWidth="1"/>
    <col min="4" max="4" width="6.7109375" style="435" customWidth="1"/>
    <col min="5" max="5" width="9.140625" style="435"/>
    <col min="6" max="6" width="12" style="435" bestFit="1" customWidth="1"/>
    <col min="7" max="8" width="9.140625" style="435"/>
    <col min="9" max="9" width="18.42578125" style="435" customWidth="1"/>
    <col min="10" max="10" width="14.5703125" style="435" customWidth="1"/>
    <col min="11" max="11" width="4.7109375" style="435" customWidth="1"/>
    <col min="12" max="258" width="9.140625" style="435"/>
    <col min="259" max="259" width="24.42578125" style="435" customWidth="1"/>
    <col min="260" max="260" width="15.140625" style="435" bestFit="1" customWidth="1"/>
    <col min="261" max="265" width="9.140625" style="435"/>
    <col min="266" max="266" width="15.7109375" style="435" customWidth="1"/>
    <col min="267" max="267" width="17" style="435" bestFit="1" customWidth="1"/>
    <col min="268" max="514" width="9.140625" style="435"/>
    <col min="515" max="515" width="24.42578125" style="435" customWidth="1"/>
    <col min="516" max="516" width="15.140625" style="435" bestFit="1" customWidth="1"/>
    <col min="517" max="521" width="9.140625" style="435"/>
    <col min="522" max="522" width="15.7109375" style="435" customWidth="1"/>
    <col min="523" max="523" width="17" style="435" bestFit="1" customWidth="1"/>
    <col min="524" max="770" width="9.140625" style="435"/>
    <col min="771" max="771" width="24.42578125" style="435" customWidth="1"/>
    <col min="772" max="772" width="15.140625" style="435" bestFit="1" customWidth="1"/>
    <col min="773" max="777" width="9.140625" style="435"/>
    <col min="778" max="778" width="15.7109375" style="435" customWidth="1"/>
    <col min="779" max="779" width="17" style="435" bestFit="1" customWidth="1"/>
    <col min="780" max="1026" width="9.140625" style="435"/>
    <col min="1027" max="1027" width="24.42578125" style="435" customWidth="1"/>
    <col min="1028" max="1028" width="15.140625" style="435" bestFit="1" customWidth="1"/>
    <col min="1029" max="1033" width="9.140625" style="435"/>
    <col min="1034" max="1034" width="15.7109375" style="435" customWidth="1"/>
    <col min="1035" max="1035" width="17" style="435" bestFit="1" customWidth="1"/>
    <col min="1036" max="1282" width="9.140625" style="435"/>
    <col min="1283" max="1283" width="24.42578125" style="435" customWidth="1"/>
    <col min="1284" max="1284" width="15.140625" style="435" bestFit="1" customWidth="1"/>
    <col min="1285" max="1289" width="9.140625" style="435"/>
    <col min="1290" max="1290" width="15.7109375" style="435" customWidth="1"/>
    <col min="1291" max="1291" width="17" style="435" bestFit="1" customWidth="1"/>
    <col min="1292" max="1538" width="9.140625" style="435"/>
    <col min="1539" max="1539" width="24.42578125" style="435" customWidth="1"/>
    <col min="1540" max="1540" width="15.140625" style="435" bestFit="1" customWidth="1"/>
    <col min="1541" max="1545" width="9.140625" style="435"/>
    <col min="1546" max="1546" width="15.7109375" style="435" customWidth="1"/>
    <col min="1547" max="1547" width="17" style="435" bestFit="1" customWidth="1"/>
    <col min="1548" max="1794" width="9.140625" style="435"/>
    <col min="1795" max="1795" width="24.42578125" style="435" customWidth="1"/>
    <col min="1796" max="1796" width="15.140625" style="435" bestFit="1" customWidth="1"/>
    <col min="1797" max="1801" width="9.140625" style="435"/>
    <col min="1802" max="1802" width="15.7109375" style="435" customWidth="1"/>
    <col min="1803" max="1803" width="17" style="435" bestFit="1" customWidth="1"/>
    <col min="1804" max="2050" width="9.140625" style="435"/>
    <col min="2051" max="2051" width="24.42578125" style="435" customWidth="1"/>
    <col min="2052" max="2052" width="15.140625" style="435" bestFit="1" customWidth="1"/>
    <col min="2053" max="2057" width="9.140625" style="435"/>
    <col min="2058" max="2058" width="15.7109375" style="435" customWidth="1"/>
    <col min="2059" max="2059" width="17" style="435" bestFit="1" customWidth="1"/>
    <col min="2060" max="2306" width="9.140625" style="435"/>
    <col min="2307" max="2307" width="24.42578125" style="435" customWidth="1"/>
    <col min="2308" max="2308" width="15.140625" style="435" bestFit="1" customWidth="1"/>
    <col min="2309" max="2313" width="9.140625" style="435"/>
    <col min="2314" max="2314" width="15.7109375" style="435" customWidth="1"/>
    <col min="2315" max="2315" width="17" style="435" bestFit="1" customWidth="1"/>
    <col min="2316" max="2562" width="9.140625" style="435"/>
    <col min="2563" max="2563" width="24.42578125" style="435" customWidth="1"/>
    <col min="2564" max="2564" width="15.140625" style="435" bestFit="1" customWidth="1"/>
    <col min="2565" max="2569" width="9.140625" style="435"/>
    <col min="2570" max="2570" width="15.7109375" style="435" customWidth="1"/>
    <col min="2571" max="2571" width="17" style="435" bestFit="1" customWidth="1"/>
    <col min="2572" max="2818" width="9.140625" style="435"/>
    <col min="2819" max="2819" width="24.42578125" style="435" customWidth="1"/>
    <col min="2820" max="2820" width="15.140625" style="435" bestFit="1" customWidth="1"/>
    <col min="2821" max="2825" width="9.140625" style="435"/>
    <col min="2826" max="2826" width="15.7109375" style="435" customWidth="1"/>
    <col min="2827" max="2827" width="17" style="435" bestFit="1" customWidth="1"/>
    <col min="2828" max="3074" width="9.140625" style="435"/>
    <col min="3075" max="3075" width="24.42578125" style="435" customWidth="1"/>
    <col min="3076" max="3076" width="15.140625" style="435" bestFit="1" customWidth="1"/>
    <col min="3077" max="3081" width="9.140625" style="435"/>
    <col min="3082" max="3082" width="15.7109375" style="435" customWidth="1"/>
    <col min="3083" max="3083" width="17" style="435" bestFit="1" customWidth="1"/>
    <col min="3084" max="3330" width="9.140625" style="435"/>
    <col min="3331" max="3331" width="24.42578125" style="435" customWidth="1"/>
    <col min="3332" max="3332" width="15.140625" style="435" bestFit="1" customWidth="1"/>
    <col min="3333" max="3337" width="9.140625" style="435"/>
    <col min="3338" max="3338" width="15.7109375" style="435" customWidth="1"/>
    <col min="3339" max="3339" width="17" style="435" bestFit="1" customWidth="1"/>
    <col min="3340" max="3586" width="9.140625" style="435"/>
    <col min="3587" max="3587" width="24.42578125" style="435" customWidth="1"/>
    <col min="3588" max="3588" width="15.140625" style="435" bestFit="1" customWidth="1"/>
    <col min="3589" max="3593" width="9.140625" style="435"/>
    <col min="3594" max="3594" width="15.7109375" style="435" customWidth="1"/>
    <col min="3595" max="3595" width="17" style="435" bestFit="1" customWidth="1"/>
    <col min="3596" max="3842" width="9.140625" style="435"/>
    <col min="3843" max="3843" width="24.42578125" style="435" customWidth="1"/>
    <col min="3844" max="3844" width="15.140625" style="435" bestFit="1" customWidth="1"/>
    <col min="3845" max="3849" width="9.140625" style="435"/>
    <col min="3850" max="3850" width="15.7109375" style="435" customWidth="1"/>
    <col min="3851" max="3851" width="17" style="435" bestFit="1" customWidth="1"/>
    <col min="3852" max="4098" width="9.140625" style="435"/>
    <col min="4099" max="4099" width="24.42578125" style="435" customWidth="1"/>
    <col min="4100" max="4100" width="15.140625" style="435" bestFit="1" customWidth="1"/>
    <col min="4101" max="4105" width="9.140625" style="435"/>
    <col min="4106" max="4106" width="15.7109375" style="435" customWidth="1"/>
    <col min="4107" max="4107" width="17" style="435" bestFit="1" customWidth="1"/>
    <col min="4108" max="4354" width="9.140625" style="435"/>
    <col min="4355" max="4355" width="24.42578125" style="435" customWidth="1"/>
    <col min="4356" max="4356" width="15.140625" style="435" bestFit="1" customWidth="1"/>
    <col min="4357" max="4361" width="9.140625" style="435"/>
    <col min="4362" max="4362" width="15.7109375" style="435" customWidth="1"/>
    <col min="4363" max="4363" width="17" style="435" bestFit="1" customWidth="1"/>
    <col min="4364" max="4610" width="9.140625" style="435"/>
    <col min="4611" max="4611" width="24.42578125" style="435" customWidth="1"/>
    <col min="4612" max="4612" width="15.140625" style="435" bestFit="1" customWidth="1"/>
    <col min="4613" max="4617" width="9.140625" style="435"/>
    <col min="4618" max="4618" width="15.7109375" style="435" customWidth="1"/>
    <col min="4619" max="4619" width="17" style="435" bestFit="1" customWidth="1"/>
    <col min="4620" max="4866" width="9.140625" style="435"/>
    <col min="4867" max="4867" width="24.42578125" style="435" customWidth="1"/>
    <col min="4868" max="4868" width="15.140625" style="435" bestFit="1" customWidth="1"/>
    <col min="4869" max="4873" width="9.140625" style="435"/>
    <col min="4874" max="4874" width="15.7109375" style="435" customWidth="1"/>
    <col min="4875" max="4875" width="17" style="435" bestFit="1" customWidth="1"/>
    <col min="4876" max="5122" width="9.140625" style="435"/>
    <col min="5123" max="5123" width="24.42578125" style="435" customWidth="1"/>
    <col min="5124" max="5124" width="15.140625" style="435" bestFit="1" customWidth="1"/>
    <col min="5125" max="5129" width="9.140625" style="435"/>
    <col min="5130" max="5130" width="15.7109375" style="435" customWidth="1"/>
    <col min="5131" max="5131" width="17" style="435" bestFit="1" customWidth="1"/>
    <col min="5132" max="5378" width="9.140625" style="435"/>
    <col min="5379" max="5379" width="24.42578125" style="435" customWidth="1"/>
    <col min="5380" max="5380" width="15.140625" style="435" bestFit="1" customWidth="1"/>
    <col min="5381" max="5385" width="9.140625" style="435"/>
    <col min="5386" max="5386" width="15.7109375" style="435" customWidth="1"/>
    <col min="5387" max="5387" width="17" style="435" bestFit="1" customWidth="1"/>
    <col min="5388" max="5634" width="9.140625" style="435"/>
    <col min="5635" max="5635" width="24.42578125" style="435" customWidth="1"/>
    <col min="5636" max="5636" width="15.140625" style="435" bestFit="1" customWidth="1"/>
    <col min="5637" max="5641" width="9.140625" style="435"/>
    <col min="5642" max="5642" width="15.7109375" style="435" customWidth="1"/>
    <col min="5643" max="5643" width="17" style="435" bestFit="1" customWidth="1"/>
    <col min="5644" max="5890" width="9.140625" style="435"/>
    <col min="5891" max="5891" width="24.42578125" style="435" customWidth="1"/>
    <col min="5892" max="5892" width="15.140625" style="435" bestFit="1" customWidth="1"/>
    <col min="5893" max="5897" width="9.140625" style="435"/>
    <col min="5898" max="5898" width="15.7109375" style="435" customWidth="1"/>
    <col min="5899" max="5899" width="17" style="435" bestFit="1" customWidth="1"/>
    <col min="5900" max="6146" width="9.140625" style="435"/>
    <col min="6147" max="6147" width="24.42578125" style="435" customWidth="1"/>
    <col min="6148" max="6148" width="15.140625" style="435" bestFit="1" customWidth="1"/>
    <col min="6149" max="6153" width="9.140625" style="435"/>
    <col min="6154" max="6154" width="15.7109375" style="435" customWidth="1"/>
    <col min="6155" max="6155" width="17" style="435" bestFit="1" customWidth="1"/>
    <col min="6156" max="6402" width="9.140625" style="435"/>
    <col min="6403" max="6403" width="24.42578125" style="435" customWidth="1"/>
    <col min="6404" max="6404" width="15.140625" style="435" bestFit="1" customWidth="1"/>
    <col min="6405" max="6409" width="9.140625" style="435"/>
    <col min="6410" max="6410" width="15.7109375" style="435" customWidth="1"/>
    <col min="6411" max="6411" width="17" style="435" bestFit="1" customWidth="1"/>
    <col min="6412" max="6658" width="9.140625" style="435"/>
    <col min="6659" max="6659" width="24.42578125" style="435" customWidth="1"/>
    <col min="6660" max="6660" width="15.140625" style="435" bestFit="1" customWidth="1"/>
    <col min="6661" max="6665" width="9.140625" style="435"/>
    <col min="6666" max="6666" width="15.7109375" style="435" customWidth="1"/>
    <col min="6667" max="6667" width="17" style="435" bestFit="1" customWidth="1"/>
    <col min="6668" max="6914" width="9.140625" style="435"/>
    <col min="6915" max="6915" width="24.42578125" style="435" customWidth="1"/>
    <col min="6916" max="6916" width="15.140625" style="435" bestFit="1" customWidth="1"/>
    <col min="6917" max="6921" width="9.140625" style="435"/>
    <col min="6922" max="6922" width="15.7109375" style="435" customWidth="1"/>
    <col min="6923" max="6923" width="17" style="435" bestFit="1" customWidth="1"/>
    <col min="6924" max="7170" width="9.140625" style="435"/>
    <col min="7171" max="7171" width="24.42578125" style="435" customWidth="1"/>
    <col min="7172" max="7172" width="15.140625" style="435" bestFit="1" customWidth="1"/>
    <col min="7173" max="7177" width="9.140625" style="435"/>
    <col min="7178" max="7178" width="15.7109375" style="435" customWidth="1"/>
    <col min="7179" max="7179" width="17" style="435" bestFit="1" customWidth="1"/>
    <col min="7180" max="7426" width="9.140625" style="435"/>
    <col min="7427" max="7427" width="24.42578125" style="435" customWidth="1"/>
    <col min="7428" max="7428" width="15.140625" style="435" bestFit="1" customWidth="1"/>
    <col min="7429" max="7433" width="9.140625" style="435"/>
    <col min="7434" max="7434" width="15.7109375" style="435" customWidth="1"/>
    <col min="7435" max="7435" width="17" style="435" bestFit="1" customWidth="1"/>
    <col min="7436" max="7682" width="9.140625" style="435"/>
    <col min="7683" max="7683" width="24.42578125" style="435" customWidth="1"/>
    <col min="7684" max="7684" width="15.140625" style="435" bestFit="1" customWidth="1"/>
    <col min="7685" max="7689" width="9.140625" style="435"/>
    <col min="7690" max="7690" width="15.7109375" style="435" customWidth="1"/>
    <col min="7691" max="7691" width="17" style="435" bestFit="1" customWidth="1"/>
    <col min="7692" max="7938" width="9.140625" style="435"/>
    <col min="7939" max="7939" width="24.42578125" style="435" customWidth="1"/>
    <col min="7940" max="7940" width="15.140625" style="435" bestFit="1" customWidth="1"/>
    <col min="7941" max="7945" width="9.140625" style="435"/>
    <col min="7946" max="7946" width="15.7109375" style="435" customWidth="1"/>
    <col min="7947" max="7947" width="17" style="435" bestFit="1" customWidth="1"/>
    <col min="7948" max="8194" width="9.140625" style="435"/>
    <col min="8195" max="8195" width="24.42578125" style="435" customWidth="1"/>
    <col min="8196" max="8196" width="15.140625" style="435" bestFit="1" customWidth="1"/>
    <col min="8197" max="8201" width="9.140625" style="435"/>
    <col min="8202" max="8202" width="15.7109375" style="435" customWidth="1"/>
    <col min="8203" max="8203" width="17" style="435" bestFit="1" customWidth="1"/>
    <col min="8204" max="8450" width="9.140625" style="435"/>
    <col min="8451" max="8451" width="24.42578125" style="435" customWidth="1"/>
    <col min="8452" max="8452" width="15.140625" style="435" bestFit="1" customWidth="1"/>
    <col min="8453" max="8457" width="9.140625" style="435"/>
    <col min="8458" max="8458" width="15.7109375" style="435" customWidth="1"/>
    <col min="8459" max="8459" width="17" style="435" bestFit="1" customWidth="1"/>
    <col min="8460" max="8706" width="9.140625" style="435"/>
    <col min="8707" max="8707" width="24.42578125" style="435" customWidth="1"/>
    <col min="8708" max="8708" width="15.140625" style="435" bestFit="1" customWidth="1"/>
    <col min="8709" max="8713" width="9.140625" style="435"/>
    <col min="8714" max="8714" width="15.7109375" style="435" customWidth="1"/>
    <col min="8715" max="8715" width="17" style="435" bestFit="1" customWidth="1"/>
    <col min="8716" max="8962" width="9.140625" style="435"/>
    <col min="8963" max="8963" width="24.42578125" style="435" customWidth="1"/>
    <col min="8964" max="8964" width="15.140625" style="435" bestFit="1" customWidth="1"/>
    <col min="8965" max="8969" width="9.140625" style="435"/>
    <col min="8970" max="8970" width="15.7109375" style="435" customWidth="1"/>
    <col min="8971" max="8971" width="17" style="435" bestFit="1" customWidth="1"/>
    <col min="8972" max="9218" width="9.140625" style="435"/>
    <col min="9219" max="9219" width="24.42578125" style="435" customWidth="1"/>
    <col min="9220" max="9220" width="15.140625" style="435" bestFit="1" customWidth="1"/>
    <col min="9221" max="9225" width="9.140625" style="435"/>
    <col min="9226" max="9226" width="15.7109375" style="435" customWidth="1"/>
    <col min="9227" max="9227" width="17" style="435" bestFit="1" customWidth="1"/>
    <col min="9228" max="9474" width="9.140625" style="435"/>
    <col min="9475" max="9475" width="24.42578125" style="435" customWidth="1"/>
    <col min="9476" max="9476" width="15.140625" style="435" bestFit="1" customWidth="1"/>
    <col min="9477" max="9481" width="9.140625" style="435"/>
    <col min="9482" max="9482" width="15.7109375" style="435" customWidth="1"/>
    <col min="9483" max="9483" width="17" style="435" bestFit="1" customWidth="1"/>
    <col min="9484" max="9730" width="9.140625" style="435"/>
    <col min="9731" max="9731" width="24.42578125" style="435" customWidth="1"/>
    <col min="9732" max="9732" width="15.140625" style="435" bestFit="1" customWidth="1"/>
    <col min="9733" max="9737" width="9.140625" style="435"/>
    <col min="9738" max="9738" width="15.7109375" style="435" customWidth="1"/>
    <col min="9739" max="9739" width="17" style="435" bestFit="1" customWidth="1"/>
    <col min="9740" max="9986" width="9.140625" style="435"/>
    <col min="9987" max="9987" width="24.42578125" style="435" customWidth="1"/>
    <col min="9988" max="9988" width="15.140625" style="435" bestFit="1" customWidth="1"/>
    <col min="9989" max="9993" width="9.140625" style="435"/>
    <col min="9994" max="9994" width="15.7109375" style="435" customWidth="1"/>
    <col min="9995" max="9995" width="17" style="435" bestFit="1" customWidth="1"/>
    <col min="9996" max="10242" width="9.140625" style="435"/>
    <col min="10243" max="10243" width="24.42578125" style="435" customWidth="1"/>
    <col min="10244" max="10244" width="15.140625" style="435" bestFit="1" customWidth="1"/>
    <col min="10245" max="10249" width="9.140625" style="435"/>
    <col min="10250" max="10250" width="15.7109375" style="435" customWidth="1"/>
    <col min="10251" max="10251" width="17" style="435" bestFit="1" customWidth="1"/>
    <col min="10252" max="10498" width="9.140625" style="435"/>
    <col min="10499" max="10499" width="24.42578125" style="435" customWidth="1"/>
    <col min="10500" max="10500" width="15.140625" style="435" bestFit="1" customWidth="1"/>
    <col min="10501" max="10505" width="9.140625" style="435"/>
    <col min="10506" max="10506" width="15.7109375" style="435" customWidth="1"/>
    <col min="10507" max="10507" width="17" style="435" bestFit="1" customWidth="1"/>
    <col min="10508" max="10754" width="9.140625" style="435"/>
    <col min="10755" max="10755" width="24.42578125" style="435" customWidth="1"/>
    <col min="10756" max="10756" width="15.140625" style="435" bestFit="1" customWidth="1"/>
    <col min="10757" max="10761" width="9.140625" style="435"/>
    <col min="10762" max="10762" width="15.7109375" style="435" customWidth="1"/>
    <col min="10763" max="10763" width="17" style="435" bestFit="1" customWidth="1"/>
    <col min="10764" max="11010" width="9.140625" style="435"/>
    <col min="11011" max="11011" width="24.42578125" style="435" customWidth="1"/>
    <col min="11012" max="11012" width="15.140625" style="435" bestFit="1" customWidth="1"/>
    <col min="11013" max="11017" width="9.140625" style="435"/>
    <col min="11018" max="11018" width="15.7109375" style="435" customWidth="1"/>
    <col min="11019" max="11019" width="17" style="435" bestFit="1" customWidth="1"/>
    <col min="11020" max="11266" width="9.140625" style="435"/>
    <col min="11267" max="11267" width="24.42578125" style="435" customWidth="1"/>
    <col min="11268" max="11268" width="15.140625" style="435" bestFit="1" customWidth="1"/>
    <col min="11269" max="11273" width="9.140625" style="435"/>
    <col min="11274" max="11274" width="15.7109375" style="435" customWidth="1"/>
    <col min="11275" max="11275" width="17" style="435" bestFit="1" customWidth="1"/>
    <col min="11276" max="11522" width="9.140625" style="435"/>
    <col min="11523" max="11523" width="24.42578125" style="435" customWidth="1"/>
    <col min="11524" max="11524" width="15.140625" style="435" bestFit="1" customWidth="1"/>
    <col min="11525" max="11529" width="9.140625" style="435"/>
    <col min="11530" max="11530" width="15.7109375" style="435" customWidth="1"/>
    <col min="11531" max="11531" width="17" style="435" bestFit="1" customWidth="1"/>
    <col min="11532" max="11778" width="9.140625" style="435"/>
    <col min="11779" max="11779" width="24.42578125" style="435" customWidth="1"/>
    <col min="11780" max="11780" width="15.140625" style="435" bestFit="1" customWidth="1"/>
    <col min="11781" max="11785" width="9.140625" style="435"/>
    <col min="11786" max="11786" width="15.7109375" style="435" customWidth="1"/>
    <col min="11787" max="11787" width="17" style="435" bestFit="1" customWidth="1"/>
    <col min="11788" max="12034" width="9.140625" style="435"/>
    <col min="12035" max="12035" width="24.42578125" style="435" customWidth="1"/>
    <col min="12036" max="12036" width="15.140625" style="435" bestFit="1" customWidth="1"/>
    <col min="12037" max="12041" width="9.140625" style="435"/>
    <col min="12042" max="12042" width="15.7109375" style="435" customWidth="1"/>
    <col min="12043" max="12043" width="17" style="435" bestFit="1" customWidth="1"/>
    <col min="12044" max="12290" width="9.140625" style="435"/>
    <col min="12291" max="12291" width="24.42578125" style="435" customWidth="1"/>
    <col min="12292" max="12292" width="15.140625" style="435" bestFit="1" customWidth="1"/>
    <col min="12293" max="12297" width="9.140625" style="435"/>
    <col min="12298" max="12298" width="15.7109375" style="435" customWidth="1"/>
    <col min="12299" max="12299" width="17" style="435" bestFit="1" customWidth="1"/>
    <col min="12300" max="12546" width="9.140625" style="435"/>
    <col min="12547" max="12547" width="24.42578125" style="435" customWidth="1"/>
    <col min="12548" max="12548" width="15.140625" style="435" bestFit="1" customWidth="1"/>
    <col min="12549" max="12553" width="9.140625" style="435"/>
    <col min="12554" max="12554" width="15.7109375" style="435" customWidth="1"/>
    <col min="12555" max="12555" width="17" style="435" bestFit="1" customWidth="1"/>
    <col min="12556" max="12802" width="9.140625" style="435"/>
    <col min="12803" max="12803" width="24.42578125" style="435" customWidth="1"/>
    <col min="12804" max="12804" width="15.140625" style="435" bestFit="1" customWidth="1"/>
    <col min="12805" max="12809" width="9.140625" style="435"/>
    <col min="12810" max="12810" width="15.7109375" style="435" customWidth="1"/>
    <col min="12811" max="12811" width="17" style="435" bestFit="1" customWidth="1"/>
    <col min="12812" max="13058" width="9.140625" style="435"/>
    <col min="13059" max="13059" width="24.42578125" style="435" customWidth="1"/>
    <col min="13060" max="13060" width="15.140625" style="435" bestFit="1" customWidth="1"/>
    <col min="13061" max="13065" width="9.140625" style="435"/>
    <col min="13066" max="13066" width="15.7109375" style="435" customWidth="1"/>
    <col min="13067" max="13067" width="17" style="435" bestFit="1" customWidth="1"/>
    <col min="13068" max="13314" width="9.140625" style="435"/>
    <col min="13315" max="13315" width="24.42578125" style="435" customWidth="1"/>
    <col min="13316" max="13316" width="15.140625" style="435" bestFit="1" customWidth="1"/>
    <col min="13317" max="13321" width="9.140625" style="435"/>
    <col min="13322" max="13322" width="15.7109375" style="435" customWidth="1"/>
    <col min="13323" max="13323" width="17" style="435" bestFit="1" customWidth="1"/>
    <col min="13324" max="13570" width="9.140625" style="435"/>
    <col min="13571" max="13571" width="24.42578125" style="435" customWidth="1"/>
    <col min="13572" max="13572" width="15.140625" style="435" bestFit="1" customWidth="1"/>
    <col min="13573" max="13577" width="9.140625" style="435"/>
    <col min="13578" max="13578" width="15.7109375" style="435" customWidth="1"/>
    <col min="13579" max="13579" width="17" style="435" bestFit="1" customWidth="1"/>
    <col min="13580" max="13826" width="9.140625" style="435"/>
    <col min="13827" max="13827" width="24.42578125" style="435" customWidth="1"/>
    <col min="13828" max="13828" width="15.140625" style="435" bestFit="1" customWidth="1"/>
    <col min="13829" max="13833" width="9.140625" style="435"/>
    <col min="13834" max="13834" width="15.7109375" style="435" customWidth="1"/>
    <col min="13835" max="13835" width="17" style="435" bestFit="1" customWidth="1"/>
    <col min="13836" max="14082" width="9.140625" style="435"/>
    <col min="14083" max="14083" width="24.42578125" style="435" customWidth="1"/>
    <col min="14084" max="14084" width="15.140625" style="435" bestFit="1" customWidth="1"/>
    <col min="14085" max="14089" width="9.140625" style="435"/>
    <col min="14090" max="14090" width="15.7109375" style="435" customWidth="1"/>
    <col min="14091" max="14091" width="17" style="435" bestFit="1" customWidth="1"/>
    <col min="14092" max="14338" width="9.140625" style="435"/>
    <col min="14339" max="14339" width="24.42578125" style="435" customWidth="1"/>
    <col min="14340" max="14340" width="15.140625" style="435" bestFit="1" customWidth="1"/>
    <col min="14341" max="14345" width="9.140625" style="435"/>
    <col min="14346" max="14346" width="15.7109375" style="435" customWidth="1"/>
    <col min="14347" max="14347" width="17" style="435" bestFit="1" customWidth="1"/>
    <col min="14348" max="14594" width="9.140625" style="435"/>
    <col min="14595" max="14595" width="24.42578125" style="435" customWidth="1"/>
    <col min="14596" max="14596" width="15.140625" style="435" bestFit="1" customWidth="1"/>
    <col min="14597" max="14601" width="9.140625" style="435"/>
    <col min="14602" max="14602" width="15.7109375" style="435" customWidth="1"/>
    <col min="14603" max="14603" width="17" style="435" bestFit="1" customWidth="1"/>
    <col min="14604" max="14850" width="9.140625" style="435"/>
    <col min="14851" max="14851" width="24.42578125" style="435" customWidth="1"/>
    <col min="14852" max="14852" width="15.140625" style="435" bestFit="1" customWidth="1"/>
    <col min="14853" max="14857" width="9.140625" style="435"/>
    <col min="14858" max="14858" width="15.7109375" style="435" customWidth="1"/>
    <col min="14859" max="14859" width="17" style="435" bestFit="1" customWidth="1"/>
    <col min="14860" max="15106" width="9.140625" style="435"/>
    <col min="15107" max="15107" width="24.42578125" style="435" customWidth="1"/>
    <col min="15108" max="15108" width="15.140625" style="435" bestFit="1" customWidth="1"/>
    <col min="15109" max="15113" width="9.140625" style="435"/>
    <col min="15114" max="15114" width="15.7109375" style="435" customWidth="1"/>
    <col min="15115" max="15115" width="17" style="435" bestFit="1" customWidth="1"/>
    <col min="15116" max="15362" width="9.140625" style="435"/>
    <col min="15363" max="15363" width="24.42578125" style="435" customWidth="1"/>
    <col min="15364" max="15364" width="15.140625" style="435" bestFit="1" customWidth="1"/>
    <col min="15365" max="15369" width="9.140625" style="435"/>
    <col min="15370" max="15370" width="15.7109375" style="435" customWidth="1"/>
    <col min="15371" max="15371" width="17" style="435" bestFit="1" customWidth="1"/>
    <col min="15372" max="15618" width="9.140625" style="435"/>
    <col min="15619" max="15619" width="24.42578125" style="435" customWidth="1"/>
    <col min="15620" max="15620" width="15.140625" style="435" bestFit="1" customWidth="1"/>
    <col min="15621" max="15625" width="9.140625" style="435"/>
    <col min="15626" max="15626" width="15.7109375" style="435" customWidth="1"/>
    <col min="15627" max="15627" width="17" style="435" bestFit="1" customWidth="1"/>
    <col min="15628" max="15874" width="9.140625" style="435"/>
    <col min="15875" max="15875" width="24.42578125" style="435" customWidth="1"/>
    <col min="15876" max="15876" width="15.140625" style="435" bestFit="1" customWidth="1"/>
    <col min="15877" max="15881" width="9.140625" style="435"/>
    <col min="15882" max="15882" width="15.7109375" style="435" customWidth="1"/>
    <col min="15883" max="15883" width="17" style="435" bestFit="1" customWidth="1"/>
    <col min="15884" max="16130" width="9.140625" style="435"/>
    <col min="16131" max="16131" width="24.42578125" style="435" customWidth="1"/>
    <col min="16132" max="16132" width="15.140625" style="435" bestFit="1" customWidth="1"/>
    <col min="16133" max="16137" width="9.140625" style="435"/>
    <col min="16138" max="16138" width="15.7109375" style="435" customWidth="1"/>
    <col min="16139" max="16139" width="17" style="435" bestFit="1" customWidth="1"/>
    <col min="16140" max="16384" width="9.140625" style="435"/>
  </cols>
  <sheetData>
    <row r="1" spans="1:13" ht="24" thickBot="1">
      <c r="A1" s="684" t="s">
        <v>865</v>
      </c>
      <c r="B1" s="685" t="s">
        <v>866</v>
      </c>
      <c r="C1" s="507"/>
      <c r="D1" s="507"/>
      <c r="E1" s="507"/>
      <c r="F1" s="507"/>
      <c r="G1" s="507"/>
      <c r="H1" s="507"/>
      <c r="I1" s="509"/>
      <c r="K1" s="2777" t="s">
        <v>1749</v>
      </c>
      <c r="L1" s="2778"/>
      <c r="M1" s="2779"/>
    </row>
    <row r="2" spans="1:13">
      <c r="A2" s="489"/>
      <c r="B2" s="438"/>
      <c r="C2" s="438"/>
      <c r="D2" s="438"/>
      <c r="E2" s="438"/>
      <c r="F2" s="438"/>
      <c r="G2" s="438"/>
      <c r="H2" s="438"/>
      <c r="I2" s="439"/>
    </row>
    <row r="3" spans="1:13" ht="14.25">
      <c r="A3" s="686"/>
      <c r="B3" s="645" t="s">
        <v>784</v>
      </c>
      <c r="C3" s="438"/>
      <c r="D3" s="438"/>
      <c r="E3" s="438"/>
      <c r="F3" s="438"/>
      <c r="G3" s="438"/>
      <c r="H3" s="438"/>
      <c r="I3" s="439"/>
    </row>
    <row r="4" spans="1:13">
      <c r="A4" s="489"/>
      <c r="B4" s="438"/>
      <c r="C4" s="438"/>
      <c r="D4" s="438"/>
      <c r="E4" s="438"/>
      <c r="F4" s="438"/>
      <c r="G4" s="438"/>
      <c r="H4" s="438"/>
      <c r="I4" s="439"/>
    </row>
    <row r="5" spans="1:13">
      <c r="A5" s="489"/>
      <c r="B5" s="438"/>
      <c r="C5" s="438"/>
      <c r="D5" s="438"/>
      <c r="E5" s="438"/>
      <c r="F5" s="438"/>
      <c r="G5" s="438"/>
      <c r="H5" s="438"/>
      <c r="I5" s="439"/>
    </row>
    <row r="6" spans="1:13">
      <c r="A6" s="489"/>
      <c r="B6" s="438"/>
      <c r="C6" s="438"/>
      <c r="D6" s="438"/>
      <c r="E6" s="438"/>
      <c r="F6" s="438"/>
      <c r="G6" s="438"/>
      <c r="H6" s="438"/>
      <c r="I6" s="439"/>
    </row>
    <row r="7" spans="1:13">
      <c r="A7" s="489"/>
      <c r="B7" s="646" t="s">
        <v>785</v>
      </c>
      <c r="C7" s="443">
        <v>90</v>
      </c>
      <c r="D7" s="646" t="s">
        <v>357</v>
      </c>
      <c r="E7" s="646" t="s">
        <v>573</v>
      </c>
      <c r="F7" s="438"/>
      <c r="G7" s="438"/>
      <c r="H7" s="438"/>
      <c r="I7" s="439"/>
    </row>
    <row r="8" spans="1:13">
      <c r="A8" s="489"/>
      <c r="B8" s="646" t="s">
        <v>786</v>
      </c>
      <c r="C8" s="443">
        <v>20</v>
      </c>
      <c r="D8" s="646" t="s">
        <v>787</v>
      </c>
      <c r="E8" s="646" t="s">
        <v>573</v>
      </c>
      <c r="F8" s="438"/>
      <c r="G8" s="438"/>
      <c r="H8" s="438"/>
      <c r="I8" s="439"/>
    </row>
    <row r="9" spans="1:13">
      <c r="A9" s="489"/>
      <c r="B9" s="646" t="s">
        <v>788</v>
      </c>
      <c r="C9" s="443">
        <v>1</v>
      </c>
      <c r="D9" s="646" t="s">
        <v>789</v>
      </c>
      <c r="E9" s="438"/>
      <c r="F9" s="438"/>
      <c r="G9" s="438"/>
      <c r="H9" s="438"/>
      <c r="I9" s="439"/>
    </row>
    <row r="10" spans="1:13">
      <c r="A10" s="489"/>
      <c r="B10" s="646" t="s">
        <v>790</v>
      </c>
      <c r="C10" s="647">
        <v>9.7899999999999991</v>
      </c>
      <c r="D10" s="646" t="s">
        <v>791</v>
      </c>
      <c r="E10" s="438"/>
      <c r="F10" s="438"/>
      <c r="G10" s="438"/>
      <c r="H10" s="438"/>
      <c r="I10" s="439"/>
    </row>
    <row r="11" spans="1:13" ht="26.25" thickBot="1">
      <c r="A11" s="489"/>
      <c r="B11" s="687" t="s">
        <v>792</v>
      </c>
      <c r="C11" s="688">
        <v>1000</v>
      </c>
      <c r="D11" s="648" t="s">
        <v>867</v>
      </c>
      <c r="E11" s="438"/>
      <c r="F11" s="438"/>
      <c r="G11" s="438"/>
      <c r="H11" s="438"/>
      <c r="I11" s="439"/>
    </row>
    <row r="12" spans="1:13" ht="16.5" thickBot="1">
      <c r="A12" s="489"/>
      <c r="B12" s="689" t="s">
        <v>447</v>
      </c>
      <c r="C12" s="690">
        <f>(C8*C7*C10*C9)/C11</f>
        <v>17.622</v>
      </c>
      <c r="D12" s="649" t="s">
        <v>218</v>
      </c>
      <c r="E12" s="438"/>
      <c r="F12" s="438"/>
      <c r="G12" s="438"/>
      <c r="H12" s="438"/>
      <c r="I12" s="439"/>
    </row>
    <row r="13" spans="1:13">
      <c r="A13" s="489"/>
      <c r="B13" s="561" t="s">
        <v>868</v>
      </c>
      <c r="C13" s="438"/>
      <c r="D13" s="438"/>
      <c r="E13" s="438"/>
      <c r="F13" s="438"/>
      <c r="G13" s="438"/>
      <c r="H13" s="438"/>
      <c r="I13" s="439"/>
    </row>
    <row r="14" spans="1:13" ht="13.5" thickBot="1">
      <c r="A14" s="489"/>
      <c r="B14" s="652" t="s">
        <v>869</v>
      </c>
      <c r="C14" s="691">
        <v>57</v>
      </c>
      <c r="D14" s="646" t="s">
        <v>845</v>
      </c>
      <c r="E14" s="646" t="s">
        <v>573</v>
      </c>
      <c r="F14" s="438"/>
      <c r="G14" s="438"/>
      <c r="H14" s="438"/>
      <c r="I14" s="439"/>
    </row>
    <row r="15" spans="1:13" ht="16.5" thickBot="1">
      <c r="A15" s="489"/>
      <c r="B15" s="692" t="s">
        <v>870</v>
      </c>
      <c r="C15" s="693">
        <f>(C12*(C14/100)*24*30)</f>
        <v>7232.0688</v>
      </c>
      <c r="D15" s="707" t="s">
        <v>881</v>
      </c>
      <c r="E15" s="438"/>
      <c r="F15" s="438"/>
      <c r="G15" s="438"/>
      <c r="H15" s="438"/>
      <c r="I15" s="439"/>
    </row>
    <row r="16" spans="1:13">
      <c r="A16" s="489"/>
      <c r="B16" s="438"/>
      <c r="C16" s="438"/>
      <c r="D16" s="438"/>
      <c r="E16" s="438"/>
      <c r="F16" s="438"/>
      <c r="G16" s="438"/>
      <c r="H16" s="438"/>
      <c r="I16" s="439"/>
    </row>
    <row r="17" spans="1:14">
      <c r="A17" s="489"/>
      <c r="B17" s="438"/>
      <c r="C17" s="438"/>
      <c r="D17" s="438"/>
      <c r="E17" s="438"/>
      <c r="F17" s="438"/>
      <c r="G17" s="438"/>
      <c r="H17" s="438"/>
      <c r="I17" s="439"/>
    </row>
    <row r="18" spans="1:14" ht="13.5" thickBot="1">
      <c r="A18" s="488"/>
      <c r="B18" s="448"/>
      <c r="C18" s="448"/>
      <c r="D18" s="448"/>
      <c r="E18" s="448"/>
      <c r="F18" s="448"/>
      <c r="G18" s="448"/>
      <c r="H18" s="448"/>
      <c r="I18" s="450"/>
    </row>
    <row r="19" spans="1:14" ht="18">
      <c r="A19" s="684" t="s">
        <v>865</v>
      </c>
      <c r="B19" s="685" t="s">
        <v>871</v>
      </c>
      <c r="C19" s="507"/>
      <c r="D19" s="507"/>
      <c r="E19" s="507"/>
      <c r="F19" s="507"/>
      <c r="G19" s="507"/>
      <c r="H19" s="507"/>
      <c r="I19" s="507"/>
      <c r="J19" s="507"/>
      <c r="K19" s="507"/>
      <c r="L19" s="507"/>
      <c r="M19" s="507"/>
      <c r="N19" s="509"/>
    </row>
    <row r="20" spans="1:14">
      <c r="A20" s="489"/>
      <c r="B20" s="438"/>
      <c r="C20" s="438"/>
      <c r="D20" s="438"/>
      <c r="E20" s="438"/>
      <c r="F20" s="438"/>
      <c r="G20" s="438"/>
      <c r="H20" s="438"/>
      <c r="I20" s="438"/>
      <c r="J20" s="438"/>
      <c r="K20" s="438"/>
      <c r="L20" s="438"/>
      <c r="M20" s="438"/>
      <c r="N20" s="439"/>
    </row>
    <row r="21" spans="1:14" ht="15">
      <c r="A21" s="489"/>
      <c r="B21" s="694" t="s">
        <v>872</v>
      </c>
      <c r="C21" s="438"/>
      <c r="D21" s="438"/>
      <c r="E21" s="438"/>
      <c r="F21" s="438"/>
      <c r="G21" s="438"/>
      <c r="H21" s="438"/>
      <c r="I21" s="438"/>
      <c r="J21" s="438"/>
      <c r="K21" s="438"/>
      <c r="L21" s="438"/>
      <c r="M21" s="438"/>
      <c r="N21" s="439"/>
    </row>
    <row r="22" spans="1:14" ht="14.25">
      <c r="A22" s="489"/>
      <c r="B22" s="515"/>
      <c r="C22" s="479" t="s">
        <v>873</v>
      </c>
      <c r="D22" s="515" t="s">
        <v>874</v>
      </c>
      <c r="E22" s="438"/>
      <c r="F22" s="438"/>
      <c r="G22" s="515" t="s">
        <v>875</v>
      </c>
      <c r="H22" s="438"/>
      <c r="I22" s="515" t="s">
        <v>873</v>
      </c>
      <c r="J22" s="438"/>
      <c r="K22" s="438"/>
      <c r="L22" s="438"/>
      <c r="M22" s="438"/>
      <c r="N22" s="439"/>
    </row>
    <row r="23" spans="1:14">
      <c r="A23" s="489"/>
      <c r="B23" s="438"/>
      <c r="C23" s="438"/>
      <c r="D23" s="438"/>
      <c r="E23" s="438"/>
      <c r="F23" s="438"/>
      <c r="G23" s="438"/>
      <c r="H23" s="438"/>
      <c r="I23" s="438"/>
      <c r="J23" s="438"/>
      <c r="K23" s="438"/>
      <c r="L23" s="438"/>
      <c r="M23" s="438"/>
      <c r="N23" s="439"/>
    </row>
    <row r="24" spans="1:14">
      <c r="A24" s="489"/>
      <c r="B24" s="438"/>
      <c r="C24" s="438"/>
      <c r="D24" s="438"/>
      <c r="E24" s="438"/>
      <c r="F24" s="438"/>
      <c r="G24" s="438"/>
      <c r="H24" s="438"/>
      <c r="I24" s="438"/>
      <c r="J24" s="438"/>
      <c r="K24" s="438"/>
      <c r="L24" s="438"/>
      <c r="M24" s="438"/>
      <c r="N24" s="439"/>
    </row>
    <row r="25" spans="1:14">
      <c r="A25" s="489"/>
      <c r="B25" s="438"/>
      <c r="C25" s="438"/>
      <c r="D25" s="438"/>
      <c r="E25" s="438"/>
      <c r="F25" s="438"/>
      <c r="G25" s="438"/>
      <c r="H25" s="438"/>
      <c r="I25" s="438"/>
      <c r="J25" s="438"/>
      <c r="K25" s="438"/>
      <c r="L25" s="438"/>
      <c r="M25" s="438"/>
      <c r="N25" s="439"/>
    </row>
    <row r="26" spans="1:14">
      <c r="A26" s="489"/>
      <c r="B26" s="646" t="s">
        <v>876</v>
      </c>
      <c r="C26" s="440">
        <v>383</v>
      </c>
      <c r="D26" s="646" t="s">
        <v>220</v>
      </c>
      <c r="E26" s="646" t="s">
        <v>573</v>
      </c>
      <c r="F26" s="438"/>
      <c r="G26" s="438"/>
      <c r="H26" s="438"/>
      <c r="I26" s="646" t="s">
        <v>820</v>
      </c>
      <c r="J26" s="695">
        <v>1.7988799999999999E-2</v>
      </c>
      <c r="K26" s="646" t="s">
        <v>220</v>
      </c>
      <c r="L26" s="646" t="s">
        <v>573</v>
      </c>
      <c r="N26" s="439"/>
    </row>
    <row r="27" spans="1:14" ht="13.5" thickBot="1">
      <c r="A27" s="489"/>
      <c r="B27" s="646" t="s">
        <v>877</v>
      </c>
      <c r="C27" s="696">
        <v>10</v>
      </c>
      <c r="D27" s="697" t="s">
        <v>732</v>
      </c>
      <c r="E27" s="646" t="s">
        <v>573</v>
      </c>
      <c r="F27" s="438"/>
      <c r="G27" s="438"/>
      <c r="H27" s="438"/>
      <c r="I27" s="646" t="s">
        <v>877</v>
      </c>
      <c r="J27" s="696">
        <v>720</v>
      </c>
      <c r="K27" s="697" t="s">
        <v>732</v>
      </c>
      <c r="L27" s="646" t="s">
        <v>573</v>
      </c>
      <c r="N27" s="439"/>
    </row>
    <row r="28" spans="1:14" ht="13.5" thickBot="1">
      <c r="A28" s="489"/>
      <c r="B28" s="698" t="s">
        <v>878</v>
      </c>
      <c r="C28" s="699">
        <f>(C26*C27)/1000</f>
        <v>3.83</v>
      </c>
      <c r="D28" s="700" t="s">
        <v>218</v>
      </c>
      <c r="E28" s="438"/>
      <c r="F28" s="438"/>
      <c r="G28" s="438"/>
      <c r="H28" s="438"/>
      <c r="I28" s="698" t="s">
        <v>878</v>
      </c>
      <c r="J28" s="701">
        <f>(J26*(J27*J27*J27)/1000)</f>
        <v>6714.2836223999993</v>
      </c>
      <c r="K28" s="700" t="s">
        <v>218</v>
      </c>
      <c r="L28" s="438"/>
      <c r="N28" s="439"/>
    </row>
    <row r="29" spans="1:14">
      <c r="A29" s="489"/>
      <c r="B29" s="561" t="s">
        <v>879</v>
      </c>
      <c r="C29" s="438"/>
      <c r="D29" s="438"/>
      <c r="E29" s="438"/>
      <c r="F29" s="438"/>
      <c r="G29" s="438"/>
      <c r="H29" s="438"/>
      <c r="I29" s="561" t="s">
        <v>879</v>
      </c>
      <c r="J29" s="438"/>
      <c r="K29" s="438"/>
      <c r="L29" s="438"/>
      <c r="N29" s="439"/>
    </row>
    <row r="30" spans="1:14" ht="13.5" thickBot="1">
      <c r="A30" s="489"/>
      <c r="B30" s="652" t="s">
        <v>869</v>
      </c>
      <c r="C30" s="702">
        <v>57</v>
      </c>
      <c r="D30" s="646" t="s">
        <v>845</v>
      </c>
      <c r="E30" s="646" t="s">
        <v>573</v>
      </c>
      <c r="F30" s="438"/>
      <c r="G30" s="438"/>
      <c r="H30" s="438"/>
      <c r="I30" s="652" t="s">
        <v>869</v>
      </c>
      <c r="J30" s="702">
        <v>57</v>
      </c>
      <c r="K30" s="652" t="s">
        <v>845</v>
      </c>
      <c r="L30" s="646" t="s">
        <v>573</v>
      </c>
      <c r="N30" s="439"/>
    </row>
    <row r="31" spans="1:14" ht="16.5" thickBot="1">
      <c r="A31" s="489"/>
      <c r="B31" s="703" t="s">
        <v>870</v>
      </c>
      <c r="C31" s="704">
        <f>(C28*(C30/100)*24*30)</f>
        <v>1571.8320000000001</v>
      </c>
      <c r="D31" s="707" t="s">
        <v>881</v>
      </c>
      <c r="E31" s="438"/>
      <c r="F31" s="438"/>
      <c r="G31" s="438"/>
      <c r="H31" s="438"/>
      <c r="I31" s="689" t="s">
        <v>870</v>
      </c>
      <c r="J31" s="2957">
        <f>(J28*(J30/100)*24*30)</f>
        <v>2755541.9986329596</v>
      </c>
      <c r="K31" s="2958"/>
      <c r="L31" s="1557" t="s">
        <v>881</v>
      </c>
      <c r="M31" s="438"/>
      <c r="N31" s="439"/>
    </row>
    <row r="32" spans="1:14">
      <c r="A32" s="438"/>
      <c r="B32" s="438"/>
      <c r="C32" s="438"/>
      <c r="D32" s="438"/>
      <c r="E32" s="438"/>
      <c r="F32" s="438"/>
      <c r="G32" s="438"/>
      <c r="H32" s="438"/>
      <c r="I32" s="438"/>
      <c r="J32" s="438"/>
      <c r="K32" s="438"/>
      <c r="L32" s="438"/>
      <c r="M32" s="438"/>
      <c r="N32" s="439"/>
    </row>
    <row r="33" spans="1:14" ht="13.5" thickBot="1">
      <c r="A33" s="488"/>
      <c r="B33" s="448"/>
      <c r="C33" s="448"/>
      <c r="D33" s="448"/>
      <c r="E33" s="448"/>
      <c r="F33" s="448"/>
      <c r="G33" s="448"/>
      <c r="H33" s="448"/>
      <c r="I33" s="448"/>
      <c r="J33" s="448"/>
      <c r="K33" s="448"/>
      <c r="L33" s="448"/>
      <c r="M33" s="448"/>
      <c r="N33" s="450"/>
    </row>
    <row r="34" spans="1:14">
      <c r="A34" s="557"/>
      <c r="B34" s="507"/>
      <c r="C34" s="507"/>
      <c r="D34" s="507"/>
      <c r="E34" s="509"/>
    </row>
    <row r="35" spans="1:14" ht="18">
      <c r="A35" s="705" t="s">
        <v>2138</v>
      </c>
      <c r="C35" s="438"/>
      <c r="D35" s="438"/>
      <c r="E35" s="439"/>
    </row>
    <row r="36" spans="1:14">
      <c r="A36" s="489"/>
      <c r="B36" s="438"/>
      <c r="C36" s="438"/>
      <c r="D36" s="438"/>
      <c r="E36" s="439"/>
    </row>
    <row r="37" spans="1:14">
      <c r="A37" s="489"/>
      <c r="B37" s="646" t="s">
        <v>880</v>
      </c>
      <c r="C37" s="1588">
        <v>5.3</v>
      </c>
      <c r="D37" s="706" t="s">
        <v>218</v>
      </c>
      <c r="E37" s="439"/>
    </row>
    <row r="38" spans="1:14" ht="13.5" thickBot="1">
      <c r="A38" s="489"/>
      <c r="B38" s="646" t="s">
        <v>869</v>
      </c>
      <c r="C38" s="1588">
        <v>124</v>
      </c>
      <c r="D38" s="438"/>
      <c r="E38" s="439"/>
    </row>
    <row r="39" spans="1:14" ht="16.5" thickBot="1">
      <c r="A39" s="489"/>
      <c r="B39" s="703" t="s">
        <v>870</v>
      </c>
      <c r="C39" s="704">
        <f>(C37*(C38/100)*24*30)</f>
        <v>4731.84</v>
      </c>
      <c r="D39" s="707" t="s">
        <v>881</v>
      </c>
      <c r="E39" s="439"/>
      <c r="F39" s="1877">
        <f>C39*12</f>
        <v>56782.080000000002</v>
      </c>
    </row>
    <row r="40" spans="1:14">
      <c r="A40" s="489"/>
      <c r="B40" s="438"/>
      <c r="C40" s="438"/>
      <c r="D40" s="438"/>
      <c r="E40" s="439"/>
    </row>
    <row r="41" spans="1:14">
      <c r="A41" s="489"/>
      <c r="B41" s="438"/>
      <c r="C41" s="438"/>
      <c r="D41" s="438"/>
      <c r="E41" s="439"/>
    </row>
    <row r="42" spans="1:14" ht="13.5" thickBot="1">
      <c r="A42" s="488"/>
      <c r="B42" s="448"/>
      <c r="C42" s="448"/>
      <c r="D42" s="448"/>
      <c r="E42" s="450"/>
    </row>
    <row r="43" spans="1:14">
      <c r="A43" s="557"/>
      <c r="B43" s="507"/>
      <c r="C43" s="507"/>
      <c r="D43" s="507"/>
      <c r="E43" s="509"/>
    </row>
    <row r="44" spans="1:14" ht="16.5">
      <c r="A44" s="2984" t="s">
        <v>2139</v>
      </c>
      <c r="B44" s="2984"/>
      <c r="C44" s="2984"/>
      <c r="D44" s="2984"/>
      <c r="E44" s="2985"/>
    </row>
    <row r="45" spans="1:14">
      <c r="A45" s="489"/>
      <c r="B45" s="438"/>
      <c r="C45" s="438"/>
      <c r="D45" s="438"/>
      <c r="E45" s="439"/>
    </row>
    <row r="46" spans="1:14">
      <c r="A46" s="489"/>
      <c r="B46" s="646" t="s">
        <v>880</v>
      </c>
      <c r="C46" s="1588">
        <v>66</v>
      </c>
      <c r="D46" s="706" t="s">
        <v>218</v>
      </c>
      <c r="E46" s="439"/>
    </row>
    <row r="47" spans="1:14">
      <c r="A47" s="489"/>
      <c r="B47" s="646" t="s">
        <v>869</v>
      </c>
      <c r="C47" s="1588">
        <v>124</v>
      </c>
      <c r="D47" s="438"/>
      <c r="E47" s="439"/>
    </row>
    <row r="48" spans="1:14">
      <c r="A48" s="489"/>
      <c r="B48" s="441" t="s">
        <v>1342</v>
      </c>
      <c r="C48" s="1588">
        <v>24</v>
      </c>
      <c r="D48" s="438"/>
      <c r="E48" s="439"/>
    </row>
    <row r="49" spans="1:16" ht="13.5" thickBot="1">
      <c r="A49" s="489"/>
      <c r="B49" s="441" t="s">
        <v>1343</v>
      </c>
      <c r="C49" s="1588">
        <v>365</v>
      </c>
      <c r="D49" s="438"/>
      <c r="E49" s="439"/>
    </row>
    <row r="50" spans="1:16" ht="16.5" thickBot="1">
      <c r="A50" s="489"/>
      <c r="B50" s="1561" t="s">
        <v>870</v>
      </c>
      <c r="C50" s="704">
        <f>(C46*(C47/100)*C48*C49)</f>
        <v>716918.4</v>
      </c>
      <c r="D50" s="707" t="s">
        <v>881</v>
      </c>
      <c r="E50" s="439"/>
    </row>
    <row r="51" spans="1:16">
      <c r="A51" s="489"/>
      <c r="B51" s="438"/>
      <c r="C51" s="438"/>
      <c r="D51" s="438"/>
      <c r="E51" s="439"/>
    </row>
    <row r="52" spans="1:16">
      <c r="A52" s="489"/>
      <c r="B52" s="438"/>
      <c r="C52" s="438"/>
      <c r="D52" s="438"/>
      <c r="E52" s="439"/>
    </row>
    <row r="53" spans="1:16" ht="13.5" thickBot="1">
      <c r="A53" s="488"/>
      <c r="B53" s="448"/>
      <c r="C53" s="448"/>
      <c r="D53" s="448"/>
      <c r="E53" s="450"/>
    </row>
    <row r="57" spans="1:16" ht="13.5" thickBot="1"/>
    <row r="58" spans="1:16">
      <c r="A58" s="557"/>
      <c r="B58" s="507"/>
      <c r="C58" s="507"/>
      <c r="D58" s="507"/>
      <c r="E58" s="507"/>
      <c r="F58" s="507"/>
      <c r="G58" s="507"/>
      <c r="H58" s="507"/>
      <c r="I58" s="507"/>
      <c r="J58" s="507"/>
      <c r="K58" s="507"/>
      <c r="L58" s="507"/>
      <c r="M58" s="507"/>
      <c r="N58" s="507"/>
      <c r="O58" s="509"/>
    </row>
    <row r="59" spans="1:16" ht="18">
      <c r="A59" s="2975" t="s">
        <v>1520</v>
      </c>
      <c r="B59" s="2976"/>
      <c r="C59" s="2976"/>
      <c r="D59" s="2976"/>
      <c r="E59" s="2976"/>
      <c r="F59" s="2976"/>
      <c r="G59" s="2976"/>
      <c r="H59" s="2976"/>
      <c r="I59" s="2976"/>
      <c r="J59" s="2976"/>
      <c r="K59" s="2976"/>
      <c r="L59" s="2976"/>
      <c r="M59" s="2976"/>
      <c r="N59" s="2976"/>
      <c r="O59" s="2977"/>
      <c r="P59" s="56"/>
    </row>
    <row r="60" spans="1:16" ht="15.75" thickBot="1">
      <c r="A60" s="1134"/>
      <c r="B60" s="1128"/>
      <c r="C60" s="1128"/>
      <c r="D60" s="1128"/>
      <c r="E60" s="1128"/>
      <c r="F60" s="1128"/>
      <c r="G60" s="1128"/>
      <c r="H60" s="1128"/>
      <c r="I60" s="1128"/>
      <c r="J60" s="1128"/>
      <c r="K60" s="1128"/>
      <c r="L60" s="1128"/>
      <c r="M60" s="1128"/>
      <c r="N60" s="1128"/>
      <c r="O60" s="1136"/>
      <c r="P60" s="56"/>
    </row>
    <row r="61" spans="1:16" ht="15">
      <c r="A61" s="1134"/>
      <c r="B61" s="2986" t="s">
        <v>1374</v>
      </c>
      <c r="C61" s="2987"/>
      <c r="D61" s="2987"/>
      <c r="E61" s="2987"/>
      <c r="F61" s="2988"/>
      <c r="G61" s="1576">
        <v>45</v>
      </c>
      <c r="H61" s="1329" t="s">
        <v>357</v>
      </c>
      <c r="I61" s="1128"/>
      <c r="J61" s="1128"/>
      <c r="K61" s="1128"/>
      <c r="L61" s="1128"/>
      <c r="M61" s="1128"/>
      <c r="N61" s="1128"/>
      <c r="O61" s="1136"/>
      <c r="P61" s="56"/>
    </row>
    <row r="62" spans="1:16" ht="15">
      <c r="A62" s="1134"/>
      <c r="B62" s="2954" t="s">
        <v>1373</v>
      </c>
      <c r="C62" s="2955"/>
      <c r="D62" s="2955"/>
      <c r="E62" s="2955"/>
      <c r="F62" s="2989"/>
      <c r="G62" s="1577">
        <v>45</v>
      </c>
      <c r="H62" s="1335" t="s">
        <v>357</v>
      </c>
      <c r="I62" s="1128"/>
      <c r="J62" s="1128"/>
      <c r="K62" s="1128"/>
      <c r="L62" s="1128"/>
      <c r="M62" s="1128"/>
      <c r="N62" s="1128"/>
      <c r="O62" s="1136"/>
      <c r="P62" s="56"/>
    </row>
    <row r="63" spans="1:16" ht="15.75" thickBot="1">
      <c r="A63" s="1134"/>
      <c r="B63" s="2990" t="s">
        <v>1372</v>
      </c>
      <c r="C63" s="2991"/>
      <c r="D63" s="2991"/>
      <c r="E63" s="2991"/>
      <c r="F63" s="2992"/>
      <c r="G63" s="1578">
        <v>0</v>
      </c>
      <c r="H63" s="1327" t="s">
        <v>357</v>
      </c>
      <c r="I63" s="1128"/>
      <c r="J63" s="1128"/>
      <c r="K63" s="1128"/>
      <c r="L63" s="1128"/>
      <c r="M63" s="1128"/>
      <c r="N63" s="1128"/>
      <c r="O63" s="1136"/>
      <c r="P63" s="56"/>
    </row>
    <row r="64" spans="1:16" ht="15.75" thickBot="1">
      <c r="A64" s="1134"/>
      <c r="B64" s="2990" t="s">
        <v>1371</v>
      </c>
      <c r="C64" s="2991"/>
      <c r="D64" s="2991"/>
      <c r="E64" s="2991"/>
      <c r="F64" s="2992"/>
      <c r="G64" s="1579">
        <v>1</v>
      </c>
      <c r="H64" s="1128"/>
      <c r="I64" s="1128"/>
      <c r="J64" s="1128"/>
      <c r="K64" s="1128"/>
      <c r="L64" s="1128"/>
      <c r="M64" s="1128"/>
      <c r="N64" s="1128"/>
      <c r="O64" s="1136"/>
      <c r="P64" s="56"/>
    </row>
    <row r="65" spans="1:16" ht="15.75" thickBot="1">
      <c r="A65" s="1134"/>
      <c r="B65" s="2993" t="s">
        <v>1370</v>
      </c>
      <c r="C65" s="2994"/>
      <c r="D65" s="2994"/>
      <c r="E65" s="2994"/>
      <c r="F65" s="2995"/>
      <c r="G65" s="1576">
        <v>2.21</v>
      </c>
      <c r="H65" s="1329" t="s">
        <v>357</v>
      </c>
      <c r="I65" s="2959" t="s">
        <v>1369</v>
      </c>
      <c r="J65" s="2960"/>
      <c r="K65" s="1128"/>
      <c r="L65" s="1128"/>
      <c r="M65" s="1128"/>
      <c r="N65" s="1128"/>
      <c r="O65" s="1136"/>
      <c r="P65" s="56"/>
    </row>
    <row r="66" spans="1:16" ht="15.75" thickBot="1">
      <c r="A66" s="1134"/>
      <c r="B66" s="2990" t="s">
        <v>1368</v>
      </c>
      <c r="C66" s="2991"/>
      <c r="D66" s="2991"/>
      <c r="E66" s="2991"/>
      <c r="F66" s="2992"/>
      <c r="G66" s="1578">
        <v>760</v>
      </c>
      <c r="H66" s="1327" t="s">
        <v>286</v>
      </c>
      <c r="I66" s="1332" t="s">
        <v>1367</v>
      </c>
      <c r="J66" s="1562">
        <f>IF(G66&gt;760,"15",12)</f>
        <v>12</v>
      </c>
      <c r="K66" s="1128"/>
      <c r="L66" s="1128"/>
      <c r="M66" s="1128"/>
      <c r="N66" s="1128"/>
      <c r="O66" s="1136"/>
      <c r="P66" s="56"/>
    </row>
    <row r="67" spans="1:16" ht="15">
      <c r="A67" s="1134"/>
      <c r="B67" s="2993" t="s">
        <v>1366</v>
      </c>
      <c r="C67" s="2994"/>
      <c r="D67" s="2994"/>
      <c r="E67" s="2994"/>
      <c r="F67" s="2995"/>
      <c r="G67" s="1576">
        <v>75</v>
      </c>
      <c r="H67" s="1329" t="s">
        <v>218</v>
      </c>
      <c r="I67" s="1128"/>
      <c r="J67" s="1128"/>
      <c r="K67" s="1128"/>
      <c r="L67" s="1128"/>
      <c r="M67" s="1128"/>
      <c r="N67" s="1128"/>
      <c r="O67" s="1136"/>
      <c r="P67" s="56"/>
    </row>
    <row r="68" spans="1:16" ht="15.75" thickBot="1">
      <c r="A68" s="1134"/>
      <c r="B68" s="2990" t="s">
        <v>1365</v>
      </c>
      <c r="C68" s="2991"/>
      <c r="D68" s="2991"/>
      <c r="E68" s="2991"/>
      <c r="F68" s="2992"/>
      <c r="G68" s="1578">
        <v>45</v>
      </c>
      <c r="H68" s="1327" t="s">
        <v>218</v>
      </c>
      <c r="I68" s="1128"/>
      <c r="J68" s="1128"/>
      <c r="K68" s="1128"/>
      <c r="L68" s="1128"/>
      <c r="M68" s="1128"/>
      <c r="N68" s="1128"/>
      <c r="O68" s="1136"/>
      <c r="P68" s="56"/>
    </row>
    <row r="69" spans="1:16" ht="15.75" thickBot="1">
      <c r="A69" s="1134"/>
      <c r="B69" s="2990" t="s">
        <v>1364</v>
      </c>
      <c r="C69" s="2991"/>
      <c r="D69" s="2991"/>
      <c r="E69" s="2991"/>
      <c r="F69" s="2992"/>
      <c r="G69" s="1326">
        <v>0.1</v>
      </c>
      <c r="H69" s="1128"/>
      <c r="I69" s="1128"/>
      <c r="J69" s="1128"/>
      <c r="K69" s="1128"/>
      <c r="L69" s="1128"/>
      <c r="M69" s="1128"/>
      <c r="N69" s="1128"/>
      <c r="O69" s="1136"/>
      <c r="P69" s="56"/>
    </row>
    <row r="70" spans="1:16" ht="15">
      <c r="A70" s="1134"/>
      <c r="B70" s="1128"/>
      <c r="C70" s="1128"/>
      <c r="D70" s="1128"/>
      <c r="E70" s="1128"/>
      <c r="F70" s="1128"/>
      <c r="G70" s="1128"/>
      <c r="H70" s="1128"/>
      <c r="I70" s="1128"/>
      <c r="J70" s="1128"/>
      <c r="K70" s="1128"/>
      <c r="L70" s="1128"/>
      <c r="M70" s="1128"/>
      <c r="N70" s="1128"/>
      <c r="O70" s="1136"/>
      <c r="P70" s="56"/>
    </row>
    <row r="71" spans="1:16" ht="15">
      <c r="A71" s="1134"/>
      <c r="B71" s="1128"/>
      <c r="C71" s="1128"/>
      <c r="D71" s="1128"/>
      <c r="E71" s="1128"/>
      <c r="F71" s="1128"/>
      <c r="G71" s="1128"/>
      <c r="H71" s="1128"/>
      <c r="I71" s="1128"/>
      <c r="J71" s="1128"/>
      <c r="K71" s="1128"/>
      <c r="L71" s="1128"/>
      <c r="M71" s="1128"/>
      <c r="N71" s="1128"/>
      <c r="O71" s="1136"/>
      <c r="P71" s="56"/>
    </row>
    <row r="72" spans="1:16" ht="15.75" thickBot="1">
      <c r="A72" s="1134"/>
      <c r="B72" s="1174"/>
      <c r="C72" s="1174"/>
      <c r="D72" s="1174"/>
      <c r="E72" s="1174"/>
      <c r="F72" s="1174"/>
      <c r="G72" s="1174"/>
      <c r="H72" s="1174"/>
      <c r="I72" s="1174"/>
      <c r="J72" s="1174"/>
      <c r="K72" s="1174"/>
      <c r="L72" s="1174"/>
      <c r="M72" s="1128"/>
      <c r="N72" s="1128"/>
      <c r="O72" s="1136"/>
      <c r="P72" s="56"/>
    </row>
    <row r="73" spans="1:16" ht="15.75" thickBot="1">
      <c r="A73" s="1134"/>
      <c r="B73" s="1317"/>
      <c r="C73" s="1317"/>
      <c r="D73" s="1321"/>
      <c r="E73" s="1317"/>
      <c r="F73" s="1317"/>
      <c r="G73" s="1317"/>
      <c r="H73" s="1317"/>
      <c r="I73" s="1317"/>
      <c r="J73" s="1317"/>
      <c r="K73" s="1321"/>
      <c r="L73" s="1316"/>
      <c r="M73" s="1563">
        <f>G61</f>
        <v>45</v>
      </c>
      <c r="N73" s="1563" t="s">
        <v>357</v>
      </c>
      <c r="O73" s="1136"/>
      <c r="P73" s="56"/>
    </row>
    <row r="74" spans="1:16" ht="15">
      <c r="A74" s="1134"/>
      <c r="B74" s="1128"/>
      <c r="C74" s="1126"/>
      <c r="D74" s="1321"/>
      <c r="E74" s="1124"/>
      <c r="F74" s="1128"/>
      <c r="G74" s="1128"/>
      <c r="H74" s="1128"/>
      <c r="I74" s="1128"/>
      <c r="J74" s="1136"/>
      <c r="K74" s="1325"/>
      <c r="L74" s="1124"/>
      <c r="M74" s="1128"/>
      <c r="N74" s="1128"/>
      <c r="O74" s="1136"/>
      <c r="P74" s="56"/>
    </row>
    <row r="75" spans="1:16" ht="15">
      <c r="A75" s="1134"/>
      <c r="B75" s="1128"/>
      <c r="C75" s="1136"/>
      <c r="D75" s="1321"/>
      <c r="E75" s="1134"/>
      <c r="F75" s="1128"/>
      <c r="G75" s="1128"/>
      <c r="H75" s="1128"/>
      <c r="I75" s="1128"/>
      <c r="J75" s="1136"/>
      <c r="K75" s="1325"/>
      <c r="L75" s="1134"/>
      <c r="M75" s="1128"/>
      <c r="N75" s="1128"/>
      <c r="O75" s="1136"/>
      <c r="P75" s="56"/>
    </row>
    <row r="76" spans="1:16" ht="15">
      <c r="A76" s="1134"/>
      <c r="B76" s="2978" t="s">
        <v>1363</v>
      </c>
      <c r="C76" s="2979"/>
      <c r="D76" s="1321"/>
      <c r="E76" s="1564">
        <f>G63</f>
        <v>0</v>
      </c>
      <c r="F76" s="1563" t="s">
        <v>357</v>
      </c>
      <c r="G76" s="1128"/>
      <c r="H76" s="1128"/>
      <c r="I76" s="1558"/>
      <c r="J76" s="1555" t="s">
        <v>1362</v>
      </c>
      <c r="K76" s="1325"/>
      <c r="L76" s="1564">
        <f>IF(G61&gt;99,G63,0)+(G63*G64)</f>
        <v>0</v>
      </c>
      <c r="M76" s="1563" t="s">
        <v>357</v>
      </c>
      <c r="N76" s="1128"/>
      <c r="O76" s="1136"/>
      <c r="P76" s="56"/>
    </row>
    <row r="77" spans="1:16" ht="15">
      <c r="A77" s="1134"/>
      <c r="B77" s="1128"/>
      <c r="C77" s="1136"/>
      <c r="D77" s="1321"/>
      <c r="E77" s="1134"/>
      <c r="F77" s="1128"/>
      <c r="G77" s="1128"/>
      <c r="H77" s="1128"/>
      <c r="I77" s="1128"/>
      <c r="J77" s="1136"/>
      <c r="K77" s="1325"/>
      <c r="L77" s="1134"/>
      <c r="M77" s="1128"/>
      <c r="N77" s="1128"/>
      <c r="O77" s="1136"/>
      <c r="P77" s="56"/>
    </row>
    <row r="78" spans="1:16" ht="15.75" thickBot="1">
      <c r="A78" s="1134"/>
      <c r="B78" s="1174"/>
      <c r="C78" s="1175"/>
      <c r="D78" s="1321"/>
      <c r="E78" s="1134"/>
      <c r="F78" s="1174"/>
      <c r="G78" s="1174"/>
      <c r="H78" s="1174"/>
      <c r="I78" s="1174"/>
      <c r="J78" s="1174"/>
      <c r="K78" s="1325"/>
      <c r="L78" s="1134"/>
      <c r="M78" s="1128"/>
      <c r="N78" s="1128"/>
      <c r="O78" s="1136"/>
      <c r="P78" s="56"/>
    </row>
    <row r="79" spans="1:16" ht="15.75" thickBot="1">
      <c r="A79" s="1134"/>
      <c r="B79" s="1318"/>
      <c r="C79" s="1321"/>
      <c r="D79" s="1317"/>
      <c r="E79" s="1318"/>
      <c r="F79" s="1318"/>
      <c r="G79" s="1318"/>
      <c r="H79" s="1318"/>
      <c r="I79" s="1318"/>
      <c r="J79" s="1317"/>
      <c r="K79" s="1317"/>
      <c r="L79" s="1316"/>
      <c r="M79" s="1563">
        <f>G62</f>
        <v>45</v>
      </c>
      <c r="N79" s="1563" t="s">
        <v>357</v>
      </c>
      <c r="O79" s="1136"/>
      <c r="P79" s="56"/>
    </row>
    <row r="80" spans="1:16" ht="15.75" thickBot="1">
      <c r="A80" s="1134"/>
      <c r="B80" s="1128"/>
      <c r="C80" s="1314"/>
      <c r="D80" s="1128"/>
      <c r="E80" s="1128"/>
      <c r="F80" s="1128"/>
      <c r="G80" s="1128"/>
      <c r="H80" s="1128"/>
      <c r="I80" s="1128"/>
      <c r="J80" s="1128"/>
      <c r="K80" s="1128"/>
      <c r="L80" s="1128"/>
      <c r="M80" s="1128"/>
      <c r="N80" s="1128"/>
      <c r="O80" s="1136"/>
      <c r="P80" s="56"/>
    </row>
    <row r="81" spans="1:19" ht="29.25" customHeight="1" thickBot="1">
      <c r="A81" s="1134"/>
      <c r="B81" s="2980" t="s">
        <v>1361</v>
      </c>
      <c r="C81" s="2981"/>
      <c r="D81" s="2981"/>
      <c r="E81" s="2981"/>
      <c r="F81" s="2982"/>
      <c r="G81" s="1313" t="s">
        <v>193</v>
      </c>
      <c r="H81" s="1313" t="s">
        <v>186</v>
      </c>
      <c r="I81" s="1796" t="s">
        <v>1360</v>
      </c>
      <c r="J81" s="1797" t="s">
        <v>1516</v>
      </c>
      <c r="K81" s="2961" t="s">
        <v>1517</v>
      </c>
      <c r="L81" s="2962"/>
      <c r="M81" s="1128"/>
      <c r="N81" s="1128"/>
      <c r="O81" s="1136"/>
      <c r="P81" s="56"/>
      <c r="Q81" s="56"/>
      <c r="R81" s="56"/>
      <c r="S81" s="56"/>
    </row>
    <row r="82" spans="1:19" ht="15">
      <c r="A82" s="1134"/>
      <c r="B82" s="1312">
        <f>G66</f>
        <v>760</v>
      </c>
      <c r="C82" s="2983" t="s">
        <v>1358</v>
      </c>
      <c r="D82" s="2983"/>
      <c r="E82" s="1556">
        <f>G65</f>
        <v>2.21</v>
      </c>
      <c r="F82" s="1310" t="s">
        <v>1357</v>
      </c>
      <c r="G82" s="1569">
        <f>((M73+M79)+E76+L76)/G65+(((M73+M79)+E76+L76)*G69)</f>
        <v>49.723981900452486</v>
      </c>
      <c r="H82" s="1570" t="s">
        <v>1347</v>
      </c>
      <c r="I82" s="1580"/>
      <c r="J82" s="1581">
        <v>890.07</v>
      </c>
      <c r="K82" s="2963">
        <f t="shared" ref="K82:K93" si="0">J82*G82</f>
        <v>44257.824570135745</v>
      </c>
      <c r="L82" s="2964"/>
      <c r="M82" s="1128"/>
      <c r="N82" s="1128"/>
      <c r="O82" s="1136"/>
      <c r="P82" s="56"/>
      <c r="Q82" s="56"/>
      <c r="R82" s="56"/>
      <c r="S82" s="56"/>
    </row>
    <row r="83" spans="1:19" ht="15">
      <c r="A83" s="1134"/>
      <c r="B83" s="2954" t="s">
        <v>1356</v>
      </c>
      <c r="C83" s="2955"/>
      <c r="D83" s="2955"/>
      <c r="E83" s="2955"/>
      <c r="F83" s="2956"/>
      <c r="G83" s="1241">
        <f>ROUNDUP(2+(COUNTIF(L76,"&gt;1")*2)+(COUNTIF(L76,"&gt;1")*2)*G69,0)</f>
        <v>2</v>
      </c>
      <c r="H83" s="1571" t="s">
        <v>1347</v>
      </c>
      <c r="I83" s="1582"/>
      <c r="J83" s="1583"/>
      <c r="K83" s="2952">
        <f t="shared" si="0"/>
        <v>0</v>
      </c>
      <c r="L83" s="2953"/>
      <c r="M83" s="1128"/>
      <c r="N83" s="1128"/>
      <c r="O83" s="1136"/>
      <c r="P83" s="56"/>
      <c r="Q83" s="56"/>
      <c r="R83" s="56"/>
      <c r="S83" s="56"/>
    </row>
    <row r="84" spans="1:19" ht="15">
      <c r="A84" s="1134"/>
      <c r="B84" s="2954" t="s">
        <v>1519</v>
      </c>
      <c r="C84" s="2955"/>
      <c r="D84" s="2955"/>
      <c r="E84" s="2955"/>
      <c r="F84" s="2956"/>
      <c r="G84" s="1212">
        <f>ROUNDUP(G82*J66+(G82*J66*G69),0)</f>
        <v>657</v>
      </c>
      <c r="H84" s="1571" t="s">
        <v>1347</v>
      </c>
      <c r="I84" s="1582"/>
      <c r="J84" s="1583">
        <v>17.2</v>
      </c>
      <c r="K84" s="2952">
        <f t="shared" si="0"/>
        <v>11300.4</v>
      </c>
      <c r="L84" s="2953"/>
      <c r="M84" s="1128"/>
      <c r="N84" s="1128"/>
      <c r="O84" s="1136"/>
      <c r="P84" s="56"/>
      <c r="Q84" s="56"/>
      <c r="R84" s="56"/>
      <c r="S84" s="56"/>
    </row>
    <row r="85" spans="1:19" ht="15">
      <c r="A85" s="1134"/>
      <c r="B85" s="2954" t="s">
        <v>1354</v>
      </c>
      <c r="C85" s="2955"/>
      <c r="D85" s="2955"/>
      <c r="E85" s="2955"/>
      <c r="F85" s="2956"/>
      <c r="G85" s="1212">
        <f>COUNTIF(L73:M79,"&gt;1")</f>
        <v>2</v>
      </c>
      <c r="H85" s="1571" t="s">
        <v>1347</v>
      </c>
      <c r="I85" s="1582"/>
      <c r="J85" s="1583"/>
      <c r="K85" s="2952">
        <f t="shared" si="0"/>
        <v>0</v>
      </c>
      <c r="L85" s="2953"/>
      <c r="M85" s="1128"/>
      <c r="N85" s="1128"/>
      <c r="O85" s="1136"/>
      <c r="P85" s="56"/>
      <c r="Q85" s="56"/>
      <c r="R85" s="56"/>
      <c r="S85" s="56"/>
    </row>
    <row r="86" spans="1:19" ht="15">
      <c r="A86" s="1134"/>
      <c r="B86" s="2954" t="s">
        <v>1353</v>
      </c>
      <c r="C86" s="2955"/>
      <c r="D86" s="2955"/>
      <c r="E86" s="2955"/>
      <c r="F86" s="2956"/>
      <c r="G86" s="1212">
        <f>COUNTIF(M73:M79,"&gt;1")</f>
        <v>2</v>
      </c>
      <c r="H86" s="1571" t="s">
        <v>1347</v>
      </c>
      <c r="I86" s="1582"/>
      <c r="J86" s="1583"/>
      <c r="K86" s="2952">
        <f t="shared" si="0"/>
        <v>0</v>
      </c>
      <c r="L86" s="2953"/>
      <c r="M86" s="1128"/>
      <c r="N86" s="1128"/>
      <c r="O86" s="1136"/>
      <c r="P86" s="56"/>
      <c r="Q86" s="56"/>
      <c r="R86" s="56"/>
      <c r="S86" s="56"/>
    </row>
    <row r="87" spans="1:19" ht="15">
      <c r="A87" s="1134"/>
      <c r="B87" s="2954" t="s">
        <v>1352</v>
      </c>
      <c r="C87" s="2955"/>
      <c r="D87" s="2955"/>
      <c r="E87" s="2955"/>
      <c r="F87" s="2956"/>
      <c r="G87" s="1241">
        <f>COUNTIF(L76,"&gt;1")</f>
        <v>0</v>
      </c>
      <c r="H87" s="1571" t="s">
        <v>1347</v>
      </c>
      <c r="I87" s="1582"/>
      <c r="J87" s="1583"/>
      <c r="K87" s="2952">
        <f t="shared" si="0"/>
        <v>0</v>
      </c>
      <c r="L87" s="2953"/>
      <c r="M87" s="1128"/>
      <c r="N87" s="1128"/>
      <c r="O87" s="1136"/>
      <c r="P87" s="56"/>
      <c r="Q87" s="56"/>
      <c r="R87" s="56"/>
      <c r="S87" s="56"/>
    </row>
    <row r="88" spans="1:19" ht="15">
      <c r="A88" s="1134"/>
      <c r="B88" s="2954" t="s">
        <v>1351</v>
      </c>
      <c r="C88" s="2955"/>
      <c r="D88" s="2955"/>
      <c r="E88" s="2955"/>
      <c r="F88" s="2956"/>
      <c r="G88" s="1212">
        <f>(G86+G87)*5</f>
        <v>10</v>
      </c>
      <c r="H88" s="1571" t="s">
        <v>357</v>
      </c>
      <c r="I88" s="1582"/>
      <c r="J88" s="1583"/>
      <c r="K88" s="2952">
        <f t="shared" si="0"/>
        <v>0</v>
      </c>
      <c r="L88" s="2953"/>
      <c r="M88" s="1128"/>
      <c r="N88" s="1128"/>
      <c r="O88" s="1136"/>
      <c r="P88" s="56"/>
      <c r="Q88" s="56"/>
      <c r="R88" s="56"/>
      <c r="S88" s="56"/>
    </row>
    <row r="89" spans="1:19" ht="15">
      <c r="A89" s="1134"/>
      <c r="B89" s="2954" t="s">
        <v>1350</v>
      </c>
      <c r="C89" s="2955"/>
      <c r="D89" s="2955"/>
      <c r="E89" s="2955"/>
      <c r="F89" s="2956"/>
      <c r="G89" s="1212">
        <f>ROUNDUP((G82*5)*2,0)</f>
        <v>498</v>
      </c>
      <c r="H89" s="1571" t="s">
        <v>357</v>
      </c>
      <c r="I89" s="1582"/>
      <c r="J89" s="1583"/>
      <c r="K89" s="2952">
        <f t="shared" si="0"/>
        <v>0</v>
      </c>
      <c r="L89" s="2953"/>
      <c r="M89" s="1128"/>
      <c r="N89" s="1128"/>
      <c r="O89" s="1136"/>
      <c r="P89" s="56"/>
      <c r="Q89" s="56"/>
      <c r="R89" s="56"/>
      <c r="S89" s="56"/>
    </row>
    <row r="90" spans="1:19" ht="15">
      <c r="A90" s="1134"/>
      <c r="B90" s="2954" t="s">
        <v>1349</v>
      </c>
      <c r="C90" s="2955"/>
      <c r="D90" s="2955"/>
      <c r="E90" s="2955"/>
      <c r="F90" s="2956"/>
      <c r="G90" s="1241">
        <f>(G86+G87)*5</f>
        <v>10</v>
      </c>
      <c r="H90" s="1571" t="s">
        <v>1347</v>
      </c>
      <c r="I90" s="1584"/>
      <c r="J90" s="1583">
        <v>48.48</v>
      </c>
      <c r="K90" s="2965">
        <f t="shared" si="0"/>
        <v>484.79999999999995</v>
      </c>
      <c r="L90" s="2966"/>
      <c r="M90" s="1128"/>
      <c r="N90" s="1128"/>
      <c r="O90" s="1136"/>
      <c r="P90" s="56"/>
      <c r="Q90" s="56"/>
      <c r="R90" s="56"/>
      <c r="S90" s="56"/>
    </row>
    <row r="91" spans="1:19" ht="15">
      <c r="A91" s="1134"/>
      <c r="B91" s="2954" t="s">
        <v>1518</v>
      </c>
      <c r="C91" s="2955"/>
      <c r="D91" s="2955"/>
      <c r="E91" s="2955"/>
      <c r="F91" s="2956"/>
      <c r="G91" s="1572">
        <f>ROUNDUP((M73+M79+L76+E76)/4.5,0)</f>
        <v>20</v>
      </c>
      <c r="H91" s="1573" t="s">
        <v>1347</v>
      </c>
      <c r="I91" s="1584"/>
      <c r="J91" s="1585">
        <v>48.48</v>
      </c>
      <c r="K91" s="2965">
        <f t="shared" si="0"/>
        <v>969.59999999999991</v>
      </c>
      <c r="L91" s="2966"/>
      <c r="M91" s="1128"/>
      <c r="N91" s="1128"/>
      <c r="O91" s="1136"/>
      <c r="P91" s="56"/>
      <c r="Q91" s="56"/>
      <c r="R91" s="56"/>
      <c r="S91" s="56"/>
    </row>
    <row r="92" spans="1:19" ht="15">
      <c r="A92" s="1134"/>
      <c r="B92" s="2954" t="s">
        <v>2140</v>
      </c>
      <c r="C92" s="2955"/>
      <c r="D92" s="2955"/>
      <c r="E92" s="2955"/>
      <c r="F92" s="2956"/>
      <c r="G92" s="1589">
        <v>0</v>
      </c>
      <c r="H92" s="1573" t="s">
        <v>1347</v>
      </c>
      <c r="I92" s="1584"/>
      <c r="J92" s="1585">
        <v>1570</v>
      </c>
      <c r="K92" s="2965">
        <f t="shared" si="0"/>
        <v>0</v>
      </c>
      <c r="L92" s="2966"/>
      <c r="M92" s="1128"/>
      <c r="N92" s="1128"/>
      <c r="O92" s="1136"/>
      <c r="P92" s="56"/>
      <c r="Q92" s="56"/>
      <c r="R92" s="56"/>
      <c r="S92" s="56"/>
    </row>
    <row r="93" spans="1:19" ht="15.75" thickBot="1">
      <c r="A93" s="1134"/>
      <c r="B93" s="2969"/>
      <c r="C93" s="2970"/>
      <c r="D93" s="2970"/>
      <c r="E93" s="2970"/>
      <c r="F93" s="2971"/>
      <c r="G93" s="1575">
        <f>ROUNDUP((M73+M79+L76+E76)/50,0)</f>
        <v>2</v>
      </c>
      <c r="H93" s="1574" t="s">
        <v>1347</v>
      </c>
      <c r="I93" s="1586"/>
      <c r="J93" s="1587"/>
      <c r="K93" s="2965">
        <f t="shared" si="0"/>
        <v>0</v>
      </c>
      <c r="L93" s="2966"/>
      <c r="M93" s="1128"/>
      <c r="N93" s="1128"/>
      <c r="O93" s="1136"/>
      <c r="P93" s="56"/>
      <c r="Q93" s="56"/>
      <c r="R93" s="56"/>
      <c r="S93" s="56"/>
    </row>
    <row r="94" spans="1:19" ht="16.5" thickBot="1">
      <c r="A94" s="1134"/>
      <c r="B94" s="2972" t="s">
        <v>626</v>
      </c>
      <c r="C94" s="2973"/>
      <c r="D94" s="2973"/>
      <c r="E94" s="2973"/>
      <c r="F94" s="2974"/>
      <c r="G94" s="1565"/>
      <c r="H94" s="1566"/>
      <c r="I94" s="1567"/>
      <c r="J94" s="1568"/>
      <c r="K94" s="2967">
        <f>SUM(K82:L93)</f>
        <v>57012.624570135747</v>
      </c>
      <c r="L94" s="2968"/>
      <c r="M94" s="1128"/>
      <c r="N94" s="1128"/>
      <c r="O94" s="1136"/>
      <c r="P94" s="56"/>
      <c r="Q94" s="56"/>
      <c r="R94" s="56"/>
      <c r="S94" s="56"/>
    </row>
    <row r="95" spans="1:19" ht="15">
      <c r="A95" s="1134"/>
      <c r="B95" s="1128"/>
      <c r="C95" s="1128"/>
      <c r="D95" s="1128"/>
      <c r="E95" s="1128"/>
      <c r="F95" s="1128"/>
      <c r="G95" s="1128"/>
      <c r="H95" s="1128"/>
      <c r="I95" s="1128"/>
      <c r="J95" s="1128"/>
      <c r="K95" s="1128"/>
      <c r="L95" s="1128"/>
      <c r="M95" s="1128"/>
      <c r="N95" s="1128"/>
      <c r="O95" s="1136"/>
      <c r="P95" s="56"/>
    </row>
    <row r="96" spans="1:19" ht="15.75" thickBot="1">
      <c r="A96" s="1559"/>
      <c r="B96" s="1560" t="s">
        <v>1345</v>
      </c>
      <c r="C96" s="1174"/>
      <c r="D96" s="1174"/>
      <c r="E96" s="1174"/>
      <c r="F96" s="1174"/>
      <c r="G96" s="1174"/>
      <c r="H96" s="1174"/>
      <c r="I96" s="1174"/>
      <c r="J96" s="1174"/>
      <c r="K96" s="1174"/>
      <c r="L96" s="1174"/>
      <c r="M96" s="1174"/>
      <c r="N96" s="1174"/>
      <c r="O96" s="1175"/>
      <c r="P96" s="56"/>
    </row>
  </sheetData>
  <sheetProtection formatCells="0" formatColumns="0" formatRows="0" insertColumns="0" insertRows="0" insertHyperlinks="0" deleteColumns="0" deleteRows="0" sort="0" autoFilter="0" pivotTables="0"/>
  <mergeCells count="43">
    <mergeCell ref="B84:F84"/>
    <mergeCell ref="B65:F65"/>
    <mergeCell ref="B66:F66"/>
    <mergeCell ref="B67:F67"/>
    <mergeCell ref="B68:F68"/>
    <mergeCell ref="B69:F69"/>
    <mergeCell ref="A44:E44"/>
    <mergeCell ref="B61:F61"/>
    <mergeCell ref="B62:F62"/>
    <mergeCell ref="B63:F63"/>
    <mergeCell ref="B64:F64"/>
    <mergeCell ref="K83:L83"/>
    <mergeCell ref="A59:O59"/>
    <mergeCell ref="B76:C76"/>
    <mergeCell ref="B81:F81"/>
    <mergeCell ref="C82:D82"/>
    <mergeCell ref="B83:F83"/>
    <mergeCell ref="K93:L93"/>
    <mergeCell ref="K94:L94"/>
    <mergeCell ref="B90:F90"/>
    <mergeCell ref="B91:F91"/>
    <mergeCell ref="B93:F93"/>
    <mergeCell ref="B94:F94"/>
    <mergeCell ref="B92:F92"/>
    <mergeCell ref="K92:L92"/>
    <mergeCell ref="K90:L90"/>
    <mergeCell ref="K91:L91"/>
    <mergeCell ref="K1:M1"/>
    <mergeCell ref="K89:L89"/>
    <mergeCell ref="B85:F85"/>
    <mergeCell ref="B86:F86"/>
    <mergeCell ref="B87:F87"/>
    <mergeCell ref="B88:F88"/>
    <mergeCell ref="B89:F89"/>
    <mergeCell ref="K84:L84"/>
    <mergeCell ref="K85:L85"/>
    <mergeCell ref="K86:L86"/>
    <mergeCell ref="K87:L87"/>
    <mergeCell ref="K88:L88"/>
    <mergeCell ref="J31:K31"/>
    <mergeCell ref="I65:J65"/>
    <mergeCell ref="K81:L81"/>
    <mergeCell ref="K82:L82"/>
  </mergeCells>
  <hyperlinks>
    <hyperlink ref="K1" location="INDEX!A1" display="INDEX!A1"/>
  </hyperlinks>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Equation.3" shapeId="12289" r:id="rId4">
          <objectPr defaultSize="0" autoPict="0" r:id="rId5">
            <anchor moveWithCells="1" sizeWithCells="1">
              <from>
                <xdr:col>2</xdr:col>
                <xdr:colOff>0</xdr:colOff>
                <xdr:row>2</xdr:row>
                <xdr:rowOff>0</xdr:rowOff>
              </from>
              <to>
                <xdr:col>4</xdr:col>
                <xdr:colOff>104775</xdr:colOff>
                <xdr:row>4</xdr:row>
                <xdr:rowOff>66675</xdr:rowOff>
              </to>
            </anchor>
          </objectPr>
        </oleObject>
      </mc:Choice>
      <mc:Fallback>
        <oleObject progId="Equation.3" shapeId="12289" r:id="rId4"/>
      </mc:Fallback>
    </mc:AlternateContent>
    <mc:AlternateContent xmlns:mc="http://schemas.openxmlformats.org/markup-compatibility/2006">
      <mc:Choice Requires="x14">
        <oleObject progId="Equation.3" shapeId="12290" r:id="rId6">
          <objectPr defaultSize="0" autoPict="0" r:id="rId7">
            <anchor moveWithCells="1" sizeWithCells="1">
              <from>
                <xdr:col>3</xdr:col>
                <xdr:colOff>0</xdr:colOff>
                <xdr:row>21</xdr:row>
                <xdr:rowOff>0</xdr:rowOff>
              </from>
              <to>
                <xdr:col>3</xdr:col>
                <xdr:colOff>390525</xdr:colOff>
                <xdr:row>23</xdr:row>
                <xdr:rowOff>28575</xdr:rowOff>
              </to>
            </anchor>
          </objectPr>
        </oleObject>
      </mc:Choice>
      <mc:Fallback>
        <oleObject progId="Equation.3" shapeId="12290" r:id="rId6"/>
      </mc:Fallback>
    </mc:AlternateContent>
    <mc:AlternateContent xmlns:mc="http://schemas.openxmlformats.org/markup-compatibility/2006">
      <mc:Choice Requires="x14">
        <oleObject progId="Equation.3" shapeId="12291" r:id="rId8">
          <objectPr defaultSize="0" autoPict="0" r:id="rId9">
            <anchor moveWithCells="1" sizeWithCells="1">
              <from>
                <xdr:col>9</xdr:col>
                <xdr:colOff>114300</xdr:colOff>
                <xdr:row>20</xdr:row>
                <xdr:rowOff>123825</xdr:rowOff>
              </from>
              <to>
                <xdr:col>9</xdr:col>
                <xdr:colOff>485775</xdr:colOff>
                <xdr:row>22</xdr:row>
                <xdr:rowOff>142875</xdr:rowOff>
              </to>
            </anchor>
          </objectPr>
        </oleObject>
      </mc:Choice>
      <mc:Fallback>
        <oleObject progId="Equation.3" shapeId="12291" r:id="rId8"/>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8080"/>
  </sheetPr>
  <dimension ref="B1:V92"/>
  <sheetViews>
    <sheetView showGridLines="0" zoomScale="77" zoomScaleNormal="77" workbookViewId="0">
      <selection activeCell="K1" sqref="K1:M1"/>
    </sheetView>
  </sheetViews>
  <sheetFormatPr defaultRowHeight="12.75"/>
  <cols>
    <col min="1" max="1" width="1.28515625" style="435" customWidth="1"/>
    <col min="2" max="2" width="2.7109375" style="435" customWidth="1"/>
    <col min="3" max="3" width="19.7109375" style="435" customWidth="1"/>
    <col min="4" max="4" width="13.42578125" style="435" customWidth="1"/>
    <col min="5" max="6" width="9.140625" style="435"/>
    <col min="7" max="7" width="6.28515625" style="435" customWidth="1"/>
    <col min="8" max="8" width="9.140625" style="435"/>
    <col min="9" max="9" width="4" style="435" customWidth="1"/>
    <col min="10" max="10" width="20.28515625" style="435" customWidth="1"/>
    <col min="11" max="11" width="13.7109375" style="435" customWidth="1"/>
    <col min="12" max="15" width="9.140625" style="435"/>
    <col min="16" max="16" width="2.140625" style="435" customWidth="1"/>
    <col min="17" max="17" width="24.85546875" style="435" customWidth="1"/>
    <col min="18" max="18" width="16" style="435" customWidth="1"/>
    <col min="19" max="257" width="9.140625" style="435"/>
    <col min="258" max="258" width="2.7109375" style="435" customWidth="1"/>
    <col min="259" max="259" width="14.7109375" style="435" customWidth="1"/>
    <col min="260" max="260" width="13.42578125" style="435" customWidth="1"/>
    <col min="261" max="262" width="9.140625" style="435"/>
    <col min="263" max="263" width="6.28515625" style="435" customWidth="1"/>
    <col min="264" max="265" width="9.140625" style="435"/>
    <col min="266" max="266" width="17.5703125" style="435" customWidth="1"/>
    <col min="267" max="267" width="11" style="435" customWidth="1"/>
    <col min="268" max="513" width="9.140625" style="435"/>
    <col min="514" max="514" width="2.7109375" style="435" customWidth="1"/>
    <col min="515" max="515" width="14.7109375" style="435" customWidth="1"/>
    <col min="516" max="516" width="13.42578125" style="435" customWidth="1"/>
    <col min="517" max="518" width="9.140625" style="435"/>
    <col min="519" max="519" width="6.28515625" style="435" customWidth="1"/>
    <col min="520" max="521" width="9.140625" style="435"/>
    <col min="522" max="522" width="17.5703125" style="435" customWidth="1"/>
    <col min="523" max="523" width="11" style="435" customWidth="1"/>
    <col min="524" max="769" width="9.140625" style="435"/>
    <col min="770" max="770" width="2.7109375" style="435" customWidth="1"/>
    <col min="771" max="771" width="14.7109375" style="435" customWidth="1"/>
    <col min="772" max="772" width="13.42578125" style="435" customWidth="1"/>
    <col min="773" max="774" width="9.140625" style="435"/>
    <col min="775" max="775" width="6.28515625" style="435" customWidth="1"/>
    <col min="776" max="777" width="9.140625" style="435"/>
    <col min="778" max="778" width="17.5703125" style="435" customWidth="1"/>
    <col min="779" max="779" width="11" style="435" customWidth="1"/>
    <col min="780" max="1025" width="9.140625" style="435"/>
    <col min="1026" max="1026" width="2.7109375" style="435" customWidth="1"/>
    <col min="1027" max="1027" width="14.7109375" style="435" customWidth="1"/>
    <col min="1028" max="1028" width="13.42578125" style="435" customWidth="1"/>
    <col min="1029" max="1030" width="9.140625" style="435"/>
    <col min="1031" max="1031" width="6.28515625" style="435" customWidth="1"/>
    <col min="1032" max="1033" width="9.140625" style="435"/>
    <col min="1034" max="1034" width="17.5703125" style="435" customWidth="1"/>
    <col min="1035" max="1035" width="11" style="435" customWidth="1"/>
    <col min="1036" max="1281" width="9.140625" style="435"/>
    <col min="1282" max="1282" width="2.7109375" style="435" customWidth="1"/>
    <col min="1283" max="1283" width="14.7109375" style="435" customWidth="1"/>
    <col min="1284" max="1284" width="13.42578125" style="435" customWidth="1"/>
    <col min="1285" max="1286" width="9.140625" style="435"/>
    <col min="1287" max="1287" width="6.28515625" style="435" customWidth="1"/>
    <col min="1288" max="1289" width="9.140625" style="435"/>
    <col min="1290" max="1290" width="17.5703125" style="435" customWidth="1"/>
    <col min="1291" max="1291" width="11" style="435" customWidth="1"/>
    <col min="1292" max="1537" width="9.140625" style="435"/>
    <col min="1538" max="1538" width="2.7109375" style="435" customWidth="1"/>
    <col min="1539" max="1539" width="14.7109375" style="435" customWidth="1"/>
    <col min="1540" max="1540" width="13.42578125" style="435" customWidth="1"/>
    <col min="1541" max="1542" width="9.140625" style="435"/>
    <col min="1543" max="1543" width="6.28515625" style="435" customWidth="1"/>
    <col min="1544" max="1545" width="9.140625" style="435"/>
    <col min="1546" max="1546" width="17.5703125" style="435" customWidth="1"/>
    <col min="1547" max="1547" width="11" style="435" customWidth="1"/>
    <col min="1548" max="1793" width="9.140625" style="435"/>
    <col min="1794" max="1794" width="2.7109375" style="435" customWidth="1"/>
    <col min="1795" max="1795" width="14.7109375" style="435" customWidth="1"/>
    <col min="1796" max="1796" width="13.42578125" style="435" customWidth="1"/>
    <col min="1797" max="1798" width="9.140625" style="435"/>
    <col min="1799" max="1799" width="6.28515625" style="435" customWidth="1"/>
    <col min="1800" max="1801" width="9.140625" style="435"/>
    <col min="1802" max="1802" width="17.5703125" style="435" customWidth="1"/>
    <col min="1803" max="1803" width="11" style="435" customWidth="1"/>
    <col min="1804" max="2049" width="9.140625" style="435"/>
    <col min="2050" max="2050" width="2.7109375" style="435" customWidth="1"/>
    <col min="2051" max="2051" width="14.7109375" style="435" customWidth="1"/>
    <col min="2052" max="2052" width="13.42578125" style="435" customWidth="1"/>
    <col min="2053" max="2054" width="9.140625" style="435"/>
    <col min="2055" max="2055" width="6.28515625" style="435" customWidth="1"/>
    <col min="2056" max="2057" width="9.140625" style="435"/>
    <col min="2058" max="2058" width="17.5703125" style="435" customWidth="1"/>
    <col min="2059" max="2059" width="11" style="435" customWidth="1"/>
    <col min="2060" max="2305" width="9.140625" style="435"/>
    <col min="2306" max="2306" width="2.7109375" style="435" customWidth="1"/>
    <col min="2307" max="2307" width="14.7109375" style="435" customWidth="1"/>
    <col min="2308" max="2308" width="13.42578125" style="435" customWidth="1"/>
    <col min="2309" max="2310" width="9.140625" style="435"/>
    <col min="2311" max="2311" width="6.28515625" style="435" customWidth="1"/>
    <col min="2312" max="2313" width="9.140625" style="435"/>
    <col min="2314" max="2314" width="17.5703125" style="435" customWidth="1"/>
    <col min="2315" max="2315" width="11" style="435" customWidth="1"/>
    <col min="2316" max="2561" width="9.140625" style="435"/>
    <col min="2562" max="2562" width="2.7109375" style="435" customWidth="1"/>
    <col min="2563" max="2563" width="14.7109375" style="435" customWidth="1"/>
    <col min="2564" max="2564" width="13.42578125" style="435" customWidth="1"/>
    <col min="2565" max="2566" width="9.140625" style="435"/>
    <col min="2567" max="2567" width="6.28515625" style="435" customWidth="1"/>
    <col min="2568" max="2569" width="9.140625" style="435"/>
    <col min="2570" max="2570" width="17.5703125" style="435" customWidth="1"/>
    <col min="2571" max="2571" width="11" style="435" customWidth="1"/>
    <col min="2572" max="2817" width="9.140625" style="435"/>
    <col min="2818" max="2818" width="2.7109375" style="435" customWidth="1"/>
    <col min="2819" max="2819" width="14.7109375" style="435" customWidth="1"/>
    <col min="2820" max="2820" width="13.42578125" style="435" customWidth="1"/>
    <col min="2821" max="2822" width="9.140625" style="435"/>
    <col min="2823" max="2823" width="6.28515625" style="435" customWidth="1"/>
    <col min="2824" max="2825" width="9.140625" style="435"/>
    <col min="2826" max="2826" width="17.5703125" style="435" customWidth="1"/>
    <col min="2827" max="2827" width="11" style="435" customWidth="1"/>
    <col min="2828" max="3073" width="9.140625" style="435"/>
    <col min="3074" max="3074" width="2.7109375" style="435" customWidth="1"/>
    <col min="3075" max="3075" width="14.7109375" style="435" customWidth="1"/>
    <col min="3076" max="3076" width="13.42578125" style="435" customWidth="1"/>
    <col min="3077" max="3078" width="9.140625" style="435"/>
    <col min="3079" max="3079" width="6.28515625" style="435" customWidth="1"/>
    <col min="3080" max="3081" width="9.140625" style="435"/>
    <col min="3082" max="3082" width="17.5703125" style="435" customWidth="1"/>
    <col min="3083" max="3083" width="11" style="435" customWidth="1"/>
    <col min="3084" max="3329" width="9.140625" style="435"/>
    <col min="3330" max="3330" width="2.7109375" style="435" customWidth="1"/>
    <col min="3331" max="3331" width="14.7109375" style="435" customWidth="1"/>
    <col min="3332" max="3332" width="13.42578125" style="435" customWidth="1"/>
    <col min="3333" max="3334" width="9.140625" style="435"/>
    <col min="3335" max="3335" width="6.28515625" style="435" customWidth="1"/>
    <col min="3336" max="3337" width="9.140625" style="435"/>
    <col min="3338" max="3338" width="17.5703125" style="435" customWidth="1"/>
    <col min="3339" max="3339" width="11" style="435" customWidth="1"/>
    <col min="3340" max="3585" width="9.140625" style="435"/>
    <col min="3586" max="3586" width="2.7109375" style="435" customWidth="1"/>
    <col min="3587" max="3587" width="14.7109375" style="435" customWidth="1"/>
    <col min="3588" max="3588" width="13.42578125" style="435" customWidth="1"/>
    <col min="3589" max="3590" width="9.140625" style="435"/>
    <col min="3591" max="3591" width="6.28515625" style="435" customWidth="1"/>
    <col min="3592" max="3593" width="9.140625" style="435"/>
    <col min="3594" max="3594" width="17.5703125" style="435" customWidth="1"/>
    <col min="3595" max="3595" width="11" style="435" customWidth="1"/>
    <col min="3596" max="3841" width="9.140625" style="435"/>
    <col min="3842" max="3842" width="2.7109375" style="435" customWidth="1"/>
    <col min="3843" max="3843" width="14.7109375" style="435" customWidth="1"/>
    <col min="3844" max="3844" width="13.42578125" style="435" customWidth="1"/>
    <col min="3845" max="3846" width="9.140625" style="435"/>
    <col min="3847" max="3847" width="6.28515625" style="435" customWidth="1"/>
    <col min="3848" max="3849" width="9.140625" style="435"/>
    <col min="3850" max="3850" width="17.5703125" style="435" customWidth="1"/>
    <col min="3851" max="3851" width="11" style="435" customWidth="1"/>
    <col min="3852" max="4097" width="9.140625" style="435"/>
    <col min="4098" max="4098" width="2.7109375" style="435" customWidth="1"/>
    <col min="4099" max="4099" width="14.7109375" style="435" customWidth="1"/>
    <col min="4100" max="4100" width="13.42578125" style="435" customWidth="1"/>
    <col min="4101" max="4102" width="9.140625" style="435"/>
    <col min="4103" max="4103" width="6.28515625" style="435" customWidth="1"/>
    <col min="4104" max="4105" width="9.140625" style="435"/>
    <col min="4106" max="4106" width="17.5703125" style="435" customWidth="1"/>
    <col min="4107" max="4107" width="11" style="435" customWidth="1"/>
    <col min="4108" max="4353" width="9.140625" style="435"/>
    <col min="4354" max="4354" width="2.7109375" style="435" customWidth="1"/>
    <col min="4355" max="4355" width="14.7109375" style="435" customWidth="1"/>
    <col min="4356" max="4356" width="13.42578125" style="435" customWidth="1"/>
    <col min="4357" max="4358" width="9.140625" style="435"/>
    <col min="4359" max="4359" width="6.28515625" style="435" customWidth="1"/>
    <col min="4360" max="4361" width="9.140625" style="435"/>
    <col min="4362" max="4362" width="17.5703125" style="435" customWidth="1"/>
    <col min="4363" max="4363" width="11" style="435" customWidth="1"/>
    <col min="4364" max="4609" width="9.140625" style="435"/>
    <col min="4610" max="4610" width="2.7109375" style="435" customWidth="1"/>
    <col min="4611" max="4611" width="14.7109375" style="435" customWidth="1"/>
    <col min="4612" max="4612" width="13.42578125" style="435" customWidth="1"/>
    <col min="4613" max="4614" width="9.140625" style="435"/>
    <col min="4615" max="4615" width="6.28515625" style="435" customWidth="1"/>
    <col min="4616" max="4617" width="9.140625" style="435"/>
    <col min="4618" max="4618" width="17.5703125" style="435" customWidth="1"/>
    <col min="4619" max="4619" width="11" style="435" customWidth="1"/>
    <col min="4620" max="4865" width="9.140625" style="435"/>
    <col min="4866" max="4866" width="2.7109375" style="435" customWidth="1"/>
    <col min="4867" max="4867" width="14.7109375" style="435" customWidth="1"/>
    <col min="4868" max="4868" width="13.42578125" style="435" customWidth="1"/>
    <col min="4869" max="4870" width="9.140625" style="435"/>
    <col min="4871" max="4871" width="6.28515625" style="435" customWidth="1"/>
    <col min="4872" max="4873" width="9.140625" style="435"/>
    <col min="4874" max="4874" width="17.5703125" style="435" customWidth="1"/>
    <col min="4875" max="4875" width="11" style="435" customWidth="1"/>
    <col min="4876" max="5121" width="9.140625" style="435"/>
    <col min="5122" max="5122" width="2.7109375" style="435" customWidth="1"/>
    <col min="5123" max="5123" width="14.7109375" style="435" customWidth="1"/>
    <col min="5124" max="5124" width="13.42578125" style="435" customWidth="1"/>
    <col min="5125" max="5126" width="9.140625" style="435"/>
    <col min="5127" max="5127" width="6.28515625" style="435" customWidth="1"/>
    <col min="5128" max="5129" width="9.140625" style="435"/>
    <col min="5130" max="5130" width="17.5703125" style="435" customWidth="1"/>
    <col min="5131" max="5131" width="11" style="435" customWidth="1"/>
    <col min="5132" max="5377" width="9.140625" style="435"/>
    <col min="5378" max="5378" width="2.7109375" style="435" customWidth="1"/>
    <col min="5379" max="5379" width="14.7109375" style="435" customWidth="1"/>
    <col min="5380" max="5380" width="13.42578125" style="435" customWidth="1"/>
    <col min="5381" max="5382" width="9.140625" style="435"/>
    <col min="5383" max="5383" width="6.28515625" style="435" customWidth="1"/>
    <col min="5384" max="5385" width="9.140625" style="435"/>
    <col min="5386" max="5386" width="17.5703125" style="435" customWidth="1"/>
    <col min="5387" max="5387" width="11" style="435" customWidth="1"/>
    <col min="5388" max="5633" width="9.140625" style="435"/>
    <col min="5634" max="5634" width="2.7109375" style="435" customWidth="1"/>
    <col min="5635" max="5635" width="14.7109375" style="435" customWidth="1"/>
    <col min="5636" max="5636" width="13.42578125" style="435" customWidth="1"/>
    <col min="5637" max="5638" width="9.140625" style="435"/>
    <col min="5639" max="5639" width="6.28515625" style="435" customWidth="1"/>
    <col min="5640" max="5641" width="9.140625" style="435"/>
    <col min="5642" max="5642" width="17.5703125" style="435" customWidth="1"/>
    <col min="5643" max="5643" width="11" style="435" customWidth="1"/>
    <col min="5644" max="5889" width="9.140625" style="435"/>
    <col min="5890" max="5890" width="2.7109375" style="435" customWidth="1"/>
    <col min="5891" max="5891" width="14.7109375" style="435" customWidth="1"/>
    <col min="5892" max="5892" width="13.42578125" style="435" customWidth="1"/>
    <col min="5893" max="5894" width="9.140625" style="435"/>
    <col min="5895" max="5895" width="6.28515625" style="435" customWidth="1"/>
    <col min="5896" max="5897" width="9.140625" style="435"/>
    <col min="5898" max="5898" width="17.5703125" style="435" customWidth="1"/>
    <col min="5899" max="5899" width="11" style="435" customWidth="1"/>
    <col min="5900" max="6145" width="9.140625" style="435"/>
    <col min="6146" max="6146" width="2.7109375" style="435" customWidth="1"/>
    <col min="6147" max="6147" width="14.7109375" style="435" customWidth="1"/>
    <col min="6148" max="6148" width="13.42578125" style="435" customWidth="1"/>
    <col min="6149" max="6150" width="9.140625" style="435"/>
    <col min="6151" max="6151" width="6.28515625" style="435" customWidth="1"/>
    <col min="6152" max="6153" width="9.140625" style="435"/>
    <col min="6154" max="6154" width="17.5703125" style="435" customWidth="1"/>
    <col min="6155" max="6155" width="11" style="435" customWidth="1"/>
    <col min="6156" max="6401" width="9.140625" style="435"/>
    <col min="6402" max="6402" width="2.7109375" style="435" customWidth="1"/>
    <col min="6403" max="6403" width="14.7109375" style="435" customWidth="1"/>
    <col min="6404" max="6404" width="13.42578125" style="435" customWidth="1"/>
    <col min="6405" max="6406" width="9.140625" style="435"/>
    <col min="6407" max="6407" width="6.28515625" style="435" customWidth="1"/>
    <col min="6408" max="6409" width="9.140625" style="435"/>
    <col min="6410" max="6410" width="17.5703125" style="435" customWidth="1"/>
    <col min="6411" max="6411" width="11" style="435" customWidth="1"/>
    <col min="6412" max="6657" width="9.140625" style="435"/>
    <col min="6658" max="6658" width="2.7109375" style="435" customWidth="1"/>
    <col min="6659" max="6659" width="14.7109375" style="435" customWidth="1"/>
    <col min="6660" max="6660" width="13.42578125" style="435" customWidth="1"/>
    <col min="6661" max="6662" width="9.140625" style="435"/>
    <col min="6663" max="6663" width="6.28515625" style="435" customWidth="1"/>
    <col min="6664" max="6665" width="9.140625" style="435"/>
    <col min="6666" max="6666" width="17.5703125" style="435" customWidth="1"/>
    <col min="6667" max="6667" width="11" style="435" customWidth="1"/>
    <col min="6668" max="6913" width="9.140625" style="435"/>
    <col min="6914" max="6914" width="2.7109375" style="435" customWidth="1"/>
    <col min="6915" max="6915" width="14.7109375" style="435" customWidth="1"/>
    <col min="6916" max="6916" width="13.42578125" style="435" customWidth="1"/>
    <col min="6917" max="6918" width="9.140625" style="435"/>
    <col min="6919" max="6919" width="6.28515625" style="435" customWidth="1"/>
    <col min="6920" max="6921" width="9.140625" style="435"/>
    <col min="6922" max="6922" width="17.5703125" style="435" customWidth="1"/>
    <col min="6923" max="6923" width="11" style="435" customWidth="1"/>
    <col min="6924" max="7169" width="9.140625" style="435"/>
    <col min="7170" max="7170" width="2.7109375" style="435" customWidth="1"/>
    <col min="7171" max="7171" width="14.7109375" style="435" customWidth="1"/>
    <col min="7172" max="7172" width="13.42578125" style="435" customWidth="1"/>
    <col min="7173" max="7174" width="9.140625" style="435"/>
    <col min="7175" max="7175" width="6.28515625" style="435" customWidth="1"/>
    <col min="7176" max="7177" width="9.140625" style="435"/>
    <col min="7178" max="7178" width="17.5703125" style="435" customWidth="1"/>
    <col min="7179" max="7179" width="11" style="435" customWidth="1"/>
    <col min="7180" max="7425" width="9.140625" style="435"/>
    <col min="7426" max="7426" width="2.7109375" style="435" customWidth="1"/>
    <col min="7427" max="7427" width="14.7109375" style="435" customWidth="1"/>
    <col min="7428" max="7428" width="13.42578125" style="435" customWidth="1"/>
    <col min="7429" max="7430" width="9.140625" style="435"/>
    <col min="7431" max="7431" width="6.28515625" style="435" customWidth="1"/>
    <col min="7432" max="7433" width="9.140625" style="435"/>
    <col min="7434" max="7434" width="17.5703125" style="435" customWidth="1"/>
    <col min="7435" max="7435" width="11" style="435" customWidth="1"/>
    <col min="7436" max="7681" width="9.140625" style="435"/>
    <col min="7682" max="7682" width="2.7109375" style="435" customWidth="1"/>
    <col min="7683" max="7683" width="14.7109375" style="435" customWidth="1"/>
    <col min="7684" max="7684" width="13.42578125" style="435" customWidth="1"/>
    <col min="7685" max="7686" width="9.140625" style="435"/>
    <col min="7687" max="7687" width="6.28515625" style="435" customWidth="1"/>
    <col min="7688" max="7689" width="9.140625" style="435"/>
    <col min="7690" max="7690" width="17.5703125" style="435" customWidth="1"/>
    <col min="7691" max="7691" width="11" style="435" customWidth="1"/>
    <col min="7692" max="7937" width="9.140625" style="435"/>
    <col min="7938" max="7938" width="2.7109375" style="435" customWidth="1"/>
    <col min="7939" max="7939" width="14.7109375" style="435" customWidth="1"/>
    <col min="7940" max="7940" width="13.42578125" style="435" customWidth="1"/>
    <col min="7941" max="7942" width="9.140625" style="435"/>
    <col min="7943" max="7943" width="6.28515625" style="435" customWidth="1"/>
    <col min="7944" max="7945" width="9.140625" style="435"/>
    <col min="7946" max="7946" width="17.5703125" style="435" customWidth="1"/>
    <col min="7947" max="7947" width="11" style="435" customWidth="1"/>
    <col min="7948" max="8193" width="9.140625" style="435"/>
    <col min="8194" max="8194" width="2.7109375" style="435" customWidth="1"/>
    <col min="8195" max="8195" width="14.7109375" style="435" customWidth="1"/>
    <col min="8196" max="8196" width="13.42578125" style="435" customWidth="1"/>
    <col min="8197" max="8198" width="9.140625" style="435"/>
    <col min="8199" max="8199" width="6.28515625" style="435" customWidth="1"/>
    <col min="8200" max="8201" width="9.140625" style="435"/>
    <col min="8202" max="8202" width="17.5703125" style="435" customWidth="1"/>
    <col min="8203" max="8203" width="11" style="435" customWidth="1"/>
    <col min="8204" max="8449" width="9.140625" style="435"/>
    <col min="8450" max="8450" width="2.7109375" style="435" customWidth="1"/>
    <col min="8451" max="8451" width="14.7109375" style="435" customWidth="1"/>
    <col min="8452" max="8452" width="13.42578125" style="435" customWidth="1"/>
    <col min="8453" max="8454" width="9.140625" style="435"/>
    <col min="8455" max="8455" width="6.28515625" style="435" customWidth="1"/>
    <col min="8456" max="8457" width="9.140625" style="435"/>
    <col min="8458" max="8458" width="17.5703125" style="435" customWidth="1"/>
    <col min="8459" max="8459" width="11" style="435" customWidth="1"/>
    <col min="8460" max="8705" width="9.140625" style="435"/>
    <col min="8706" max="8706" width="2.7109375" style="435" customWidth="1"/>
    <col min="8707" max="8707" width="14.7109375" style="435" customWidth="1"/>
    <col min="8708" max="8708" width="13.42578125" style="435" customWidth="1"/>
    <col min="8709" max="8710" width="9.140625" style="435"/>
    <col min="8711" max="8711" width="6.28515625" style="435" customWidth="1"/>
    <col min="8712" max="8713" width="9.140625" style="435"/>
    <col min="8714" max="8714" width="17.5703125" style="435" customWidth="1"/>
    <col min="8715" max="8715" width="11" style="435" customWidth="1"/>
    <col min="8716" max="8961" width="9.140625" style="435"/>
    <col min="8962" max="8962" width="2.7109375" style="435" customWidth="1"/>
    <col min="8963" max="8963" width="14.7109375" style="435" customWidth="1"/>
    <col min="8964" max="8964" width="13.42578125" style="435" customWidth="1"/>
    <col min="8965" max="8966" width="9.140625" style="435"/>
    <col min="8967" max="8967" width="6.28515625" style="435" customWidth="1"/>
    <col min="8968" max="8969" width="9.140625" style="435"/>
    <col min="8970" max="8970" width="17.5703125" style="435" customWidth="1"/>
    <col min="8971" max="8971" width="11" style="435" customWidth="1"/>
    <col min="8972" max="9217" width="9.140625" style="435"/>
    <col min="9218" max="9218" width="2.7109375" style="435" customWidth="1"/>
    <col min="9219" max="9219" width="14.7109375" style="435" customWidth="1"/>
    <col min="9220" max="9220" width="13.42578125" style="435" customWidth="1"/>
    <col min="9221" max="9222" width="9.140625" style="435"/>
    <col min="9223" max="9223" width="6.28515625" style="435" customWidth="1"/>
    <col min="9224" max="9225" width="9.140625" style="435"/>
    <col min="9226" max="9226" width="17.5703125" style="435" customWidth="1"/>
    <col min="9227" max="9227" width="11" style="435" customWidth="1"/>
    <col min="9228" max="9473" width="9.140625" style="435"/>
    <col min="9474" max="9474" width="2.7109375" style="435" customWidth="1"/>
    <col min="9475" max="9475" width="14.7109375" style="435" customWidth="1"/>
    <col min="9476" max="9476" width="13.42578125" style="435" customWidth="1"/>
    <col min="9477" max="9478" width="9.140625" style="435"/>
    <col min="9479" max="9479" width="6.28515625" style="435" customWidth="1"/>
    <col min="9480" max="9481" width="9.140625" style="435"/>
    <col min="9482" max="9482" width="17.5703125" style="435" customWidth="1"/>
    <col min="9483" max="9483" width="11" style="435" customWidth="1"/>
    <col min="9484" max="9729" width="9.140625" style="435"/>
    <col min="9730" max="9730" width="2.7109375" style="435" customWidth="1"/>
    <col min="9731" max="9731" width="14.7109375" style="435" customWidth="1"/>
    <col min="9732" max="9732" width="13.42578125" style="435" customWidth="1"/>
    <col min="9733" max="9734" width="9.140625" style="435"/>
    <col min="9735" max="9735" width="6.28515625" style="435" customWidth="1"/>
    <col min="9736" max="9737" width="9.140625" style="435"/>
    <col min="9738" max="9738" width="17.5703125" style="435" customWidth="1"/>
    <col min="9739" max="9739" width="11" style="435" customWidth="1"/>
    <col min="9740" max="9985" width="9.140625" style="435"/>
    <col min="9986" max="9986" width="2.7109375" style="435" customWidth="1"/>
    <col min="9987" max="9987" width="14.7109375" style="435" customWidth="1"/>
    <col min="9988" max="9988" width="13.42578125" style="435" customWidth="1"/>
    <col min="9989" max="9990" width="9.140625" style="435"/>
    <col min="9991" max="9991" width="6.28515625" style="435" customWidth="1"/>
    <col min="9992" max="9993" width="9.140625" style="435"/>
    <col min="9994" max="9994" width="17.5703125" style="435" customWidth="1"/>
    <col min="9995" max="9995" width="11" style="435" customWidth="1"/>
    <col min="9996" max="10241" width="9.140625" style="435"/>
    <col min="10242" max="10242" width="2.7109375" style="435" customWidth="1"/>
    <col min="10243" max="10243" width="14.7109375" style="435" customWidth="1"/>
    <col min="10244" max="10244" width="13.42578125" style="435" customWidth="1"/>
    <col min="10245" max="10246" width="9.140625" style="435"/>
    <col min="10247" max="10247" width="6.28515625" style="435" customWidth="1"/>
    <col min="10248" max="10249" width="9.140625" style="435"/>
    <col min="10250" max="10250" width="17.5703125" style="435" customWidth="1"/>
    <col min="10251" max="10251" width="11" style="435" customWidth="1"/>
    <col min="10252" max="10497" width="9.140625" style="435"/>
    <col min="10498" max="10498" width="2.7109375" style="435" customWidth="1"/>
    <col min="10499" max="10499" width="14.7109375" style="435" customWidth="1"/>
    <col min="10500" max="10500" width="13.42578125" style="435" customWidth="1"/>
    <col min="10501" max="10502" width="9.140625" style="435"/>
    <col min="10503" max="10503" width="6.28515625" style="435" customWidth="1"/>
    <col min="10504" max="10505" width="9.140625" style="435"/>
    <col min="10506" max="10506" width="17.5703125" style="435" customWidth="1"/>
    <col min="10507" max="10507" width="11" style="435" customWidth="1"/>
    <col min="10508" max="10753" width="9.140625" style="435"/>
    <col min="10754" max="10754" width="2.7109375" style="435" customWidth="1"/>
    <col min="10755" max="10755" width="14.7109375" style="435" customWidth="1"/>
    <col min="10756" max="10756" width="13.42578125" style="435" customWidth="1"/>
    <col min="10757" max="10758" width="9.140625" style="435"/>
    <col min="10759" max="10759" width="6.28515625" style="435" customWidth="1"/>
    <col min="10760" max="10761" width="9.140625" style="435"/>
    <col min="10762" max="10762" width="17.5703125" style="435" customWidth="1"/>
    <col min="10763" max="10763" width="11" style="435" customWidth="1"/>
    <col min="10764" max="11009" width="9.140625" style="435"/>
    <col min="11010" max="11010" width="2.7109375" style="435" customWidth="1"/>
    <col min="11011" max="11011" width="14.7109375" style="435" customWidth="1"/>
    <col min="11012" max="11012" width="13.42578125" style="435" customWidth="1"/>
    <col min="11013" max="11014" width="9.140625" style="435"/>
    <col min="11015" max="11015" width="6.28515625" style="435" customWidth="1"/>
    <col min="11016" max="11017" width="9.140625" style="435"/>
    <col min="11018" max="11018" width="17.5703125" style="435" customWidth="1"/>
    <col min="11019" max="11019" width="11" style="435" customWidth="1"/>
    <col min="11020" max="11265" width="9.140625" style="435"/>
    <col min="11266" max="11266" width="2.7109375" style="435" customWidth="1"/>
    <col min="11267" max="11267" width="14.7109375" style="435" customWidth="1"/>
    <col min="11268" max="11268" width="13.42578125" style="435" customWidth="1"/>
    <col min="11269" max="11270" width="9.140625" style="435"/>
    <col min="11271" max="11271" width="6.28515625" style="435" customWidth="1"/>
    <col min="11272" max="11273" width="9.140625" style="435"/>
    <col min="11274" max="11274" width="17.5703125" style="435" customWidth="1"/>
    <col min="11275" max="11275" width="11" style="435" customWidth="1"/>
    <col min="11276" max="11521" width="9.140625" style="435"/>
    <col min="11522" max="11522" width="2.7109375" style="435" customWidth="1"/>
    <col min="11523" max="11523" width="14.7109375" style="435" customWidth="1"/>
    <col min="11524" max="11524" width="13.42578125" style="435" customWidth="1"/>
    <col min="11525" max="11526" width="9.140625" style="435"/>
    <col min="11527" max="11527" width="6.28515625" style="435" customWidth="1"/>
    <col min="11528" max="11529" width="9.140625" style="435"/>
    <col min="11530" max="11530" width="17.5703125" style="435" customWidth="1"/>
    <col min="11531" max="11531" width="11" style="435" customWidth="1"/>
    <col min="11532" max="11777" width="9.140625" style="435"/>
    <col min="11778" max="11778" width="2.7109375" style="435" customWidth="1"/>
    <col min="11779" max="11779" width="14.7109375" style="435" customWidth="1"/>
    <col min="11780" max="11780" width="13.42578125" style="435" customWidth="1"/>
    <col min="11781" max="11782" width="9.140625" style="435"/>
    <col min="11783" max="11783" width="6.28515625" style="435" customWidth="1"/>
    <col min="11784" max="11785" width="9.140625" style="435"/>
    <col min="11786" max="11786" width="17.5703125" style="435" customWidth="1"/>
    <col min="11787" max="11787" width="11" style="435" customWidth="1"/>
    <col min="11788" max="12033" width="9.140625" style="435"/>
    <col min="12034" max="12034" width="2.7109375" style="435" customWidth="1"/>
    <col min="12035" max="12035" width="14.7109375" style="435" customWidth="1"/>
    <col min="12036" max="12036" width="13.42578125" style="435" customWidth="1"/>
    <col min="12037" max="12038" width="9.140625" style="435"/>
    <col min="12039" max="12039" width="6.28515625" style="435" customWidth="1"/>
    <col min="12040" max="12041" width="9.140625" style="435"/>
    <col min="12042" max="12042" width="17.5703125" style="435" customWidth="1"/>
    <col min="12043" max="12043" width="11" style="435" customWidth="1"/>
    <col min="12044" max="12289" width="9.140625" style="435"/>
    <col min="12290" max="12290" width="2.7109375" style="435" customWidth="1"/>
    <col min="12291" max="12291" width="14.7109375" style="435" customWidth="1"/>
    <col min="12292" max="12292" width="13.42578125" style="435" customWidth="1"/>
    <col min="12293" max="12294" width="9.140625" style="435"/>
    <col min="12295" max="12295" width="6.28515625" style="435" customWidth="1"/>
    <col min="12296" max="12297" width="9.140625" style="435"/>
    <col min="12298" max="12298" width="17.5703125" style="435" customWidth="1"/>
    <col min="12299" max="12299" width="11" style="435" customWidth="1"/>
    <col min="12300" max="12545" width="9.140625" style="435"/>
    <col min="12546" max="12546" width="2.7109375" style="435" customWidth="1"/>
    <col min="12547" max="12547" width="14.7109375" style="435" customWidth="1"/>
    <col min="12548" max="12548" width="13.42578125" style="435" customWidth="1"/>
    <col min="12549" max="12550" width="9.140625" style="435"/>
    <col min="12551" max="12551" width="6.28515625" style="435" customWidth="1"/>
    <col min="12552" max="12553" width="9.140625" style="435"/>
    <col min="12554" max="12554" width="17.5703125" style="435" customWidth="1"/>
    <col min="12555" max="12555" width="11" style="435" customWidth="1"/>
    <col min="12556" max="12801" width="9.140625" style="435"/>
    <col min="12802" max="12802" width="2.7109375" style="435" customWidth="1"/>
    <col min="12803" max="12803" width="14.7109375" style="435" customWidth="1"/>
    <col min="12804" max="12804" width="13.42578125" style="435" customWidth="1"/>
    <col min="12805" max="12806" width="9.140625" style="435"/>
    <col min="12807" max="12807" width="6.28515625" style="435" customWidth="1"/>
    <col min="12808" max="12809" width="9.140625" style="435"/>
    <col min="12810" max="12810" width="17.5703125" style="435" customWidth="1"/>
    <col min="12811" max="12811" width="11" style="435" customWidth="1"/>
    <col min="12812" max="13057" width="9.140625" style="435"/>
    <col min="13058" max="13058" width="2.7109375" style="435" customWidth="1"/>
    <col min="13059" max="13059" width="14.7109375" style="435" customWidth="1"/>
    <col min="13060" max="13060" width="13.42578125" style="435" customWidth="1"/>
    <col min="13061" max="13062" width="9.140625" style="435"/>
    <col min="13063" max="13063" width="6.28515625" style="435" customWidth="1"/>
    <col min="13064" max="13065" width="9.140625" style="435"/>
    <col min="13066" max="13066" width="17.5703125" style="435" customWidth="1"/>
    <col min="13067" max="13067" width="11" style="435" customWidth="1"/>
    <col min="13068" max="13313" width="9.140625" style="435"/>
    <col min="13314" max="13314" width="2.7109375" style="435" customWidth="1"/>
    <col min="13315" max="13315" width="14.7109375" style="435" customWidth="1"/>
    <col min="13316" max="13316" width="13.42578125" style="435" customWidth="1"/>
    <col min="13317" max="13318" width="9.140625" style="435"/>
    <col min="13319" max="13319" width="6.28515625" style="435" customWidth="1"/>
    <col min="13320" max="13321" width="9.140625" style="435"/>
    <col min="13322" max="13322" width="17.5703125" style="435" customWidth="1"/>
    <col min="13323" max="13323" width="11" style="435" customWidth="1"/>
    <col min="13324" max="13569" width="9.140625" style="435"/>
    <col min="13570" max="13570" width="2.7109375" style="435" customWidth="1"/>
    <col min="13571" max="13571" width="14.7109375" style="435" customWidth="1"/>
    <col min="13572" max="13572" width="13.42578125" style="435" customWidth="1"/>
    <col min="13573" max="13574" width="9.140625" style="435"/>
    <col min="13575" max="13575" width="6.28515625" style="435" customWidth="1"/>
    <col min="13576" max="13577" width="9.140625" style="435"/>
    <col min="13578" max="13578" width="17.5703125" style="435" customWidth="1"/>
    <col min="13579" max="13579" width="11" style="435" customWidth="1"/>
    <col min="13580" max="13825" width="9.140625" style="435"/>
    <col min="13826" max="13826" width="2.7109375" style="435" customWidth="1"/>
    <col min="13827" max="13827" width="14.7109375" style="435" customWidth="1"/>
    <col min="13828" max="13828" width="13.42578125" style="435" customWidth="1"/>
    <col min="13829" max="13830" width="9.140625" style="435"/>
    <col min="13831" max="13831" width="6.28515625" style="435" customWidth="1"/>
    <col min="13832" max="13833" width="9.140625" style="435"/>
    <col min="13834" max="13834" width="17.5703125" style="435" customWidth="1"/>
    <col min="13835" max="13835" width="11" style="435" customWidth="1"/>
    <col min="13836" max="14081" width="9.140625" style="435"/>
    <col min="14082" max="14082" width="2.7109375" style="435" customWidth="1"/>
    <col min="14083" max="14083" width="14.7109375" style="435" customWidth="1"/>
    <col min="14084" max="14084" width="13.42578125" style="435" customWidth="1"/>
    <col min="14085" max="14086" width="9.140625" style="435"/>
    <col min="14087" max="14087" width="6.28515625" style="435" customWidth="1"/>
    <col min="14088" max="14089" width="9.140625" style="435"/>
    <col min="14090" max="14090" width="17.5703125" style="435" customWidth="1"/>
    <col min="14091" max="14091" width="11" style="435" customWidth="1"/>
    <col min="14092" max="14337" width="9.140625" style="435"/>
    <col min="14338" max="14338" width="2.7109375" style="435" customWidth="1"/>
    <col min="14339" max="14339" width="14.7109375" style="435" customWidth="1"/>
    <col min="14340" max="14340" width="13.42578125" style="435" customWidth="1"/>
    <col min="14341" max="14342" width="9.140625" style="435"/>
    <col min="14343" max="14343" width="6.28515625" style="435" customWidth="1"/>
    <col min="14344" max="14345" width="9.140625" style="435"/>
    <col min="14346" max="14346" width="17.5703125" style="435" customWidth="1"/>
    <col min="14347" max="14347" width="11" style="435" customWidth="1"/>
    <col min="14348" max="14593" width="9.140625" style="435"/>
    <col min="14594" max="14594" width="2.7109375" style="435" customWidth="1"/>
    <col min="14595" max="14595" width="14.7109375" style="435" customWidth="1"/>
    <col min="14596" max="14596" width="13.42578125" style="435" customWidth="1"/>
    <col min="14597" max="14598" width="9.140625" style="435"/>
    <col min="14599" max="14599" width="6.28515625" style="435" customWidth="1"/>
    <col min="14600" max="14601" width="9.140625" style="435"/>
    <col min="14602" max="14602" width="17.5703125" style="435" customWidth="1"/>
    <col min="14603" max="14603" width="11" style="435" customWidth="1"/>
    <col min="14604" max="14849" width="9.140625" style="435"/>
    <col min="14850" max="14850" width="2.7109375" style="435" customWidth="1"/>
    <col min="14851" max="14851" width="14.7109375" style="435" customWidth="1"/>
    <col min="14852" max="14852" width="13.42578125" style="435" customWidth="1"/>
    <col min="14853" max="14854" width="9.140625" style="435"/>
    <col min="14855" max="14855" width="6.28515625" style="435" customWidth="1"/>
    <col min="14856" max="14857" width="9.140625" style="435"/>
    <col min="14858" max="14858" width="17.5703125" style="435" customWidth="1"/>
    <col min="14859" max="14859" width="11" style="435" customWidth="1"/>
    <col min="14860" max="15105" width="9.140625" style="435"/>
    <col min="15106" max="15106" width="2.7109375" style="435" customWidth="1"/>
    <col min="15107" max="15107" width="14.7109375" style="435" customWidth="1"/>
    <col min="15108" max="15108" width="13.42578125" style="435" customWidth="1"/>
    <col min="15109" max="15110" width="9.140625" style="435"/>
    <col min="15111" max="15111" width="6.28515625" style="435" customWidth="1"/>
    <col min="15112" max="15113" width="9.140625" style="435"/>
    <col min="15114" max="15114" width="17.5703125" style="435" customWidth="1"/>
    <col min="15115" max="15115" width="11" style="435" customWidth="1"/>
    <col min="15116" max="15361" width="9.140625" style="435"/>
    <col min="15362" max="15362" width="2.7109375" style="435" customWidth="1"/>
    <col min="15363" max="15363" width="14.7109375" style="435" customWidth="1"/>
    <col min="15364" max="15364" width="13.42578125" style="435" customWidth="1"/>
    <col min="15365" max="15366" width="9.140625" style="435"/>
    <col min="15367" max="15367" width="6.28515625" style="435" customWidth="1"/>
    <col min="15368" max="15369" width="9.140625" style="435"/>
    <col min="15370" max="15370" width="17.5703125" style="435" customWidth="1"/>
    <col min="15371" max="15371" width="11" style="435" customWidth="1"/>
    <col min="15372" max="15617" width="9.140625" style="435"/>
    <col min="15618" max="15618" width="2.7109375" style="435" customWidth="1"/>
    <col min="15619" max="15619" width="14.7109375" style="435" customWidth="1"/>
    <col min="15620" max="15620" width="13.42578125" style="435" customWidth="1"/>
    <col min="15621" max="15622" width="9.140625" style="435"/>
    <col min="15623" max="15623" width="6.28515625" style="435" customWidth="1"/>
    <col min="15624" max="15625" width="9.140625" style="435"/>
    <col min="15626" max="15626" width="17.5703125" style="435" customWidth="1"/>
    <col min="15627" max="15627" width="11" style="435" customWidth="1"/>
    <col min="15628" max="15873" width="9.140625" style="435"/>
    <col min="15874" max="15874" width="2.7109375" style="435" customWidth="1"/>
    <col min="15875" max="15875" width="14.7109375" style="435" customWidth="1"/>
    <col min="15876" max="15876" width="13.42578125" style="435" customWidth="1"/>
    <col min="15877" max="15878" width="9.140625" style="435"/>
    <col min="15879" max="15879" width="6.28515625" style="435" customWidth="1"/>
    <col min="15880" max="15881" width="9.140625" style="435"/>
    <col min="15882" max="15882" width="17.5703125" style="435" customWidth="1"/>
    <col min="15883" max="15883" width="11" style="435" customWidth="1"/>
    <col min="15884" max="16129" width="9.140625" style="435"/>
    <col min="16130" max="16130" width="2.7109375" style="435" customWidth="1"/>
    <col min="16131" max="16131" width="14.7109375" style="435" customWidth="1"/>
    <col min="16132" max="16132" width="13.42578125" style="435" customWidth="1"/>
    <col min="16133" max="16134" width="9.140625" style="435"/>
    <col min="16135" max="16135" width="6.28515625" style="435" customWidth="1"/>
    <col min="16136" max="16137" width="9.140625" style="435"/>
    <col min="16138" max="16138" width="17.5703125" style="435" customWidth="1"/>
    <col min="16139" max="16139" width="11" style="435" customWidth="1"/>
    <col min="16140" max="16384" width="9.140625" style="435"/>
  </cols>
  <sheetData>
    <row r="1" spans="2:22" ht="24" thickBot="1">
      <c r="K1" s="2997" t="s">
        <v>1749</v>
      </c>
      <c r="L1" s="2998"/>
      <c r="M1" s="2999"/>
    </row>
    <row r="2" spans="2:22" ht="13.5" thickTop="1">
      <c r="B2" s="2610"/>
      <c r="C2" s="2611" t="s">
        <v>882</v>
      </c>
      <c r="D2" s="2612"/>
      <c r="E2" s="2612" t="s">
        <v>883</v>
      </c>
      <c r="F2" s="2612"/>
      <c r="G2" s="2612"/>
      <c r="H2" s="2613"/>
      <c r="I2" s="2614"/>
      <c r="J2" s="2611" t="s">
        <v>882</v>
      </c>
      <c r="K2" s="2612"/>
      <c r="L2" s="2615" t="s">
        <v>884</v>
      </c>
      <c r="M2" s="2612"/>
      <c r="N2" s="2612"/>
      <c r="O2" s="2616"/>
      <c r="P2" s="507"/>
      <c r="Q2" s="1871" t="s">
        <v>882</v>
      </c>
      <c r="R2" s="2609" t="s">
        <v>2137</v>
      </c>
      <c r="S2" s="507"/>
      <c r="T2" s="507"/>
      <c r="U2" s="507"/>
      <c r="V2" s="708"/>
    </row>
    <row r="3" spans="2:22" ht="13.5" thickBot="1">
      <c r="B3" s="2617"/>
      <c r="C3" s="561"/>
      <c r="D3" s="438"/>
      <c r="E3" s="438"/>
      <c r="F3" s="438"/>
      <c r="G3" s="438"/>
      <c r="H3" s="710"/>
      <c r="I3" s="489"/>
      <c r="J3" s="561"/>
      <c r="K3" s="438"/>
      <c r="L3" s="438"/>
      <c r="M3" s="438"/>
      <c r="N3" s="438"/>
      <c r="O3" s="2618"/>
      <c r="P3" s="438"/>
      <c r="Q3" s="1872" t="s">
        <v>1693</v>
      </c>
      <c r="R3" s="438"/>
      <c r="S3" s="438"/>
      <c r="T3" s="438"/>
      <c r="U3" s="438"/>
      <c r="V3" s="710"/>
    </row>
    <row r="4" spans="2:22" ht="14.25">
      <c r="B4" s="2617"/>
      <c r="C4" s="711" t="s">
        <v>191</v>
      </c>
      <c r="D4" s="437" t="s">
        <v>600</v>
      </c>
      <c r="E4" s="438"/>
      <c r="F4" s="438"/>
      <c r="G4" s="712"/>
      <c r="H4" s="713"/>
      <c r="I4" s="489"/>
      <c r="J4" s="711" t="s">
        <v>191</v>
      </c>
      <c r="K4" s="437" t="s">
        <v>600</v>
      </c>
      <c r="L4" s="438"/>
      <c r="M4" s="438"/>
      <c r="N4" s="712"/>
      <c r="O4" s="2619"/>
      <c r="P4" s="438"/>
      <c r="Q4" s="711" t="s">
        <v>347</v>
      </c>
      <c r="R4" s="437" t="s">
        <v>600</v>
      </c>
      <c r="S4" s="438"/>
      <c r="T4" s="438"/>
      <c r="U4" s="712"/>
      <c r="V4" s="713"/>
    </row>
    <row r="5" spans="2:22" ht="14.25">
      <c r="B5" s="2617"/>
      <c r="C5" s="437"/>
      <c r="D5" s="437"/>
      <c r="E5" s="438"/>
      <c r="F5" s="438"/>
      <c r="G5" s="438"/>
      <c r="H5" s="710"/>
      <c r="I5" s="489"/>
      <c r="J5" s="437"/>
      <c r="K5" s="437"/>
      <c r="L5" s="438"/>
      <c r="M5" s="438"/>
      <c r="N5" s="438"/>
      <c r="O5" s="2618"/>
      <c r="P5" s="438"/>
      <c r="Q5" s="437"/>
      <c r="R5" s="437"/>
      <c r="S5" s="438"/>
      <c r="T5" s="438"/>
      <c r="U5" s="438"/>
      <c r="V5" s="710"/>
    </row>
    <row r="6" spans="2:22">
      <c r="B6" s="2617"/>
      <c r="C6" s="441" t="s">
        <v>885</v>
      </c>
      <c r="D6" s="714">
        <v>1.22</v>
      </c>
      <c r="E6" s="715" t="s">
        <v>357</v>
      </c>
      <c r="F6" s="646" t="s">
        <v>573</v>
      </c>
      <c r="G6" s="438"/>
      <c r="H6" s="439"/>
      <c r="I6" s="489"/>
      <c r="J6" s="646" t="s">
        <v>886</v>
      </c>
      <c r="K6" s="714">
        <v>3.5</v>
      </c>
      <c r="L6" s="715" t="s">
        <v>357</v>
      </c>
      <c r="M6" s="646" t="s">
        <v>573</v>
      </c>
      <c r="N6" s="438"/>
      <c r="O6" s="2620"/>
      <c r="P6" s="438"/>
      <c r="Q6" s="441" t="s">
        <v>885</v>
      </c>
      <c r="R6" s="714">
        <v>0.56999999999999995</v>
      </c>
      <c r="S6" s="715" t="s">
        <v>357</v>
      </c>
      <c r="T6" s="646" t="s">
        <v>573</v>
      </c>
      <c r="U6" s="438"/>
      <c r="V6" s="439"/>
    </row>
    <row r="7" spans="2:22">
      <c r="B7" s="2617"/>
      <c r="C7" s="646" t="s">
        <v>887</v>
      </c>
      <c r="D7" s="714">
        <v>50</v>
      </c>
      <c r="E7" s="716" t="s">
        <v>357</v>
      </c>
      <c r="F7" s="646" t="s">
        <v>573</v>
      </c>
      <c r="G7" s="438"/>
      <c r="H7" s="439"/>
      <c r="I7" s="489"/>
      <c r="J7" s="646" t="s">
        <v>887</v>
      </c>
      <c r="K7" s="714">
        <v>6000</v>
      </c>
      <c r="L7" s="716" t="s">
        <v>357</v>
      </c>
      <c r="M7" s="646" t="s">
        <v>573</v>
      </c>
      <c r="N7" s="438"/>
      <c r="O7" s="2620"/>
      <c r="P7" s="438"/>
      <c r="Q7" s="441" t="s">
        <v>1680</v>
      </c>
      <c r="R7" s="714">
        <v>1600</v>
      </c>
      <c r="S7" s="1861" t="s">
        <v>220</v>
      </c>
      <c r="T7" s="646" t="s">
        <v>573</v>
      </c>
      <c r="U7" s="438"/>
      <c r="V7" s="439"/>
    </row>
    <row r="8" spans="2:22">
      <c r="B8" s="2617"/>
      <c r="C8" s="652" t="s">
        <v>877</v>
      </c>
      <c r="D8" s="717">
        <v>30</v>
      </c>
      <c r="E8" s="718" t="s">
        <v>732</v>
      </c>
      <c r="F8" s="652" t="s">
        <v>573</v>
      </c>
      <c r="G8" s="438"/>
      <c r="H8" s="439"/>
      <c r="I8" s="489"/>
      <c r="J8" s="719" t="s">
        <v>888</v>
      </c>
      <c r="K8" s="717">
        <v>6</v>
      </c>
      <c r="L8" s="718" t="s">
        <v>889</v>
      </c>
      <c r="M8" s="652" t="s">
        <v>573</v>
      </c>
      <c r="N8" s="438"/>
      <c r="O8" s="2620"/>
      <c r="P8" s="438"/>
      <c r="Q8" s="652" t="s">
        <v>877</v>
      </c>
      <c r="R8" s="717">
        <v>4</v>
      </c>
      <c r="S8" s="718" t="s">
        <v>732</v>
      </c>
      <c r="T8" s="652" t="s">
        <v>573</v>
      </c>
      <c r="U8" s="438"/>
      <c r="V8" s="439"/>
    </row>
    <row r="9" spans="2:22" ht="13.5" thickBot="1">
      <c r="B9" s="2617"/>
      <c r="C9" s="652" t="s">
        <v>890</v>
      </c>
      <c r="D9" s="717">
        <v>1.24</v>
      </c>
      <c r="E9" s="718" t="s">
        <v>728</v>
      </c>
      <c r="F9" s="646" t="s">
        <v>573</v>
      </c>
      <c r="G9" s="720">
        <v>1.2</v>
      </c>
      <c r="H9" s="721" t="s">
        <v>728</v>
      </c>
      <c r="I9" s="489"/>
      <c r="J9" s="652" t="s">
        <v>890</v>
      </c>
      <c r="K9" s="717">
        <v>1.3</v>
      </c>
      <c r="L9" s="718" t="s">
        <v>728</v>
      </c>
      <c r="M9" s="646" t="s">
        <v>573</v>
      </c>
      <c r="N9" s="720">
        <v>1.2</v>
      </c>
      <c r="O9" s="2621" t="s">
        <v>728</v>
      </c>
      <c r="P9" s="438"/>
      <c r="Q9" s="652" t="s">
        <v>890</v>
      </c>
      <c r="R9" s="717">
        <v>1.2</v>
      </c>
      <c r="S9" s="718" t="s">
        <v>728</v>
      </c>
      <c r="T9" s="646" t="s">
        <v>573</v>
      </c>
      <c r="U9" s="720">
        <v>1.2</v>
      </c>
      <c r="V9" s="721" t="s">
        <v>728</v>
      </c>
    </row>
    <row r="10" spans="2:22">
      <c r="B10" s="2617"/>
      <c r="C10" s="722" t="s">
        <v>891</v>
      </c>
      <c r="D10" s="723">
        <v>3.7000000000000002E-3</v>
      </c>
      <c r="E10" s="724" t="s">
        <v>892</v>
      </c>
      <c r="F10" s="646" t="s">
        <v>573</v>
      </c>
      <c r="G10" s="438"/>
      <c r="H10" s="439"/>
      <c r="I10" s="489"/>
      <c r="J10" s="722" t="s">
        <v>891</v>
      </c>
      <c r="K10" s="723">
        <v>3.2000000000000002E-3</v>
      </c>
      <c r="L10" s="724" t="s">
        <v>893</v>
      </c>
      <c r="M10" s="438"/>
      <c r="N10" s="438"/>
      <c r="O10" s="2620"/>
      <c r="P10" s="438"/>
      <c r="Q10" s="722" t="s">
        <v>891</v>
      </c>
      <c r="R10" s="723">
        <v>3.7000000000000002E-3</v>
      </c>
      <c r="S10" s="724" t="s">
        <v>892</v>
      </c>
      <c r="T10" s="646" t="s">
        <v>573</v>
      </c>
      <c r="U10" s="438"/>
      <c r="V10" s="439"/>
    </row>
    <row r="11" spans="2:22">
      <c r="B11" s="2617"/>
      <c r="C11" s="725" t="s">
        <v>894</v>
      </c>
      <c r="D11" s="726">
        <f>D6*PI()</f>
        <v>3.8327430373795477</v>
      </c>
      <c r="E11" s="727" t="s">
        <v>357</v>
      </c>
      <c r="F11" s="438"/>
      <c r="G11" s="438"/>
      <c r="H11" s="439"/>
      <c r="I11" s="489"/>
      <c r="J11" s="725" t="s">
        <v>894</v>
      </c>
      <c r="K11" s="726">
        <f>K6*PI()</f>
        <v>10.995574287564276</v>
      </c>
      <c r="L11" s="727" t="s">
        <v>357</v>
      </c>
      <c r="M11" s="438"/>
      <c r="N11" s="438"/>
      <c r="O11" s="2620"/>
      <c r="P11" s="438"/>
      <c r="Q11" s="725" t="s">
        <v>894</v>
      </c>
      <c r="R11" s="726">
        <f>R6*PI()</f>
        <v>1.7907078125461819</v>
      </c>
      <c r="S11" s="727" t="s">
        <v>357</v>
      </c>
      <c r="T11" s="438"/>
      <c r="U11" s="438"/>
      <c r="V11" s="439"/>
    </row>
    <row r="12" spans="2:22" ht="13.5" thickBot="1">
      <c r="B12" s="2617"/>
      <c r="C12" s="725" t="s">
        <v>895</v>
      </c>
      <c r="D12" s="728">
        <f>(D6*D6)*(PI())/4</f>
        <v>1.168986626400762</v>
      </c>
      <c r="E12" s="727" t="s">
        <v>896</v>
      </c>
      <c r="F12" s="438"/>
      <c r="G12" s="438"/>
      <c r="H12" s="439"/>
      <c r="I12" s="489"/>
      <c r="J12" s="725" t="s">
        <v>895</v>
      </c>
      <c r="K12" s="729">
        <f>(K6*K6)*(PI())/4</f>
        <v>9.6211275016187408</v>
      </c>
      <c r="L12" s="727" t="s">
        <v>896</v>
      </c>
      <c r="M12" s="438"/>
      <c r="N12" s="438"/>
      <c r="O12" s="2620"/>
      <c r="P12" s="438"/>
      <c r="Q12" s="725" t="s">
        <v>895</v>
      </c>
      <c r="R12" s="728">
        <f>(R6*R6)*(PI())/4</f>
        <v>0.25517586328783093</v>
      </c>
      <c r="S12" s="727" t="s">
        <v>896</v>
      </c>
      <c r="T12" s="438"/>
      <c r="U12" s="438"/>
      <c r="V12" s="439"/>
    </row>
    <row r="13" spans="2:22" s="736" customFormat="1" ht="16.5" thickBot="1">
      <c r="B13" s="2622"/>
      <c r="C13" s="731" t="s">
        <v>897</v>
      </c>
      <c r="D13" s="732">
        <f>(((D10*D11*D7)*(D8*D8)/(D12*D12*D12))*(D9/G9))</f>
        <v>412.79625840237293</v>
      </c>
      <c r="E13" s="733" t="s">
        <v>220</v>
      </c>
      <c r="F13" s="734"/>
      <c r="G13" s="734"/>
      <c r="H13" s="735"/>
      <c r="I13" s="730"/>
      <c r="J13" s="731" t="s">
        <v>897</v>
      </c>
      <c r="K13" s="732">
        <f>(((K10*K11*K7)*(K8*K8)/(K12))*(K9/N9))</f>
        <v>855.77142857142871</v>
      </c>
      <c r="L13" s="733" t="s">
        <v>220</v>
      </c>
      <c r="M13" s="734"/>
      <c r="N13" s="734"/>
      <c r="O13" s="2623"/>
      <c r="P13" s="734"/>
      <c r="Q13" s="731" t="s">
        <v>1679</v>
      </c>
      <c r="R13" s="732">
        <f>(R7*U9*(R12*R12*R12))/(R10*R11*(R8*R8)*R9)</f>
        <v>250.77966950454848</v>
      </c>
      <c r="S13" s="733" t="s">
        <v>357</v>
      </c>
      <c r="T13" s="734"/>
      <c r="U13" s="734"/>
      <c r="V13" s="735"/>
    </row>
    <row r="14" spans="2:22" ht="24" customHeight="1" thickBot="1">
      <c r="B14" s="2617"/>
      <c r="C14" s="703" t="s">
        <v>898</v>
      </c>
      <c r="D14" s="737">
        <f>((D10*D11*D7)/(D12*D12*D12))*(D9/G9)</f>
        <v>0.45866250933596991</v>
      </c>
      <c r="E14" s="649" t="s">
        <v>899</v>
      </c>
      <c r="F14" s="738" t="s">
        <v>898</v>
      </c>
      <c r="G14" s="739"/>
      <c r="H14" s="439"/>
      <c r="I14" s="489"/>
      <c r="J14" s="703" t="s">
        <v>898</v>
      </c>
      <c r="K14" s="737">
        <f>((K10*K11*K7)/(K12*K12*K12))*(K9/N9)</f>
        <v>0.25680492112035241</v>
      </c>
      <c r="L14" s="649" t="s">
        <v>899</v>
      </c>
      <c r="M14" s="738" t="s">
        <v>898</v>
      </c>
      <c r="N14" s="739"/>
      <c r="O14" s="2620"/>
      <c r="P14" s="438"/>
      <c r="Q14" s="734"/>
      <c r="R14" s="734"/>
      <c r="S14" s="734"/>
      <c r="T14" s="734"/>
      <c r="U14" s="734"/>
      <c r="V14" s="735"/>
    </row>
    <row r="15" spans="2:22" ht="13.5" thickBot="1">
      <c r="B15" s="2617"/>
      <c r="C15" s="448"/>
      <c r="D15" s="740"/>
      <c r="E15" s="448"/>
      <c r="F15" s="448"/>
      <c r="G15" s="448"/>
      <c r="H15" s="450"/>
      <c r="I15" s="488"/>
      <c r="J15" s="448"/>
      <c r="K15" s="740"/>
      <c r="L15" s="448"/>
      <c r="M15" s="448"/>
      <c r="N15" s="448"/>
      <c r="O15" s="2624"/>
      <c r="P15" s="448"/>
      <c r="Q15" s="448"/>
      <c r="R15" s="740"/>
      <c r="S15" s="448"/>
      <c r="T15" s="448"/>
      <c r="U15" s="448"/>
      <c r="V15" s="450"/>
    </row>
    <row r="16" spans="2:22">
      <c r="B16" s="2617"/>
      <c r="C16" s="741" t="s">
        <v>882</v>
      </c>
      <c r="D16" s="507"/>
      <c r="E16" s="507" t="s">
        <v>883</v>
      </c>
      <c r="F16" s="507"/>
      <c r="G16" s="507"/>
      <c r="H16" s="708"/>
      <c r="I16" s="557"/>
      <c r="J16" s="548" t="s">
        <v>882</v>
      </c>
      <c r="K16" s="507"/>
      <c r="L16" s="709" t="s">
        <v>884</v>
      </c>
      <c r="M16" s="507"/>
      <c r="N16" s="507"/>
      <c r="O16" s="2625"/>
    </row>
    <row r="17" spans="2:15">
      <c r="B17" s="2617"/>
      <c r="C17" s="562"/>
      <c r="D17" s="438"/>
      <c r="E17" s="438"/>
      <c r="F17" s="438"/>
      <c r="G17" s="438"/>
      <c r="H17" s="710"/>
      <c r="I17" s="489"/>
      <c r="J17" s="561"/>
      <c r="K17" s="438"/>
      <c r="L17" s="438"/>
      <c r="M17" s="438"/>
      <c r="N17" s="438"/>
      <c r="O17" s="2618"/>
    </row>
    <row r="18" spans="2:15" ht="14.25">
      <c r="B18" s="2617"/>
      <c r="C18" s="545" t="s">
        <v>191</v>
      </c>
      <c r="D18" s="437" t="s">
        <v>600</v>
      </c>
      <c r="E18" s="438"/>
      <c r="F18" s="438"/>
      <c r="G18" s="712"/>
      <c r="H18" s="713"/>
      <c r="I18" s="489"/>
      <c r="J18" s="711" t="s">
        <v>191</v>
      </c>
      <c r="K18" s="437" t="s">
        <v>600</v>
      </c>
      <c r="L18" s="438"/>
      <c r="M18" s="438"/>
      <c r="N18" s="712"/>
      <c r="O18" s="2619"/>
    </row>
    <row r="19" spans="2:15" ht="14.25">
      <c r="B19" s="2617"/>
      <c r="C19" s="436"/>
      <c r="D19" s="437"/>
      <c r="E19" s="438"/>
      <c r="F19" s="438"/>
      <c r="G19" s="438"/>
      <c r="H19" s="710"/>
      <c r="I19" s="489"/>
      <c r="J19" s="437"/>
      <c r="K19" s="437"/>
      <c r="L19" s="438"/>
      <c r="M19" s="438"/>
      <c r="N19" s="438"/>
      <c r="O19" s="2618"/>
    </row>
    <row r="20" spans="2:15">
      <c r="B20" s="2617"/>
      <c r="C20" s="611" t="s">
        <v>887</v>
      </c>
      <c r="D20" s="696">
        <v>1000</v>
      </c>
      <c r="E20" s="697" t="s">
        <v>357</v>
      </c>
      <c r="F20" s="646" t="s">
        <v>573</v>
      </c>
      <c r="G20" s="438"/>
      <c r="H20" s="439"/>
      <c r="I20" s="489"/>
      <c r="J20" s="646" t="s">
        <v>887</v>
      </c>
      <c r="K20" s="696">
        <v>2500</v>
      </c>
      <c r="L20" s="697" t="s">
        <v>357</v>
      </c>
      <c r="M20" s="742" t="s">
        <v>573</v>
      </c>
      <c r="N20" s="438"/>
      <c r="O20" s="2620"/>
    </row>
    <row r="21" spans="2:15">
      <c r="B21" s="2617"/>
      <c r="C21" s="743" t="s">
        <v>900</v>
      </c>
      <c r="D21" s="744">
        <v>4</v>
      </c>
      <c r="E21" s="441" t="s">
        <v>357</v>
      </c>
      <c r="F21" s="646" t="s">
        <v>573</v>
      </c>
      <c r="G21" s="438"/>
      <c r="H21" s="439"/>
      <c r="I21" s="489"/>
      <c r="J21" s="441" t="s">
        <v>900</v>
      </c>
      <c r="K21" s="744">
        <v>9</v>
      </c>
      <c r="L21" s="441" t="s">
        <v>357</v>
      </c>
      <c r="M21" s="646" t="s">
        <v>573</v>
      </c>
      <c r="N21" s="438"/>
      <c r="O21" s="2620"/>
    </row>
    <row r="22" spans="2:15">
      <c r="B22" s="2617"/>
      <c r="C22" s="743" t="s">
        <v>901</v>
      </c>
      <c r="D22" s="744">
        <v>4</v>
      </c>
      <c r="E22" s="441" t="s">
        <v>357</v>
      </c>
      <c r="F22" s="646" t="s">
        <v>573</v>
      </c>
      <c r="G22" s="438"/>
      <c r="H22" s="439"/>
      <c r="I22" s="489"/>
      <c r="J22" s="441" t="s">
        <v>901</v>
      </c>
      <c r="K22" s="744">
        <v>10</v>
      </c>
      <c r="L22" s="441" t="s">
        <v>357</v>
      </c>
      <c r="M22" s="646" t="s">
        <v>573</v>
      </c>
      <c r="N22" s="438"/>
      <c r="O22" s="2620"/>
    </row>
    <row r="23" spans="2:15">
      <c r="B23" s="2617"/>
      <c r="C23" s="611" t="s">
        <v>877</v>
      </c>
      <c r="D23" s="696">
        <v>101.7</v>
      </c>
      <c r="E23" s="697" t="s">
        <v>732</v>
      </c>
      <c r="F23" s="646" t="s">
        <v>573</v>
      </c>
      <c r="G23" s="438"/>
      <c r="H23" s="439"/>
      <c r="I23" s="489"/>
      <c r="J23" s="646" t="s">
        <v>902</v>
      </c>
      <c r="K23" s="696">
        <v>6</v>
      </c>
      <c r="L23" s="697" t="s">
        <v>889</v>
      </c>
      <c r="M23" s="572" t="s">
        <v>573</v>
      </c>
      <c r="N23" s="438"/>
      <c r="O23" s="2620"/>
    </row>
    <row r="24" spans="2:15">
      <c r="B24" s="2617"/>
      <c r="C24" s="611" t="s">
        <v>890</v>
      </c>
      <c r="D24" s="696">
        <v>1.135</v>
      </c>
      <c r="E24" s="697" t="s">
        <v>728</v>
      </c>
      <c r="F24" s="646" t="s">
        <v>573</v>
      </c>
      <c r="G24" s="745">
        <v>1.2</v>
      </c>
      <c r="H24" s="721" t="s">
        <v>728</v>
      </c>
      <c r="I24" s="489"/>
      <c r="J24" s="646" t="s">
        <v>890</v>
      </c>
      <c r="K24" s="696">
        <v>1.4</v>
      </c>
      <c r="L24" s="697" t="s">
        <v>728</v>
      </c>
      <c r="M24" s="742" t="s">
        <v>573</v>
      </c>
      <c r="N24" s="720">
        <v>1.2</v>
      </c>
      <c r="O24" s="2621" t="s">
        <v>728</v>
      </c>
    </row>
    <row r="25" spans="2:15" ht="14.25">
      <c r="B25" s="2617"/>
      <c r="C25" s="743" t="s">
        <v>891</v>
      </c>
      <c r="D25" s="744">
        <v>0.01</v>
      </c>
      <c r="E25" s="441" t="s">
        <v>903</v>
      </c>
      <c r="F25" s="646" t="s">
        <v>573</v>
      </c>
      <c r="G25" s="438"/>
      <c r="H25" s="439"/>
      <c r="I25" s="489"/>
      <c r="J25" s="441" t="s">
        <v>891</v>
      </c>
      <c r="K25" s="744">
        <v>1.0999999999999999E-2</v>
      </c>
      <c r="L25" s="441" t="s">
        <v>893</v>
      </c>
      <c r="M25" s="438"/>
      <c r="N25" s="438"/>
      <c r="O25" s="2620"/>
    </row>
    <row r="26" spans="2:15">
      <c r="B26" s="2617"/>
      <c r="C26" s="725" t="s">
        <v>894</v>
      </c>
      <c r="D26" s="746">
        <f>2*D21+2*D22</f>
        <v>16</v>
      </c>
      <c r="E26" s="747" t="s">
        <v>357</v>
      </c>
      <c r="F26" s="646"/>
      <c r="G26" s="438"/>
      <c r="H26" s="439"/>
      <c r="I26" s="489"/>
      <c r="J26" s="747" t="s">
        <v>894</v>
      </c>
      <c r="K26" s="746">
        <f>2*K21+2*K22</f>
        <v>38</v>
      </c>
      <c r="L26" s="747" t="s">
        <v>357</v>
      </c>
      <c r="M26" s="438"/>
      <c r="N26" s="438"/>
      <c r="O26" s="2620"/>
    </row>
    <row r="27" spans="2:15">
      <c r="B27" s="2617"/>
      <c r="C27" s="725" t="s">
        <v>895</v>
      </c>
      <c r="D27" s="748">
        <f>D21*D22</f>
        <v>16</v>
      </c>
      <c r="E27" s="747" t="s">
        <v>896</v>
      </c>
      <c r="F27" s="646"/>
      <c r="G27" s="438"/>
      <c r="H27" s="439"/>
      <c r="I27" s="489"/>
      <c r="J27" s="747" t="s">
        <v>895</v>
      </c>
      <c r="K27" s="748">
        <f>K21*K22</f>
        <v>90</v>
      </c>
      <c r="L27" s="747" t="s">
        <v>896</v>
      </c>
      <c r="M27" s="438"/>
      <c r="N27" s="438"/>
      <c r="O27" s="2620"/>
    </row>
    <row r="28" spans="2:15" ht="16.5" thickBot="1">
      <c r="B28" s="2617"/>
      <c r="C28" s="749" t="s">
        <v>897</v>
      </c>
      <c r="D28" s="750">
        <f>(((D25*D26*D20)*(D23*D23)/(D27*D27*D27))*(D24/G24))</f>
        <v>382.13477050781256</v>
      </c>
      <c r="E28" s="751" t="s">
        <v>220</v>
      </c>
      <c r="F28" s="652"/>
      <c r="G28" s="438"/>
      <c r="H28" s="439"/>
      <c r="I28" s="489"/>
      <c r="J28" s="751" t="s">
        <v>897</v>
      </c>
      <c r="K28" s="750">
        <f>(((K25*K26*K20)*(K23*K23)/(K27))*(K24/N24))</f>
        <v>487.66666666666669</v>
      </c>
      <c r="L28" s="751" t="s">
        <v>220</v>
      </c>
      <c r="M28" s="438"/>
      <c r="N28" s="438"/>
      <c r="O28" s="2620"/>
    </row>
    <row r="29" spans="2:15" ht="27.75" customHeight="1" thickBot="1">
      <c r="B29" s="2617"/>
      <c r="C29" s="703" t="s">
        <v>898</v>
      </c>
      <c r="D29" s="752">
        <f>((D25*D26*D20)/(D27*D27*D27))*(D24/G24)</f>
        <v>3.6946614583333336E-2</v>
      </c>
      <c r="E29" s="649" t="s">
        <v>899</v>
      </c>
      <c r="F29" s="738" t="s">
        <v>898</v>
      </c>
      <c r="G29" s="739"/>
      <c r="H29" s="439"/>
      <c r="I29" s="489"/>
      <c r="J29" s="703" t="s">
        <v>898</v>
      </c>
      <c r="K29" s="752">
        <f>((K25*K26*K20)/(K27*K27*K27))*(K24/N24)</f>
        <v>1.6723822588020122E-3</v>
      </c>
      <c r="L29" s="649" t="s">
        <v>899</v>
      </c>
      <c r="M29" s="738" t="s">
        <v>898</v>
      </c>
      <c r="N29" s="739"/>
      <c r="O29" s="2620"/>
    </row>
    <row r="30" spans="2:15" ht="13.5" thickBot="1">
      <c r="B30" s="2632"/>
      <c r="C30" s="2628"/>
      <c r="D30" s="2628"/>
      <c r="E30" s="2629"/>
      <c r="F30" s="2629"/>
      <c r="G30" s="2629"/>
      <c r="H30" s="2630"/>
      <c r="I30" s="2627"/>
      <c r="J30" s="2629"/>
      <c r="K30" s="2628"/>
      <c r="L30" s="2629"/>
      <c r="M30" s="2629"/>
      <c r="N30" s="2629"/>
      <c r="O30" s="2631"/>
    </row>
    <row r="31" spans="2:15" ht="13.5" thickTop="1">
      <c r="C31" s="2633" t="s">
        <v>904</v>
      </c>
      <c r="D31" s="2634"/>
      <c r="E31" s="2612"/>
      <c r="F31" s="2612"/>
      <c r="G31" s="2612"/>
      <c r="H31" s="2635"/>
      <c r="I31" s="2636" t="s">
        <v>904</v>
      </c>
      <c r="J31" s="2612"/>
      <c r="K31" s="2634"/>
      <c r="L31" s="2612"/>
      <c r="M31" s="2612"/>
      <c r="N31" s="2637"/>
      <c r="O31" s="438"/>
    </row>
    <row r="32" spans="2:15" ht="3" customHeight="1">
      <c r="C32" s="2617"/>
      <c r="D32" s="438"/>
      <c r="E32" s="438"/>
      <c r="F32" s="438"/>
      <c r="G32" s="438"/>
      <c r="H32" s="439"/>
      <c r="I32" s="489"/>
      <c r="J32" s="438"/>
      <c r="K32" s="438"/>
      <c r="L32" s="438"/>
      <c r="M32" s="438"/>
      <c r="N32" s="2620"/>
    </row>
    <row r="33" spans="3:14">
      <c r="C33" s="2617" t="s">
        <v>905</v>
      </c>
      <c r="D33" s="438"/>
      <c r="E33" s="438"/>
      <c r="F33" s="438"/>
      <c r="G33" s="438"/>
      <c r="H33" s="439"/>
      <c r="I33" s="489"/>
      <c r="J33" s="438" t="s">
        <v>906</v>
      </c>
      <c r="K33" s="438"/>
      <c r="L33" s="438"/>
      <c r="M33" s="438"/>
      <c r="N33" s="2620"/>
    </row>
    <row r="34" spans="3:14" ht="3.75" customHeight="1">
      <c r="C34" s="2617"/>
      <c r="D34" s="438"/>
      <c r="E34" s="438"/>
      <c r="F34" s="438"/>
      <c r="G34" s="438"/>
      <c r="H34" s="439"/>
      <c r="I34" s="489"/>
      <c r="J34" s="438"/>
      <c r="K34" s="438"/>
      <c r="L34" s="438"/>
      <c r="M34" s="438"/>
      <c r="N34" s="2620"/>
    </row>
    <row r="35" spans="3:14" ht="14.25">
      <c r="C35" s="2638" t="s">
        <v>820</v>
      </c>
      <c r="D35" s="695">
        <v>3.3500000000000001E-3</v>
      </c>
      <c r="E35" s="646" t="s">
        <v>821</v>
      </c>
      <c r="F35" s="646" t="s">
        <v>573</v>
      </c>
      <c r="G35" s="438"/>
      <c r="H35" s="439"/>
      <c r="I35" s="489"/>
      <c r="J35" s="646" t="s">
        <v>897</v>
      </c>
      <c r="K35" s="696">
        <v>300</v>
      </c>
      <c r="L35" s="646" t="s">
        <v>220</v>
      </c>
      <c r="M35" s="646" t="s">
        <v>573</v>
      </c>
      <c r="N35" s="2620"/>
    </row>
    <row r="36" spans="3:14" ht="13.5" thickBot="1">
      <c r="C36" s="2638" t="s">
        <v>877</v>
      </c>
      <c r="D36" s="696">
        <v>37.1</v>
      </c>
      <c r="E36" s="697" t="s">
        <v>732</v>
      </c>
      <c r="F36" s="646" t="s">
        <v>573</v>
      </c>
      <c r="G36" s="438"/>
      <c r="H36" s="439"/>
      <c r="I36" s="489"/>
      <c r="J36" s="646" t="s">
        <v>877</v>
      </c>
      <c r="K36" s="696">
        <v>0.86</v>
      </c>
      <c r="L36" s="697" t="s">
        <v>732</v>
      </c>
      <c r="M36" s="646" t="s">
        <v>573</v>
      </c>
      <c r="N36" s="2620"/>
    </row>
    <row r="37" spans="3:14" ht="19.5" thickBot="1">
      <c r="C37" s="2639" t="s">
        <v>897</v>
      </c>
      <c r="D37" s="754">
        <f>D35*(POWER(D36,2))</f>
        <v>4.6109735000000001</v>
      </c>
      <c r="E37" s="649" t="s">
        <v>220</v>
      </c>
      <c r="F37" s="438"/>
      <c r="G37" s="438"/>
      <c r="H37" s="439"/>
      <c r="I37" s="489"/>
      <c r="J37" s="703" t="s">
        <v>820</v>
      </c>
      <c r="K37" s="754">
        <f>K35/(POWER(K36,2))</f>
        <v>405.62466197944838</v>
      </c>
      <c r="L37" s="649" t="s">
        <v>907</v>
      </c>
      <c r="M37" s="438"/>
      <c r="N37" s="2620"/>
    </row>
    <row r="38" spans="3:14">
      <c r="C38" s="2617"/>
      <c r="D38" s="438"/>
      <c r="E38" s="438"/>
      <c r="F38" s="438"/>
      <c r="G38" s="438"/>
      <c r="H38" s="439"/>
      <c r="I38" s="489"/>
      <c r="J38" s="438"/>
      <c r="K38" s="438"/>
      <c r="L38" s="438"/>
      <c r="M38" s="438"/>
      <c r="N38" s="2620"/>
    </row>
    <row r="39" spans="3:14" ht="13.5" thickBot="1">
      <c r="C39" s="2626"/>
      <c r="D39" s="2629"/>
      <c r="E39" s="2629"/>
      <c r="F39" s="2629"/>
      <c r="G39" s="2629"/>
      <c r="H39" s="2630"/>
      <c r="I39" s="2627"/>
      <c r="J39" s="2629"/>
      <c r="K39" s="2629"/>
      <c r="L39" s="2629"/>
      <c r="M39" s="2629"/>
      <c r="N39" s="2631"/>
    </row>
    <row r="40" spans="3:14" ht="16.5" thickTop="1" thickBot="1">
      <c r="C40" s="2640" t="s">
        <v>872</v>
      </c>
      <c r="D40" s="2612"/>
      <c r="E40" s="2612"/>
      <c r="F40" s="2612"/>
      <c r="G40" s="2612"/>
      <c r="H40" s="2635"/>
      <c r="I40" s="2614"/>
      <c r="J40" s="2612"/>
      <c r="K40" s="2612"/>
      <c r="L40" s="2612"/>
      <c r="M40" s="2612"/>
      <c r="N40" s="2637"/>
    </row>
    <row r="41" spans="3:14" ht="15" thickBot="1">
      <c r="C41" s="2641"/>
      <c r="D41" s="479" t="s">
        <v>873</v>
      </c>
      <c r="E41" s="515" t="s">
        <v>874</v>
      </c>
      <c r="F41" s="438"/>
      <c r="G41" s="438"/>
      <c r="H41" s="755" t="s">
        <v>875</v>
      </c>
      <c r="I41" s="756"/>
      <c r="J41" s="515" t="s">
        <v>873</v>
      </c>
      <c r="K41" s="438"/>
      <c r="L41" s="438"/>
      <c r="M41" s="438"/>
      <c r="N41" s="2620"/>
    </row>
    <row r="42" spans="3:14">
      <c r="C42" s="2617"/>
      <c r="D42" s="438"/>
      <c r="E42" s="438"/>
      <c r="F42" s="438"/>
      <c r="G42" s="438"/>
      <c r="H42" s="439"/>
      <c r="I42" s="489"/>
      <c r="J42" s="438"/>
      <c r="K42" s="438"/>
      <c r="L42" s="438"/>
      <c r="M42" s="438"/>
      <c r="N42" s="2620"/>
    </row>
    <row r="43" spans="3:14">
      <c r="C43" s="2617"/>
      <c r="D43" s="438"/>
      <c r="E43" s="438"/>
      <c r="F43" s="438"/>
      <c r="G43" s="438"/>
      <c r="H43" s="439"/>
      <c r="I43" s="489"/>
      <c r="J43" s="438"/>
      <c r="K43" s="438"/>
      <c r="L43" s="438"/>
      <c r="M43" s="438"/>
      <c r="N43" s="2620"/>
    </row>
    <row r="44" spans="3:14">
      <c r="C44" s="2617"/>
      <c r="D44" s="438"/>
      <c r="E44" s="438"/>
      <c r="F44" s="438"/>
      <c r="G44" s="438"/>
      <c r="H44" s="439"/>
      <c r="I44" s="489"/>
      <c r="J44" s="438"/>
      <c r="K44" s="438"/>
      <c r="L44" s="438"/>
      <c r="M44" s="438"/>
      <c r="N44" s="2620"/>
    </row>
    <row r="45" spans="3:14">
      <c r="C45" s="2638" t="s">
        <v>876</v>
      </c>
      <c r="D45" s="696">
        <v>0.4</v>
      </c>
      <c r="E45" s="646" t="s">
        <v>220</v>
      </c>
      <c r="F45" s="646" t="s">
        <v>573</v>
      </c>
      <c r="G45" s="438"/>
      <c r="H45" s="439"/>
      <c r="I45" s="489"/>
      <c r="J45" s="646" t="s">
        <v>820</v>
      </c>
      <c r="K45" s="696">
        <v>0.6</v>
      </c>
      <c r="L45" s="646" t="s">
        <v>220</v>
      </c>
      <c r="M45" s="646" t="s">
        <v>573</v>
      </c>
      <c r="N45" s="2620"/>
    </row>
    <row r="46" spans="3:14" ht="13.5" thickBot="1">
      <c r="C46" s="2638" t="s">
        <v>877</v>
      </c>
      <c r="D46" s="696">
        <v>12.5</v>
      </c>
      <c r="E46" s="697" t="s">
        <v>732</v>
      </c>
      <c r="F46" s="646" t="s">
        <v>573</v>
      </c>
      <c r="G46" s="438"/>
      <c r="H46" s="439"/>
      <c r="I46" s="489"/>
      <c r="J46" s="646" t="s">
        <v>877</v>
      </c>
      <c r="K46" s="696">
        <v>120</v>
      </c>
      <c r="L46" s="697" t="s">
        <v>732</v>
      </c>
      <c r="M46" s="646" t="s">
        <v>573</v>
      </c>
      <c r="N46" s="2620"/>
    </row>
    <row r="47" spans="3:14" ht="16.5" thickBot="1">
      <c r="C47" s="2639" t="s">
        <v>878</v>
      </c>
      <c r="D47" s="758">
        <f>(D45*D46)/1000</f>
        <v>5.0000000000000001E-3</v>
      </c>
      <c r="E47" s="649" t="s">
        <v>218</v>
      </c>
      <c r="F47" s="438"/>
      <c r="G47" s="438"/>
      <c r="H47" s="439"/>
      <c r="I47" s="489"/>
      <c r="J47" s="703" t="s">
        <v>878</v>
      </c>
      <c r="K47" s="732">
        <f>(K45*(POWER(K46,3))/1000)</f>
        <v>1036.8</v>
      </c>
      <c r="L47" s="649" t="s">
        <v>218</v>
      </c>
      <c r="M47" s="438"/>
      <c r="N47" s="2620"/>
    </row>
    <row r="48" spans="3:14" ht="13.5" thickBot="1">
      <c r="C48" s="2626"/>
      <c r="D48" s="2629"/>
      <c r="E48" s="2629"/>
      <c r="F48" s="2629"/>
      <c r="G48" s="2629"/>
      <c r="H48" s="2630"/>
      <c r="I48" s="2627"/>
      <c r="J48" s="2629"/>
      <c r="K48" s="2629"/>
      <c r="L48" s="2629"/>
      <c r="M48" s="2629"/>
      <c r="N48" s="2631"/>
    </row>
    <row r="49" spans="2:14" ht="13.5" thickTop="1">
      <c r="C49" s="2633" t="s">
        <v>908</v>
      </c>
      <c r="D49" s="2634"/>
      <c r="E49" s="2612"/>
      <c r="F49" s="2612"/>
      <c r="G49" s="2612"/>
      <c r="H49" s="2612"/>
      <c r="I49" s="2610"/>
      <c r="J49" s="2611" t="s">
        <v>1684</v>
      </c>
      <c r="K49" s="2612"/>
      <c r="L49" s="2612"/>
      <c r="M49" s="2612"/>
      <c r="N49" s="2637"/>
    </row>
    <row r="50" spans="2:14" ht="15">
      <c r="C50" s="2617"/>
      <c r="D50" s="438"/>
      <c r="E50" s="438"/>
      <c r="F50" s="438"/>
      <c r="G50" s="438"/>
      <c r="H50" s="438"/>
      <c r="I50" s="2617"/>
      <c r="J50" s="438"/>
      <c r="K50" s="1869" t="s">
        <v>1682</v>
      </c>
      <c r="L50" s="1867"/>
      <c r="M50" s="438"/>
      <c r="N50" s="2620"/>
    </row>
    <row r="51" spans="2:14" ht="14.25">
      <c r="C51" s="2642" t="s">
        <v>909</v>
      </c>
      <c r="D51" s="437"/>
      <c r="E51" s="438"/>
      <c r="F51" s="438"/>
      <c r="G51" s="438"/>
      <c r="H51" s="438"/>
      <c r="I51" s="2617"/>
      <c r="J51" s="438"/>
      <c r="K51" s="438"/>
      <c r="L51" s="438"/>
      <c r="M51" s="438"/>
      <c r="N51" s="2620"/>
    </row>
    <row r="52" spans="2:14">
      <c r="C52" s="2617"/>
      <c r="D52" s="438"/>
      <c r="E52" s="438"/>
      <c r="F52" s="438"/>
      <c r="G52" s="438"/>
      <c r="H52" s="438"/>
      <c r="I52" s="2617"/>
      <c r="J52" s="441" t="s">
        <v>1685</v>
      </c>
      <c r="K52" s="696">
        <v>0.52500000000000002</v>
      </c>
      <c r="L52" s="1866" t="s">
        <v>1686</v>
      </c>
      <c r="M52" s="646" t="s">
        <v>573</v>
      </c>
      <c r="N52" s="2620"/>
    </row>
    <row r="53" spans="2:14" ht="14.25">
      <c r="C53" s="2638" t="s">
        <v>910</v>
      </c>
      <c r="D53" s="759">
        <v>6.4</v>
      </c>
      <c r="E53" s="646" t="s">
        <v>911</v>
      </c>
      <c r="F53" s="646" t="s">
        <v>573</v>
      </c>
      <c r="G53" s="438"/>
      <c r="H53" s="438"/>
      <c r="I53" s="2617"/>
      <c r="J53" s="1865" t="s">
        <v>1692</v>
      </c>
      <c r="K53" s="696">
        <v>43</v>
      </c>
      <c r="L53" s="1861" t="s">
        <v>199</v>
      </c>
      <c r="M53" s="646" t="s">
        <v>573</v>
      </c>
      <c r="N53" s="2620"/>
    </row>
    <row r="54" spans="2:14" ht="13.5" thickBot="1">
      <c r="C54" s="2638" t="s">
        <v>890</v>
      </c>
      <c r="D54" s="757">
        <v>1.135</v>
      </c>
      <c r="E54" s="697" t="s">
        <v>912</v>
      </c>
      <c r="F54" s="646" t="s">
        <v>573</v>
      </c>
      <c r="G54" s="438"/>
      <c r="H54" s="438"/>
      <c r="I54" s="2617"/>
      <c r="J54" s="441" t="s">
        <v>1691</v>
      </c>
      <c r="K54" s="696">
        <v>0.9</v>
      </c>
      <c r="L54" s="1868" t="s">
        <v>1689</v>
      </c>
      <c r="M54" s="652" t="s">
        <v>573</v>
      </c>
      <c r="N54" s="2620"/>
    </row>
    <row r="55" spans="2:14" ht="16.5" thickBot="1">
      <c r="C55" s="2639" t="s">
        <v>909</v>
      </c>
      <c r="D55" s="758">
        <f>((D53*D53)*D54)/2</f>
        <v>23.244800000000005</v>
      </c>
      <c r="E55" s="649" t="s">
        <v>220</v>
      </c>
      <c r="F55" s="438" t="s">
        <v>913</v>
      </c>
      <c r="G55" s="438"/>
      <c r="H55" s="438"/>
      <c r="I55" s="2617"/>
      <c r="J55" s="1865" t="s">
        <v>1690</v>
      </c>
      <c r="K55" s="696">
        <v>3</v>
      </c>
      <c r="L55" s="718"/>
      <c r="M55" s="646" t="s">
        <v>573</v>
      </c>
      <c r="N55" s="2620"/>
    </row>
    <row r="56" spans="2:14" ht="16.5" thickBot="1">
      <c r="C56" s="2617"/>
      <c r="D56" s="438"/>
      <c r="E56" s="438"/>
      <c r="F56" s="438"/>
      <c r="G56" s="438"/>
      <c r="H56" s="438"/>
      <c r="I56" s="2617"/>
      <c r="J56" s="731" t="s">
        <v>1683</v>
      </c>
      <c r="K56" s="732">
        <f>K52*K53*K54*SQRT(K55)</f>
        <v>35.190942282780661</v>
      </c>
      <c r="L56" s="733" t="s">
        <v>218</v>
      </c>
      <c r="M56" s="438"/>
      <c r="N56" s="2620"/>
    </row>
    <row r="57" spans="2:14" ht="13.5" thickBot="1">
      <c r="C57" s="2626"/>
      <c r="D57" s="2629"/>
      <c r="E57" s="2629"/>
      <c r="F57" s="2629"/>
      <c r="G57" s="2629"/>
      <c r="H57" s="2629"/>
      <c r="I57" s="2645"/>
      <c r="J57" s="448"/>
      <c r="K57" s="448"/>
      <c r="L57" s="448"/>
      <c r="M57" s="448"/>
      <c r="N57" s="2624"/>
    </row>
    <row r="58" spans="2:14" ht="13.5" thickTop="1">
      <c r="C58" s="562" t="s">
        <v>914</v>
      </c>
      <c r="D58" s="438"/>
      <c r="E58" s="438"/>
      <c r="F58" s="438"/>
      <c r="G58" s="438"/>
      <c r="H58" s="2643"/>
      <c r="I58" s="2646"/>
      <c r="J58" s="548" t="s">
        <v>1687</v>
      </c>
      <c r="K58" s="507"/>
      <c r="L58" s="507"/>
      <c r="M58" s="507"/>
      <c r="N58" s="2647"/>
    </row>
    <row r="59" spans="2:14" ht="15">
      <c r="C59" s="562"/>
      <c r="D59" s="438"/>
      <c r="E59" s="438"/>
      <c r="F59" s="438"/>
      <c r="G59" s="438"/>
      <c r="H59" s="2643"/>
      <c r="I59" s="2617"/>
      <c r="J59" s="438"/>
      <c r="K59" s="1869" t="s">
        <v>1682</v>
      </c>
      <c r="L59" s="1867"/>
      <c r="M59" s="438"/>
      <c r="N59" s="2620"/>
    </row>
    <row r="60" spans="2:14" ht="14.25">
      <c r="C60" s="545" t="s">
        <v>191</v>
      </c>
      <c r="D60" s="437" t="s">
        <v>600</v>
      </c>
      <c r="E60" s="438"/>
      <c r="F60" s="438"/>
      <c r="G60" s="712"/>
      <c r="H60" s="712"/>
      <c r="I60" s="2617"/>
      <c r="J60" s="438"/>
      <c r="K60" s="438"/>
      <c r="L60" s="438"/>
      <c r="M60" s="438"/>
      <c r="N60" s="2620"/>
    </row>
    <row r="61" spans="2:14" ht="14.25">
      <c r="C61" s="436"/>
      <c r="D61" s="437"/>
      <c r="E61" s="438"/>
      <c r="F61" s="438"/>
      <c r="G61" s="438"/>
      <c r="H61" s="2643"/>
      <c r="I61" s="2617"/>
      <c r="J61" s="441" t="s">
        <v>1685</v>
      </c>
      <c r="K61" s="696">
        <v>0.52500000000000002</v>
      </c>
      <c r="L61" s="1866" t="s">
        <v>1686</v>
      </c>
      <c r="M61" s="646" t="s">
        <v>573</v>
      </c>
      <c r="N61" s="2620"/>
    </row>
    <row r="62" spans="2:14" ht="14.25">
      <c r="B62" s="435" t="s">
        <v>874</v>
      </c>
      <c r="C62" s="611" t="s">
        <v>887</v>
      </c>
      <c r="D62" s="696">
        <v>18400</v>
      </c>
      <c r="E62" s="697" t="s">
        <v>357</v>
      </c>
      <c r="F62" s="742" t="s">
        <v>573</v>
      </c>
      <c r="G62" s="438"/>
      <c r="H62" s="438"/>
      <c r="I62" s="2617"/>
      <c r="J62" s="1865" t="s">
        <v>1692</v>
      </c>
      <c r="K62" s="696">
        <v>43</v>
      </c>
      <c r="L62" s="1861" t="s">
        <v>199</v>
      </c>
      <c r="M62" s="646" t="s">
        <v>573</v>
      </c>
      <c r="N62" s="2620"/>
    </row>
    <row r="63" spans="2:14">
      <c r="C63" s="611" t="s">
        <v>890</v>
      </c>
      <c r="D63" s="759">
        <v>0.9</v>
      </c>
      <c r="E63" s="697" t="s">
        <v>912</v>
      </c>
      <c r="F63" s="572" t="s">
        <v>573</v>
      </c>
      <c r="G63" s="658">
        <v>1.2</v>
      </c>
      <c r="H63" s="2644" t="s">
        <v>728</v>
      </c>
      <c r="I63" s="2617"/>
      <c r="J63" s="441" t="s">
        <v>1691</v>
      </c>
      <c r="K63" s="696">
        <v>0.9</v>
      </c>
      <c r="L63" s="1868" t="s">
        <v>1689</v>
      </c>
      <c r="M63" s="652" t="s">
        <v>573</v>
      </c>
      <c r="N63" s="2620"/>
    </row>
    <row r="64" spans="2:14" ht="14.25">
      <c r="C64" s="611" t="s">
        <v>910</v>
      </c>
      <c r="D64" s="696">
        <v>13.55</v>
      </c>
      <c r="E64" s="646" t="s">
        <v>911</v>
      </c>
      <c r="F64" s="742" t="s">
        <v>573</v>
      </c>
      <c r="G64" s="438"/>
      <c r="H64" s="438"/>
      <c r="I64" s="2617"/>
      <c r="J64" s="1865" t="s">
        <v>1690</v>
      </c>
      <c r="K64" s="696">
        <v>3</v>
      </c>
      <c r="L64" s="718"/>
      <c r="M64" s="646" t="s">
        <v>573</v>
      </c>
      <c r="N64" s="2620"/>
    </row>
    <row r="65" spans="3:14" ht="13.5" thickBot="1">
      <c r="C65" s="611" t="s">
        <v>886</v>
      </c>
      <c r="D65" s="744">
        <v>1.3</v>
      </c>
      <c r="E65" s="441" t="s">
        <v>357</v>
      </c>
      <c r="F65" s="742" t="s">
        <v>573</v>
      </c>
      <c r="G65" s="438"/>
      <c r="H65" s="438"/>
      <c r="I65" s="2617"/>
      <c r="J65" s="719" t="s">
        <v>1688</v>
      </c>
      <c r="K65" s="717">
        <v>0.88</v>
      </c>
      <c r="L65" s="1868" t="s">
        <v>211</v>
      </c>
      <c r="M65" s="646" t="s">
        <v>573</v>
      </c>
      <c r="N65" s="2620"/>
    </row>
    <row r="66" spans="3:14" ht="16.5" thickBot="1">
      <c r="C66" s="761" t="s">
        <v>915</v>
      </c>
      <c r="D66" s="762">
        <f>D67*(D63/G63)</f>
        <v>9.0000000000000011E-3</v>
      </c>
      <c r="E66" s="646" t="s">
        <v>916</v>
      </c>
      <c r="F66" s="438"/>
      <c r="G66" s="438"/>
      <c r="H66" s="438"/>
      <c r="I66" s="2617"/>
      <c r="J66" s="731" t="s">
        <v>1683</v>
      </c>
      <c r="K66" s="732">
        <f>K61*K62*K63*K65*SQRT(K64)</f>
        <v>30.968029208846982</v>
      </c>
      <c r="L66" s="733" t="s">
        <v>218</v>
      </c>
      <c r="M66" s="438"/>
      <c r="N66" s="2620"/>
    </row>
    <row r="67" spans="3:14" ht="15.75" thickBot="1">
      <c r="C67" s="761" t="s">
        <v>917</v>
      </c>
      <c r="D67" s="763">
        <v>1.2E-2</v>
      </c>
      <c r="E67" s="646" t="s">
        <v>916</v>
      </c>
      <c r="F67" s="438"/>
      <c r="G67" s="438"/>
      <c r="H67" s="438"/>
      <c r="I67" s="2626"/>
      <c r="J67" s="2629"/>
      <c r="K67" s="2629"/>
      <c r="L67" s="2629"/>
      <c r="M67" s="2629"/>
      <c r="N67" s="2631"/>
    </row>
    <row r="68" spans="3:14" ht="17.25" thickTop="1" thickBot="1">
      <c r="C68" s="703" t="s">
        <v>918</v>
      </c>
      <c r="D68" s="764">
        <f>(D66*D62*D63*(D64*D64))/(2*D65)</f>
        <v>10524.660230769234</v>
      </c>
      <c r="E68" s="649" t="s">
        <v>220</v>
      </c>
      <c r="F68" s="438"/>
      <c r="G68" s="438"/>
      <c r="H68" s="439"/>
    </row>
    <row r="69" spans="3:14" ht="13.5" thickBot="1">
      <c r="C69" s="488"/>
      <c r="D69" s="448"/>
      <c r="E69" s="448"/>
      <c r="F69" s="448"/>
      <c r="G69" s="448"/>
      <c r="H69" s="450"/>
    </row>
    <row r="70" spans="3:14">
      <c r="C70" s="741" t="s">
        <v>919</v>
      </c>
      <c r="D70" s="753"/>
      <c r="E70" s="507"/>
      <c r="F70" s="507"/>
      <c r="G70" s="765"/>
      <c r="H70" s="766"/>
    </row>
    <row r="71" spans="3:14">
      <c r="C71" s="489"/>
      <c r="D71" s="438"/>
      <c r="E71" s="438"/>
      <c r="F71" s="438"/>
      <c r="G71" s="648"/>
      <c r="H71" s="767"/>
    </row>
    <row r="72" spans="3:14" ht="14.25">
      <c r="C72" s="436" t="s">
        <v>920</v>
      </c>
      <c r="D72" s="2996" t="s">
        <v>921</v>
      </c>
      <c r="E72" s="2996"/>
      <c r="F72" s="2996"/>
      <c r="G72" s="438" t="s">
        <v>922</v>
      </c>
      <c r="H72" s="767"/>
    </row>
    <row r="73" spans="3:14">
      <c r="C73" s="489"/>
      <c r="D73" s="438"/>
      <c r="E73" s="438"/>
      <c r="F73" s="438"/>
      <c r="G73" s="648"/>
      <c r="H73" s="767"/>
      <c r="I73" s="489"/>
    </row>
    <row r="74" spans="3:14">
      <c r="C74" s="611" t="s">
        <v>877</v>
      </c>
      <c r="D74" s="768">
        <v>10</v>
      </c>
      <c r="E74" s="697" t="s">
        <v>732</v>
      </c>
      <c r="F74" s="646" t="s">
        <v>573</v>
      </c>
      <c r="G74" s="648"/>
      <c r="H74" s="767"/>
    </row>
    <row r="75" spans="3:14" ht="24">
      <c r="C75" s="769" t="s">
        <v>923</v>
      </c>
      <c r="D75" s="820">
        <v>3000</v>
      </c>
      <c r="E75" s="771" t="s">
        <v>924</v>
      </c>
      <c r="F75" s="771" t="s">
        <v>573</v>
      </c>
      <c r="G75" s="438"/>
      <c r="H75" s="439"/>
    </row>
    <row r="76" spans="3:14" ht="13.5" thickBot="1">
      <c r="C76" s="611" t="s">
        <v>890</v>
      </c>
      <c r="D76" s="772">
        <v>1.45</v>
      </c>
      <c r="E76" s="697" t="s">
        <v>912</v>
      </c>
      <c r="F76" s="646" t="s">
        <v>573</v>
      </c>
      <c r="G76" s="438"/>
      <c r="H76" s="439"/>
    </row>
    <row r="77" spans="3:14" ht="16.5" thickBot="1">
      <c r="C77" s="703" t="s">
        <v>922</v>
      </c>
      <c r="D77" s="2244">
        <f>(1.2*D74)*SQRT(D76/D75)</f>
        <v>0.26381811916545839</v>
      </c>
      <c r="E77" s="649" t="s">
        <v>896</v>
      </c>
      <c r="F77" s="438"/>
      <c r="G77" s="438"/>
      <c r="H77" s="439"/>
    </row>
    <row r="78" spans="3:14">
      <c r="C78" s="2352" t="s">
        <v>922</v>
      </c>
      <c r="D78" s="2353">
        <f>(1.31*D74)/SQRT(D75)</f>
        <v>0.23917218344392255</v>
      </c>
      <c r="E78" s="2354" t="s">
        <v>896</v>
      </c>
      <c r="F78" s="438" t="s">
        <v>925</v>
      </c>
      <c r="G78" s="438"/>
      <c r="H78" s="439"/>
    </row>
    <row r="79" spans="3:14" ht="18.75" thickBot="1">
      <c r="C79" s="2251" t="s">
        <v>2041</v>
      </c>
      <c r="D79" s="438"/>
      <c r="E79" s="438"/>
      <c r="F79" s="438"/>
      <c r="G79" s="438"/>
      <c r="H79" s="439"/>
    </row>
    <row r="80" spans="3:14" ht="15.75">
      <c r="C80" s="722" t="s">
        <v>603</v>
      </c>
      <c r="D80" s="2255">
        <v>0.4</v>
      </c>
      <c r="E80" s="2246" t="s">
        <v>357</v>
      </c>
      <c r="F80" s="438"/>
      <c r="G80" s="438"/>
      <c r="H80" s="439"/>
    </row>
    <row r="81" spans="2:8" ht="16.5" thickBot="1">
      <c r="C81" s="2249" t="s">
        <v>2039</v>
      </c>
      <c r="D81" s="2256">
        <f>D77/D80</f>
        <v>0.65954529791364591</v>
      </c>
      <c r="E81" s="2245" t="s">
        <v>357</v>
      </c>
      <c r="F81" s="438"/>
      <c r="G81" s="438"/>
      <c r="H81" s="439"/>
    </row>
    <row r="82" spans="2:8" ht="6" customHeight="1" thickBot="1">
      <c r="B82" s="438"/>
      <c r="C82" s="2252"/>
      <c r="D82" s="2253"/>
      <c r="E82" s="2253"/>
      <c r="F82" s="2253"/>
      <c r="G82" s="2253"/>
      <c r="H82" s="2254"/>
    </row>
    <row r="83" spans="2:8" ht="15.75">
      <c r="C83" s="2247" t="s">
        <v>603</v>
      </c>
      <c r="D83" s="2248">
        <f>D80*1000</f>
        <v>400</v>
      </c>
      <c r="E83" s="2246" t="s">
        <v>286</v>
      </c>
      <c r="F83" s="438"/>
      <c r="G83" s="438"/>
      <c r="H83" s="439"/>
    </row>
    <row r="84" spans="2:8" ht="16.5" thickBot="1">
      <c r="C84" s="2249" t="s">
        <v>2039</v>
      </c>
      <c r="D84" s="2250">
        <f>D81*1000</f>
        <v>659.54529791364587</v>
      </c>
      <c r="E84" s="2245" t="s">
        <v>286</v>
      </c>
      <c r="F84" s="438"/>
      <c r="G84" s="438"/>
      <c r="H84" s="439"/>
    </row>
    <row r="85" spans="2:8">
      <c r="C85" s="489"/>
      <c r="D85" s="438"/>
      <c r="E85" s="438"/>
      <c r="F85" s="438"/>
      <c r="G85" s="438"/>
      <c r="H85" s="439"/>
    </row>
    <row r="86" spans="2:8" ht="18">
      <c r="C86" s="2251" t="s">
        <v>2042</v>
      </c>
      <c r="D86" s="438"/>
      <c r="E86" s="438"/>
      <c r="F86" s="438"/>
      <c r="G86" s="438"/>
      <c r="H86" s="439"/>
    </row>
    <row r="87" spans="2:8" ht="16.5" thickBot="1">
      <c r="C87" s="2249" t="s">
        <v>2043</v>
      </c>
      <c r="D87" s="2256">
        <f>SQRT(((D77)*4)/PI())</f>
        <v>0.57957196441780645</v>
      </c>
      <c r="E87" s="2245" t="s">
        <v>357</v>
      </c>
      <c r="F87" s="438"/>
      <c r="G87" s="438"/>
      <c r="H87" s="439"/>
    </row>
    <row r="88" spans="2:8" ht="16.5" thickBot="1">
      <c r="C88" s="2249" t="s">
        <v>2043</v>
      </c>
      <c r="D88" s="2261">
        <f>D87*1000</f>
        <v>579.5719644178065</v>
      </c>
      <c r="E88" s="2245" t="s">
        <v>286</v>
      </c>
      <c r="F88" s="2253"/>
      <c r="G88" s="438"/>
      <c r="H88" s="439"/>
    </row>
    <row r="89" spans="2:8" ht="13.5" thickBot="1">
      <c r="B89" s="2253"/>
      <c r="C89" s="2252"/>
      <c r="D89" s="2253"/>
      <c r="E89" s="2253"/>
      <c r="F89" s="2253"/>
      <c r="G89" s="438"/>
      <c r="H89" s="439"/>
    </row>
    <row r="90" spans="2:8" ht="16.5" thickBot="1">
      <c r="C90" s="689" t="s">
        <v>1048</v>
      </c>
      <c r="D90" s="2350">
        <f>D74/D77</f>
        <v>37.904902178945171</v>
      </c>
      <c r="E90" s="2351" t="s">
        <v>889</v>
      </c>
      <c r="F90" s="448"/>
      <c r="G90" s="448"/>
      <c r="H90" s="450"/>
    </row>
    <row r="91" spans="2:8">
      <c r="F91" s="438"/>
      <c r="G91" s="438"/>
      <c r="H91" s="438"/>
    </row>
    <row r="92" spans="2:8">
      <c r="F92" s="438"/>
      <c r="G92" s="438"/>
      <c r="H92" s="438"/>
    </row>
  </sheetData>
  <mergeCells count="2">
    <mergeCell ref="D72:F72"/>
    <mergeCell ref="K1:M1"/>
  </mergeCells>
  <hyperlinks>
    <hyperlink ref="K1" location="INDEX!A1" display="INDEX!A1"/>
  </hyperlinks>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Equation.3" shapeId="13313" r:id="rId4">
          <objectPr defaultSize="0" autoPict="0" r:id="rId5">
            <anchor moveWithCells="1" sizeWithCells="1">
              <from>
                <xdr:col>3</xdr:col>
                <xdr:colOff>295275</xdr:colOff>
                <xdr:row>2</xdr:row>
                <xdr:rowOff>47625</xdr:rowOff>
              </from>
              <to>
                <xdr:col>4</xdr:col>
                <xdr:colOff>533400</xdr:colOff>
                <xdr:row>4</xdr:row>
                <xdr:rowOff>114300</xdr:rowOff>
              </to>
            </anchor>
          </objectPr>
        </oleObject>
      </mc:Choice>
      <mc:Fallback>
        <oleObject progId="Equation.3" shapeId="13313" r:id="rId4"/>
      </mc:Fallback>
    </mc:AlternateContent>
    <mc:AlternateContent xmlns:mc="http://schemas.openxmlformats.org/markup-compatibility/2006">
      <mc:Choice Requires="x14">
        <oleObject progId="Equation.3" shapeId="13314" r:id="rId6">
          <objectPr defaultSize="0" autoPict="0" r:id="rId7">
            <anchor moveWithCells="1" sizeWithCells="1">
              <from>
                <xdr:col>10</xdr:col>
                <xdr:colOff>228600</xdr:colOff>
                <xdr:row>2</xdr:row>
                <xdr:rowOff>38100</xdr:rowOff>
              </from>
              <to>
                <xdr:col>12</xdr:col>
                <xdr:colOff>276225</xdr:colOff>
                <xdr:row>4</xdr:row>
                <xdr:rowOff>161925</xdr:rowOff>
              </to>
            </anchor>
          </objectPr>
        </oleObject>
      </mc:Choice>
      <mc:Fallback>
        <oleObject progId="Equation.3" shapeId="13314" r:id="rId6"/>
      </mc:Fallback>
    </mc:AlternateContent>
    <mc:AlternateContent xmlns:mc="http://schemas.openxmlformats.org/markup-compatibility/2006">
      <mc:Choice Requires="x14">
        <oleObject progId="Equation.3" shapeId="13315" r:id="rId8">
          <objectPr defaultSize="0" autoPict="0" r:id="rId9">
            <anchor moveWithCells="1" sizeWithCells="1">
              <from>
                <xdr:col>9</xdr:col>
                <xdr:colOff>371475</xdr:colOff>
                <xdr:row>30</xdr:row>
                <xdr:rowOff>133350</xdr:rowOff>
              </from>
              <to>
                <xdr:col>10</xdr:col>
                <xdr:colOff>38100</xdr:colOff>
                <xdr:row>34</xdr:row>
                <xdr:rowOff>38100</xdr:rowOff>
              </to>
            </anchor>
          </objectPr>
        </oleObject>
      </mc:Choice>
      <mc:Fallback>
        <oleObject progId="Equation.3" shapeId="13315" r:id="rId8"/>
      </mc:Fallback>
    </mc:AlternateContent>
    <mc:AlternateContent xmlns:mc="http://schemas.openxmlformats.org/markup-compatibility/2006">
      <mc:Choice Requires="x14">
        <oleObject progId="Equation.3" shapeId="13316" r:id="rId10">
          <objectPr defaultSize="0" autoPict="0" r:id="rId11">
            <anchor moveWithCells="1" sizeWithCells="1">
              <from>
                <xdr:col>4</xdr:col>
                <xdr:colOff>0</xdr:colOff>
                <xdr:row>40</xdr:row>
                <xdr:rowOff>0</xdr:rowOff>
              </from>
              <to>
                <xdr:col>4</xdr:col>
                <xdr:colOff>390525</xdr:colOff>
                <xdr:row>42</xdr:row>
                <xdr:rowOff>28575</xdr:rowOff>
              </to>
            </anchor>
          </objectPr>
        </oleObject>
      </mc:Choice>
      <mc:Fallback>
        <oleObject progId="Equation.3" shapeId="13316" r:id="rId10"/>
      </mc:Fallback>
    </mc:AlternateContent>
    <mc:AlternateContent xmlns:mc="http://schemas.openxmlformats.org/markup-compatibility/2006">
      <mc:Choice Requires="x14">
        <oleObject progId="Equation.3" shapeId="13317" r:id="rId12">
          <objectPr defaultSize="0" autoPict="0" r:id="rId13">
            <anchor moveWithCells="1" sizeWithCells="1">
              <from>
                <xdr:col>10</xdr:col>
                <xdr:colOff>114300</xdr:colOff>
                <xdr:row>39</xdr:row>
                <xdr:rowOff>123825</xdr:rowOff>
              </from>
              <to>
                <xdr:col>10</xdr:col>
                <xdr:colOff>485775</xdr:colOff>
                <xdr:row>41</xdr:row>
                <xdr:rowOff>142875</xdr:rowOff>
              </to>
            </anchor>
          </objectPr>
        </oleObject>
      </mc:Choice>
      <mc:Fallback>
        <oleObject progId="Equation.3" shapeId="13317" r:id="rId12"/>
      </mc:Fallback>
    </mc:AlternateContent>
    <mc:AlternateContent xmlns:mc="http://schemas.openxmlformats.org/markup-compatibility/2006">
      <mc:Choice Requires="x14">
        <oleObject progId="Equation.3" shapeId="13318" r:id="rId14">
          <objectPr defaultSize="0" autoPict="0" r:id="rId15">
            <anchor moveWithCells="1" sizeWithCells="1">
              <from>
                <xdr:col>5</xdr:col>
                <xdr:colOff>419100</xdr:colOff>
                <xdr:row>13</xdr:row>
                <xdr:rowOff>19050</xdr:rowOff>
              </from>
              <to>
                <xdr:col>7</xdr:col>
                <xdr:colOff>0</xdr:colOff>
                <xdr:row>14</xdr:row>
                <xdr:rowOff>0</xdr:rowOff>
              </to>
            </anchor>
          </objectPr>
        </oleObject>
      </mc:Choice>
      <mc:Fallback>
        <oleObject progId="Equation.3" shapeId="13318" r:id="rId14"/>
      </mc:Fallback>
    </mc:AlternateContent>
    <mc:AlternateContent xmlns:mc="http://schemas.openxmlformats.org/markup-compatibility/2006">
      <mc:Choice Requires="x14">
        <oleObject progId="Equation.3" shapeId="13319" r:id="rId16">
          <objectPr defaultSize="0" autoPict="0" r:id="rId15">
            <anchor moveWithCells="1" sizeWithCells="1">
              <from>
                <xdr:col>12</xdr:col>
                <xdr:colOff>419100</xdr:colOff>
                <xdr:row>13</xdr:row>
                <xdr:rowOff>19050</xdr:rowOff>
              </from>
              <to>
                <xdr:col>13</xdr:col>
                <xdr:colOff>428625</xdr:colOff>
                <xdr:row>14</xdr:row>
                <xdr:rowOff>0</xdr:rowOff>
              </to>
            </anchor>
          </objectPr>
        </oleObject>
      </mc:Choice>
      <mc:Fallback>
        <oleObject progId="Equation.3" shapeId="13319" r:id="rId16"/>
      </mc:Fallback>
    </mc:AlternateContent>
    <mc:AlternateContent xmlns:mc="http://schemas.openxmlformats.org/markup-compatibility/2006">
      <mc:Choice Requires="x14">
        <oleObject progId="Equation.3" shapeId="13320" r:id="rId17">
          <objectPr defaultSize="0" autoPict="0" r:id="rId5">
            <anchor moveWithCells="1" sizeWithCells="1">
              <from>
                <xdr:col>3</xdr:col>
                <xdr:colOff>295275</xdr:colOff>
                <xdr:row>16</xdr:row>
                <xdr:rowOff>47625</xdr:rowOff>
              </from>
              <to>
                <xdr:col>4</xdr:col>
                <xdr:colOff>533400</xdr:colOff>
                <xdr:row>18</xdr:row>
                <xdr:rowOff>114300</xdr:rowOff>
              </to>
            </anchor>
          </objectPr>
        </oleObject>
      </mc:Choice>
      <mc:Fallback>
        <oleObject progId="Equation.3" shapeId="13320" r:id="rId17"/>
      </mc:Fallback>
    </mc:AlternateContent>
    <mc:AlternateContent xmlns:mc="http://schemas.openxmlformats.org/markup-compatibility/2006">
      <mc:Choice Requires="x14">
        <oleObject progId="Equation.3" shapeId="13321" r:id="rId18">
          <objectPr defaultSize="0" autoPict="0" r:id="rId7">
            <anchor moveWithCells="1" sizeWithCells="1">
              <from>
                <xdr:col>10</xdr:col>
                <xdr:colOff>266700</xdr:colOff>
                <xdr:row>16</xdr:row>
                <xdr:rowOff>9525</xdr:rowOff>
              </from>
              <to>
                <xdr:col>12</xdr:col>
                <xdr:colOff>314325</xdr:colOff>
                <xdr:row>18</xdr:row>
                <xdr:rowOff>133350</xdr:rowOff>
              </to>
            </anchor>
          </objectPr>
        </oleObject>
      </mc:Choice>
      <mc:Fallback>
        <oleObject progId="Equation.3" shapeId="13321" r:id="rId18"/>
      </mc:Fallback>
    </mc:AlternateContent>
    <mc:AlternateContent xmlns:mc="http://schemas.openxmlformats.org/markup-compatibility/2006">
      <mc:Choice Requires="x14">
        <oleObject progId="Equation.3" shapeId="13322" r:id="rId19">
          <objectPr defaultSize="0" autoPict="0" r:id="rId15">
            <anchor moveWithCells="1" sizeWithCells="1">
              <from>
                <xdr:col>5</xdr:col>
                <xdr:colOff>419100</xdr:colOff>
                <xdr:row>28</xdr:row>
                <xdr:rowOff>19050</xdr:rowOff>
              </from>
              <to>
                <xdr:col>7</xdr:col>
                <xdr:colOff>0</xdr:colOff>
                <xdr:row>29</xdr:row>
                <xdr:rowOff>0</xdr:rowOff>
              </to>
            </anchor>
          </objectPr>
        </oleObject>
      </mc:Choice>
      <mc:Fallback>
        <oleObject progId="Equation.3" shapeId="13322" r:id="rId19"/>
      </mc:Fallback>
    </mc:AlternateContent>
    <mc:AlternateContent xmlns:mc="http://schemas.openxmlformats.org/markup-compatibility/2006">
      <mc:Choice Requires="x14">
        <oleObject progId="Equation.3" shapeId="13323" r:id="rId20">
          <objectPr defaultSize="0" autoPict="0" r:id="rId15">
            <anchor moveWithCells="1" sizeWithCells="1">
              <from>
                <xdr:col>12</xdr:col>
                <xdr:colOff>419100</xdr:colOff>
                <xdr:row>28</xdr:row>
                <xdr:rowOff>19050</xdr:rowOff>
              </from>
              <to>
                <xdr:col>13</xdr:col>
                <xdr:colOff>428625</xdr:colOff>
                <xdr:row>29</xdr:row>
                <xdr:rowOff>0</xdr:rowOff>
              </to>
            </anchor>
          </objectPr>
        </oleObject>
      </mc:Choice>
      <mc:Fallback>
        <oleObject progId="Equation.3" shapeId="13323" r:id="rId20"/>
      </mc:Fallback>
    </mc:AlternateContent>
    <mc:AlternateContent xmlns:mc="http://schemas.openxmlformats.org/markup-compatibility/2006">
      <mc:Choice Requires="x14">
        <oleObject progId="Equation.3" shapeId="13324" r:id="rId21">
          <objectPr defaultSize="0" autoPict="0" r:id="rId22">
            <anchor moveWithCells="1" sizeWithCells="1">
              <from>
                <xdr:col>2</xdr:col>
                <xdr:colOff>381000</xdr:colOff>
                <xdr:row>49</xdr:row>
                <xdr:rowOff>66675</xdr:rowOff>
              </from>
              <to>
                <xdr:col>2</xdr:col>
                <xdr:colOff>723900</xdr:colOff>
                <xdr:row>51</xdr:row>
                <xdr:rowOff>114300</xdr:rowOff>
              </to>
            </anchor>
          </objectPr>
        </oleObject>
      </mc:Choice>
      <mc:Fallback>
        <oleObject progId="Equation.3" shapeId="13324" r:id="rId21"/>
      </mc:Fallback>
    </mc:AlternateContent>
    <mc:AlternateContent xmlns:mc="http://schemas.openxmlformats.org/markup-compatibility/2006">
      <mc:Choice Requires="x14">
        <oleObject progId="Equation.3" shapeId="13325" r:id="rId23">
          <objectPr defaultSize="0" autoPict="0" r:id="rId24">
            <anchor moveWithCells="1" sizeWithCells="1">
              <from>
                <xdr:col>3</xdr:col>
                <xdr:colOff>200025</xdr:colOff>
                <xdr:row>58</xdr:row>
                <xdr:rowOff>76200</xdr:rowOff>
              </from>
              <to>
                <xdr:col>3</xdr:col>
                <xdr:colOff>885825</xdr:colOff>
                <xdr:row>60</xdr:row>
                <xdr:rowOff>104775</xdr:rowOff>
              </to>
            </anchor>
          </objectPr>
        </oleObject>
      </mc:Choice>
      <mc:Fallback>
        <oleObject progId="Equation.3" shapeId="13325" r:id="rId23"/>
      </mc:Fallback>
    </mc:AlternateContent>
    <mc:AlternateContent xmlns:mc="http://schemas.openxmlformats.org/markup-compatibility/2006">
      <mc:Choice Requires="x14">
        <oleObject progId="Equation.3" shapeId="13326" r:id="rId25">
          <objectPr defaultSize="0" autoPict="0" r:id="rId26">
            <anchor moveWithCells="1" sizeWithCells="1">
              <from>
                <xdr:col>2</xdr:col>
                <xdr:colOff>676275</xdr:colOff>
                <xdr:row>70</xdr:row>
                <xdr:rowOff>85725</xdr:rowOff>
              </from>
              <to>
                <xdr:col>3</xdr:col>
                <xdr:colOff>95250</xdr:colOff>
                <xdr:row>72</xdr:row>
                <xdr:rowOff>133350</xdr:rowOff>
              </to>
            </anchor>
          </objectPr>
        </oleObject>
      </mc:Choice>
      <mc:Fallback>
        <oleObject progId="Equation.3" shapeId="13326" r:id="rId25"/>
      </mc:Fallback>
    </mc:AlternateContent>
    <mc:AlternateContent xmlns:mc="http://schemas.openxmlformats.org/markup-compatibility/2006">
      <mc:Choice Requires="x14">
        <oleObject progId="Equation.3" shapeId="13327" r:id="rId27">
          <objectPr defaultSize="0" autoPict="0" r:id="rId28">
            <anchor moveWithCells="1" sizeWithCells="1">
              <from>
                <xdr:col>6</xdr:col>
                <xdr:colOff>295275</xdr:colOff>
                <xdr:row>70</xdr:row>
                <xdr:rowOff>114300</xdr:rowOff>
              </from>
              <to>
                <xdr:col>7</xdr:col>
                <xdr:colOff>590550</xdr:colOff>
                <xdr:row>72</xdr:row>
                <xdr:rowOff>142875</xdr:rowOff>
              </to>
            </anchor>
          </objectPr>
        </oleObject>
      </mc:Choice>
      <mc:Fallback>
        <oleObject progId="Equation.3" shapeId="13327" r:id="rId27"/>
      </mc:Fallback>
    </mc:AlternateContent>
    <mc:AlternateContent xmlns:mc="http://schemas.openxmlformats.org/markup-compatibility/2006">
      <mc:Choice Requires="x14">
        <oleObject progId="Equation.3" shapeId="13328" r:id="rId29">
          <objectPr defaultSize="0" autoPict="0" r:id="rId30">
            <anchor moveWithCells="1" sizeWithCells="1">
              <from>
                <xdr:col>17</xdr:col>
                <xdr:colOff>276225</xdr:colOff>
                <xdr:row>2</xdr:row>
                <xdr:rowOff>28575</xdr:rowOff>
              </from>
              <to>
                <xdr:col>19</xdr:col>
                <xdr:colOff>0</xdr:colOff>
                <xdr:row>5</xdr:row>
                <xdr:rowOff>19050</xdr:rowOff>
              </to>
            </anchor>
          </objectPr>
        </oleObject>
      </mc:Choice>
      <mc:Fallback>
        <oleObject progId="Equation.3" shapeId="13328" r:id="rId29"/>
      </mc:Fallback>
    </mc:AlternateContent>
    <mc:AlternateContent xmlns:mc="http://schemas.openxmlformats.org/markup-compatibility/2006">
      <mc:Choice Requires="x14">
        <oleObject progId="Equation.3" shapeId="13329" r:id="rId31">
          <objectPr defaultSize="0" autoPict="0" r:id="rId32">
            <anchor moveWithCells="1" sizeWithCells="1">
              <from>
                <xdr:col>11</xdr:col>
                <xdr:colOff>161925</xdr:colOff>
                <xdr:row>48</xdr:row>
                <xdr:rowOff>104775</xdr:rowOff>
              </from>
              <to>
                <xdr:col>12</xdr:col>
                <xdr:colOff>457200</xdr:colOff>
                <xdr:row>50</xdr:row>
                <xdr:rowOff>85725</xdr:rowOff>
              </to>
            </anchor>
          </objectPr>
        </oleObject>
      </mc:Choice>
      <mc:Fallback>
        <oleObject progId="Equation.3" shapeId="13329" r:id="rId31"/>
      </mc:Fallback>
    </mc:AlternateContent>
    <mc:AlternateContent xmlns:mc="http://schemas.openxmlformats.org/markup-compatibility/2006">
      <mc:Choice Requires="x14">
        <oleObject progId="Equation.3" shapeId="13330" r:id="rId33">
          <objectPr defaultSize="0" autoPict="0" r:id="rId34">
            <anchor moveWithCells="1" sizeWithCells="1">
              <from>
                <xdr:col>11</xdr:col>
                <xdr:colOff>76200</xdr:colOff>
                <xdr:row>57</xdr:row>
                <xdr:rowOff>85725</xdr:rowOff>
              </from>
              <to>
                <xdr:col>13</xdr:col>
                <xdr:colOff>171450</xdr:colOff>
                <xdr:row>59</xdr:row>
                <xdr:rowOff>133350</xdr:rowOff>
              </to>
            </anchor>
          </objectPr>
        </oleObject>
      </mc:Choice>
      <mc:Fallback>
        <oleObject progId="Equation.3" shapeId="13330" r:id="rId33"/>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CCFF"/>
  </sheetPr>
  <dimension ref="B1:T57"/>
  <sheetViews>
    <sheetView topLeftCell="A10" zoomScale="70" zoomScaleNormal="70" workbookViewId="0"/>
  </sheetViews>
  <sheetFormatPr defaultRowHeight="12.75"/>
  <cols>
    <col min="1" max="1" width="2.140625" style="435" customWidth="1"/>
    <col min="2" max="2" width="31.140625" style="435" bestFit="1" customWidth="1"/>
    <col min="3" max="5" width="9.140625" style="435"/>
    <col min="6" max="6" width="11" style="435" customWidth="1"/>
    <col min="7" max="7" width="4.5703125" style="435" customWidth="1"/>
    <col min="8" max="8" width="31.140625" style="435" bestFit="1" customWidth="1"/>
    <col min="9" max="9" width="11.42578125" style="435" customWidth="1"/>
    <col min="10" max="12" width="9.140625" style="435"/>
    <col min="13" max="13" width="29.42578125" style="435" bestFit="1" customWidth="1"/>
    <col min="14" max="15" width="9.140625" style="435"/>
    <col min="16" max="16" width="2.7109375" style="435" customWidth="1"/>
    <col min="17" max="17" width="30" style="435" bestFit="1" customWidth="1"/>
    <col min="18" max="19" width="9.28515625" style="435" customWidth="1"/>
    <col min="20" max="20" width="1.42578125" style="435" customWidth="1"/>
    <col min="21" max="255" width="9.140625" style="435"/>
    <col min="256" max="256" width="31.140625" style="435" bestFit="1" customWidth="1"/>
    <col min="257" max="260" width="9.140625" style="435"/>
    <col min="261" max="261" width="3.42578125" style="435" customWidth="1"/>
    <col min="262" max="511" width="9.140625" style="435"/>
    <col min="512" max="512" width="31.140625" style="435" bestFit="1" customWidth="1"/>
    <col min="513" max="516" width="9.140625" style="435"/>
    <col min="517" max="517" width="3.42578125" style="435" customWidth="1"/>
    <col min="518" max="767" width="9.140625" style="435"/>
    <col min="768" max="768" width="31.140625" style="435" bestFit="1" customWidth="1"/>
    <col min="769" max="772" width="9.140625" style="435"/>
    <col min="773" max="773" width="3.42578125" style="435" customWidth="1"/>
    <col min="774" max="1023" width="9.140625" style="435"/>
    <col min="1024" max="1024" width="31.140625" style="435" bestFit="1" customWidth="1"/>
    <col min="1025" max="1028" width="9.140625" style="435"/>
    <col min="1029" max="1029" width="3.42578125" style="435" customWidth="1"/>
    <col min="1030" max="1279" width="9.140625" style="435"/>
    <col min="1280" max="1280" width="31.140625" style="435" bestFit="1" customWidth="1"/>
    <col min="1281" max="1284" width="9.140625" style="435"/>
    <col min="1285" max="1285" width="3.42578125" style="435" customWidth="1"/>
    <col min="1286" max="1535" width="9.140625" style="435"/>
    <col min="1536" max="1536" width="31.140625" style="435" bestFit="1" customWidth="1"/>
    <col min="1537" max="1540" width="9.140625" style="435"/>
    <col min="1541" max="1541" width="3.42578125" style="435" customWidth="1"/>
    <col min="1542" max="1791" width="9.140625" style="435"/>
    <col min="1792" max="1792" width="31.140625" style="435" bestFit="1" customWidth="1"/>
    <col min="1793" max="1796" width="9.140625" style="435"/>
    <col min="1797" max="1797" width="3.42578125" style="435" customWidth="1"/>
    <col min="1798" max="2047" width="9.140625" style="435"/>
    <col min="2048" max="2048" width="31.140625" style="435" bestFit="1" customWidth="1"/>
    <col min="2049" max="2052" width="9.140625" style="435"/>
    <col min="2053" max="2053" width="3.42578125" style="435" customWidth="1"/>
    <col min="2054" max="2303" width="9.140625" style="435"/>
    <col min="2304" max="2304" width="31.140625" style="435" bestFit="1" customWidth="1"/>
    <col min="2305" max="2308" width="9.140625" style="435"/>
    <col min="2309" max="2309" width="3.42578125" style="435" customWidth="1"/>
    <col min="2310" max="2559" width="9.140625" style="435"/>
    <col min="2560" max="2560" width="31.140625" style="435" bestFit="1" customWidth="1"/>
    <col min="2561" max="2564" width="9.140625" style="435"/>
    <col min="2565" max="2565" width="3.42578125" style="435" customWidth="1"/>
    <col min="2566" max="2815" width="9.140625" style="435"/>
    <col min="2816" max="2816" width="31.140625" style="435" bestFit="1" customWidth="1"/>
    <col min="2817" max="2820" width="9.140625" style="435"/>
    <col min="2821" max="2821" width="3.42578125" style="435" customWidth="1"/>
    <col min="2822" max="3071" width="9.140625" style="435"/>
    <col min="3072" max="3072" width="31.140625" style="435" bestFit="1" customWidth="1"/>
    <col min="3073" max="3076" width="9.140625" style="435"/>
    <col min="3077" max="3077" width="3.42578125" style="435" customWidth="1"/>
    <col min="3078" max="3327" width="9.140625" style="435"/>
    <col min="3328" max="3328" width="31.140625" style="435" bestFit="1" customWidth="1"/>
    <col min="3329" max="3332" width="9.140625" style="435"/>
    <col min="3333" max="3333" width="3.42578125" style="435" customWidth="1"/>
    <col min="3334" max="3583" width="9.140625" style="435"/>
    <col min="3584" max="3584" width="31.140625" style="435" bestFit="1" customWidth="1"/>
    <col min="3585" max="3588" width="9.140625" style="435"/>
    <col min="3589" max="3589" width="3.42578125" style="435" customWidth="1"/>
    <col min="3590" max="3839" width="9.140625" style="435"/>
    <col min="3840" max="3840" width="31.140625" style="435" bestFit="1" customWidth="1"/>
    <col min="3841" max="3844" width="9.140625" style="435"/>
    <col min="3845" max="3845" width="3.42578125" style="435" customWidth="1"/>
    <col min="3846" max="4095" width="9.140625" style="435"/>
    <col min="4096" max="4096" width="31.140625" style="435" bestFit="1" customWidth="1"/>
    <col min="4097" max="4100" width="9.140625" style="435"/>
    <col min="4101" max="4101" width="3.42578125" style="435" customWidth="1"/>
    <col min="4102" max="4351" width="9.140625" style="435"/>
    <col min="4352" max="4352" width="31.140625" style="435" bestFit="1" customWidth="1"/>
    <col min="4353" max="4356" width="9.140625" style="435"/>
    <col min="4357" max="4357" width="3.42578125" style="435" customWidth="1"/>
    <col min="4358" max="4607" width="9.140625" style="435"/>
    <col min="4608" max="4608" width="31.140625" style="435" bestFit="1" customWidth="1"/>
    <col min="4609" max="4612" width="9.140625" style="435"/>
    <col min="4613" max="4613" width="3.42578125" style="435" customWidth="1"/>
    <col min="4614" max="4863" width="9.140625" style="435"/>
    <col min="4864" max="4864" width="31.140625" style="435" bestFit="1" customWidth="1"/>
    <col min="4865" max="4868" width="9.140625" style="435"/>
    <col min="4869" max="4869" width="3.42578125" style="435" customWidth="1"/>
    <col min="4870" max="5119" width="9.140625" style="435"/>
    <col min="5120" max="5120" width="31.140625" style="435" bestFit="1" customWidth="1"/>
    <col min="5121" max="5124" width="9.140625" style="435"/>
    <col min="5125" max="5125" width="3.42578125" style="435" customWidth="1"/>
    <col min="5126" max="5375" width="9.140625" style="435"/>
    <col min="5376" max="5376" width="31.140625" style="435" bestFit="1" customWidth="1"/>
    <col min="5377" max="5380" width="9.140625" style="435"/>
    <col min="5381" max="5381" width="3.42578125" style="435" customWidth="1"/>
    <col min="5382" max="5631" width="9.140625" style="435"/>
    <col min="5632" max="5632" width="31.140625" style="435" bestFit="1" customWidth="1"/>
    <col min="5633" max="5636" width="9.140625" style="435"/>
    <col min="5637" max="5637" width="3.42578125" style="435" customWidth="1"/>
    <col min="5638" max="5887" width="9.140625" style="435"/>
    <col min="5888" max="5888" width="31.140625" style="435" bestFit="1" customWidth="1"/>
    <col min="5889" max="5892" width="9.140625" style="435"/>
    <col min="5893" max="5893" width="3.42578125" style="435" customWidth="1"/>
    <col min="5894" max="6143" width="9.140625" style="435"/>
    <col min="6144" max="6144" width="31.140625" style="435" bestFit="1" customWidth="1"/>
    <col min="6145" max="6148" width="9.140625" style="435"/>
    <col min="6149" max="6149" width="3.42578125" style="435" customWidth="1"/>
    <col min="6150" max="6399" width="9.140625" style="435"/>
    <col min="6400" max="6400" width="31.140625" style="435" bestFit="1" customWidth="1"/>
    <col min="6401" max="6404" width="9.140625" style="435"/>
    <col min="6405" max="6405" width="3.42578125" style="435" customWidth="1"/>
    <col min="6406" max="6655" width="9.140625" style="435"/>
    <col min="6656" max="6656" width="31.140625" style="435" bestFit="1" customWidth="1"/>
    <col min="6657" max="6660" width="9.140625" style="435"/>
    <col min="6661" max="6661" width="3.42578125" style="435" customWidth="1"/>
    <col min="6662" max="6911" width="9.140625" style="435"/>
    <col min="6912" max="6912" width="31.140625" style="435" bestFit="1" customWidth="1"/>
    <col min="6913" max="6916" width="9.140625" style="435"/>
    <col min="6917" max="6917" width="3.42578125" style="435" customWidth="1"/>
    <col min="6918" max="7167" width="9.140625" style="435"/>
    <col min="7168" max="7168" width="31.140625" style="435" bestFit="1" customWidth="1"/>
    <col min="7169" max="7172" width="9.140625" style="435"/>
    <col min="7173" max="7173" width="3.42578125" style="435" customWidth="1"/>
    <col min="7174" max="7423" width="9.140625" style="435"/>
    <col min="7424" max="7424" width="31.140625" style="435" bestFit="1" customWidth="1"/>
    <col min="7425" max="7428" width="9.140625" style="435"/>
    <col min="7429" max="7429" width="3.42578125" style="435" customWidth="1"/>
    <col min="7430" max="7679" width="9.140625" style="435"/>
    <col min="7680" max="7680" width="31.140625" style="435" bestFit="1" customWidth="1"/>
    <col min="7681" max="7684" width="9.140625" style="435"/>
    <col min="7685" max="7685" width="3.42578125" style="435" customWidth="1"/>
    <col min="7686" max="7935" width="9.140625" style="435"/>
    <col min="7936" max="7936" width="31.140625" style="435" bestFit="1" customWidth="1"/>
    <col min="7937" max="7940" width="9.140625" style="435"/>
    <col min="7941" max="7941" width="3.42578125" style="435" customWidth="1"/>
    <col min="7942" max="8191" width="9.140625" style="435"/>
    <col min="8192" max="8192" width="31.140625" style="435" bestFit="1" customWidth="1"/>
    <col min="8193" max="8196" width="9.140625" style="435"/>
    <col min="8197" max="8197" width="3.42578125" style="435" customWidth="1"/>
    <col min="8198" max="8447" width="9.140625" style="435"/>
    <col min="8448" max="8448" width="31.140625" style="435" bestFit="1" customWidth="1"/>
    <col min="8449" max="8452" width="9.140625" style="435"/>
    <col min="8453" max="8453" width="3.42578125" style="435" customWidth="1"/>
    <col min="8454" max="8703" width="9.140625" style="435"/>
    <col min="8704" max="8704" width="31.140625" style="435" bestFit="1" customWidth="1"/>
    <col min="8705" max="8708" width="9.140625" style="435"/>
    <col min="8709" max="8709" width="3.42578125" style="435" customWidth="1"/>
    <col min="8710" max="8959" width="9.140625" style="435"/>
    <col min="8960" max="8960" width="31.140625" style="435" bestFit="1" customWidth="1"/>
    <col min="8961" max="8964" width="9.140625" style="435"/>
    <col min="8965" max="8965" width="3.42578125" style="435" customWidth="1"/>
    <col min="8966" max="9215" width="9.140625" style="435"/>
    <col min="9216" max="9216" width="31.140625" style="435" bestFit="1" customWidth="1"/>
    <col min="9217" max="9220" width="9.140625" style="435"/>
    <col min="9221" max="9221" width="3.42578125" style="435" customWidth="1"/>
    <col min="9222" max="9471" width="9.140625" style="435"/>
    <col min="9472" max="9472" width="31.140625" style="435" bestFit="1" customWidth="1"/>
    <col min="9473" max="9476" width="9.140625" style="435"/>
    <col min="9477" max="9477" width="3.42578125" style="435" customWidth="1"/>
    <col min="9478" max="9727" width="9.140625" style="435"/>
    <col min="9728" max="9728" width="31.140625" style="435" bestFit="1" customWidth="1"/>
    <col min="9729" max="9732" width="9.140625" style="435"/>
    <col min="9733" max="9733" width="3.42578125" style="435" customWidth="1"/>
    <col min="9734" max="9983" width="9.140625" style="435"/>
    <col min="9984" max="9984" width="31.140625" style="435" bestFit="1" customWidth="1"/>
    <col min="9985" max="9988" width="9.140625" style="435"/>
    <col min="9989" max="9989" width="3.42578125" style="435" customWidth="1"/>
    <col min="9990" max="10239" width="9.140625" style="435"/>
    <col min="10240" max="10240" width="31.140625" style="435" bestFit="1" customWidth="1"/>
    <col min="10241" max="10244" width="9.140625" style="435"/>
    <col min="10245" max="10245" width="3.42578125" style="435" customWidth="1"/>
    <col min="10246" max="10495" width="9.140625" style="435"/>
    <col min="10496" max="10496" width="31.140625" style="435" bestFit="1" customWidth="1"/>
    <col min="10497" max="10500" width="9.140625" style="435"/>
    <col min="10501" max="10501" width="3.42578125" style="435" customWidth="1"/>
    <col min="10502" max="10751" width="9.140625" style="435"/>
    <col min="10752" max="10752" width="31.140625" style="435" bestFit="1" customWidth="1"/>
    <col min="10753" max="10756" width="9.140625" style="435"/>
    <col min="10757" max="10757" width="3.42578125" style="435" customWidth="1"/>
    <col min="10758" max="11007" width="9.140625" style="435"/>
    <col min="11008" max="11008" width="31.140625" style="435" bestFit="1" customWidth="1"/>
    <col min="11009" max="11012" width="9.140625" style="435"/>
    <col min="11013" max="11013" width="3.42578125" style="435" customWidth="1"/>
    <col min="11014" max="11263" width="9.140625" style="435"/>
    <col min="11264" max="11264" width="31.140625" style="435" bestFit="1" customWidth="1"/>
    <col min="11265" max="11268" width="9.140625" style="435"/>
    <col min="11269" max="11269" width="3.42578125" style="435" customWidth="1"/>
    <col min="11270" max="11519" width="9.140625" style="435"/>
    <col min="11520" max="11520" width="31.140625" style="435" bestFit="1" customWidth="1"/>
    <col min="11521" max="11524" width="9.140625" style="435"/>
    <col min="11525" max="11525" width="3.42578125" style="435" customWidth="1"/>
    <col min="11526" max="11775" width="9.140625" style="435"/>
    <col min="11776" max="11776" width="31.140625" style="435" bestFit="1" customWidth="1"/>
    <col min="11777" max="11780" width="9.140625" style="435"/>
    <col min="11781" max="11781" width="3.42578125" style="435" customWidth="1"/>
    <col min="11782" max="12031" width="9.140625" style="435"/>
    <col min="12032" max="12032" width="31.140625" style="435" bestFit="1" customWidth="1"/>
    <col min="12033" max="12036" width="9.140625" style="435"/>
    <col min="12037" max="12037" width="3.42578125" style="435" customWidth="1"/>
    <col min="12038" max="12287" width="9.140625" style="435"/>
    <col min="12288" max="12288" width="31.140625" style="435" bestFit="1" customWidth="1"/>
    <col min="12289" max="12292" width="9.140625" style="435"/>
    <col min="12293" max="12293" width="3.42578125" style="435" customWidth="1"/>
    <col min="12294" max="12543" width="9.140625" style="435"/>
    <col min="12544" max="12544" width="31.140625" style="435" bestFit="1" customWidth="1"/>
    <col min="12545" max="12548" width="9.140625" style="435"/>
    <col min="12549" max="12549" width="3.42578125" style="435" customWidth="1"/>
    <col min="12550" max="12799" width="9.140625" style="435"/>
    <col min="12800" max="12800" width="31.140625" style="435" bestFit="1" customWidth="1"/>
    <col min="12801" max="12804" width="9.140625" style="435"/>
    <col min="12805" max="12805" width="3.42578125" style="435" customWidth="1"/>
    <col min="12806" max="13055" width="9.140625" style="435"/>
    <col min="13056" max="13056" width="31.140625" style="435" bestFit="1" customWidth="1"/>
    <col min="13057" max="13060" width="9.140625" style="435"/>
    <col min="13061" max="13061" width="3.42578125" style="435" customWidth="1"/>
    <col min="13062" max="13311" width="9.140625" style="435"/>
    <col min="13312" max="13312" width="31.140625" style="435" bestFit="1" customWidth="1"/>
    <col min="13313" max="13316" width="9.140625" style="435"/>
    <col min="13317" max="13317" width="3.42578125" style="435" customWidth="1"/>
    <col min="13318" max="13567" width="9.140625" style="435"/>
    <col min="13568" max="13568" width="31.140625" style="435" bestFit="1" customWidth="1"/>
    <col min="13569" max="13572" width="9.140625" style="435"/>
    <col min="13573" max="13573" width="3.42578125" style="435" customWidth="1"/>
    <col min="13574" max="13823" width="9.140625" style="435"/>
    <col min="13824" max="13824" width="31.140625" style="435" bestFit="1" customWidth="1"/>
    <col min="13825" max="13828" width="9.140625" style="435"/>
    <col min="13829" max="13829" width="3.42578125" style="435" customWidth="1"/>
    <col min="13830" max="14079" width="9.140625" style="435"/>
    <col min="14080" max="14080" width="31.140625" style="435" bestFit="1" customWidth="1"/>
    <col min="14081" max="14084" width="9.140625" style="435"/>
    <col min="14085" max="14085" width="3.42578125" style="435" customWidth="1"/>
    <col min="14086" max="14335" width="9.140625" style="435"/>
    <col min="14336" max="14336" width="31.140625" style="435" bestFit="1" customWidth="1"/>
    <col min="14337" max="14340" width="9.140625" style="435"/>
    <col min="14341" max="14341" width="3.42578125" style="435" customWidth="1"/>
    <col min="14342" max="14591" width="9.140625" style="435"/>
    <col min="14592" max="14592" width="31.140625" style="435" bestFit="1" customWidth="1"/>
    <col min="14593" max="14596" width="9.140625" style="435"/>
    <col min="14597" max="14597" width="3.42578125" style="435" customWidth="1"/>
    <col min="14598" max="14847" width="9.140625" style="435"/>
    <col min="14848" max="14848" width="31.140625" style="435" bestFit="1" customWidth="1"/>
    <col min="14849" max="14852" width="9.140625" style="435"/>
    <col min="14853" max="14853" width="3.42578125" style="435" customWidth="1"/>
    <col min="14854" max="15103" width="9.140625" style="435"/>
    <col min="15104" max="15104" width="31.140625" style="435" bestFit="1" customWidth="1"/>
    <col min="15105" max="15108" width="9.140625" style="435"/>
    <col min="15109" max="15109" width="3.42578125" style="435" customWidth="1"/>
    <col min="15110" max="15359" width="9.140625" style="435"/>
    <col min="15360" max="15360" width="31.140625" style="435" bestFit="1" customWidth="1"/>
    <col min="15361" max="15364" width="9.140625" style="435"/>
    <col min="15365" max="15365" width="3.42578125" style="435" customWidth="1"/>
    <col min="15366" max="15615" width="9.140625" style="435"/>
    <col min="15616" max="15616" width="31.140625" style="435" bestFit="1" customWidth="1"/>
    <col min="15617" max="15620" width="9.140625" style="435"/>
    <col min="15621" max="15621" width="3.42578125" style="435" customWidth="1"/>
    <col min="15622" max="15871" width="9.140625" style="435"/>
    <col min="15872" max="15872" width="31.140625" style="435" bestFit="1" customWidth="1"/>
    <col min="15873" max="15876" width="9.140625" style="435"/>
    <col min="15877" max="15877" width="3.42578125" style="435" customWidth="1"/>
    <col min="15878" max="16127" width="9.140625" style="435"/>
    <col min="16128" max="16128" width="31.140625" style="435" bestFit="1" customWidth="1"/>
    <col min="16129" max="16132" width="9.140625" style="435"/>
    <col min="16133" max="16133" width="3.42578125" style="435" customWidth="1"/>
    <col min="16134" max="16384" width="9.140625" style="435"/>
  </cols>
  <sheetData>
    <row r="1" spans="2:20" ht="24" thickBot="1">
      <c r="I1" s="2777" t="s">
        <v>1749</v>
      </c>
      <c r="J1" s="2778"/>
      <c r="K1" s="2779"/>
    </row>
    <row r="2" spans="2:20" ht="23.25" customHeight="1" thickBot="1">
      <c r="B2" s="1678" t="s">
        <v>1526</v>
      </c>
      <c r="C2" s="507"/>
      <c r="D2" s="507"/>
      <c r="E2" s="507"/>
      <c r="F2" s="507"/>
      <c r="G2" s="509"/>
      <c r="H2" s="1678" t="s">
        <v>1527</v>
      </c>
      <c r="I2" s="507"/>
      <c r="J2" s="507"/>
      <c r="K2" s="507"/>
      <c r="L2" s="509"/>
      <c r="M2" s="3008" t="s">
        <v>1637</v>
      </c>
      <c r="N2" s="3008"/>
      <c r="O2" s="3008"/>
      <c r="P2" s="1611"/>
      <c r="Q2" s="1611"/>
      <c r="R2" s="1611"/>
      <c r="S2" s="1611"/>
      <c r="T2" s="1612"/>
    </row>
    <row r="3" spans="2:20" ht="41.25" customHeight="1" thickBot="1">
      <c r="B3" s="775" t="s">
        <v>926</v>
      </c>
      <c r="C3" s="3009" t="s">
        <v>927</v>
      </c>
      <c r="D3" s="3010"/>
      <c r="E3" s="776"/>
      <c r="F3" s="776"/>
      <c r="G3" s="439"/>
      <c r="H3" s="775" t="s">
        <v>926</v>
      </c>
      <c r="I3" s="3000" t="s">
        <v>927</v>
      </c>
      <c r="J3" s="3001"/>
      <c r="K3" s="776"/>
      <c r="L3" s="1726"/>
      <c r="M3" s="1723" t="s">
        <v>1532</v>
      </c>
      <c r="N3" s="3000" t="s">
        <v>927</v>
      </c>
      <c r="O3" s="3001"/>
      <c r="P3" s="1617"/>
      <c r="Q3" s="1621" t="s">
        <v>1533</v>
      </c>
      <c r="R3" s="3000" t="s">
        <v>927</v>
      </c>
      <c r="S3" s="3001"/>
      <c r="T3" s="1613"/>
    </row>
    <row r="4" spans="2:20" ht="14.25">
      <c r="B4" s="773" t="s">
        <v>928</v>
      </c>
      <c r="C4" s="1705">
        <v>14</v>
      </c>
      <c r="D4" s="1706" t="s">
        <v>732</v>
      </c>
      <c r="E4" s="464"/>
      <c r="F4" s="464"/>
      <c r="G4" s="439"/>
      <c r="H4" s="1600" t="s">
        <v>928</v>
      </c>
      <c r="I4" s="1716">
        <v>14</v>
      </c>
      <c r="J4" s="1717" t="s">
        <v>732</v>
      </c>
      <c r="K4" s="464"/>
      <c r="L4" s="465"/>
      <c r="M4" s="1619" t="s">
        <v>1534</v>
      </c>
      <c r="N4" s="1622">
        <v>14</v>
      </c>
      <c r="O4" s="1718" t="s">
        <v>732</v>
      </c>
      <c r="P4" s="1620"/>
      <c r="Q4" s="1618" t="s">
        <v>1534</v>
      </c>
      <c r="R4" s="1622">
        <v>14</v>
      </c>
      <c r="S4" s="1718" t="s">
        <v>732</v>
      </c>
      <c r="T4" s="1613"/>
    </row>
    <row r="5" spans="2:20" ht="14.25">
      <c r="B5" s="773" t="s">
        <v>929</v>
      </c>
      <c r="C5" s="792">
        <v>0.85</v>
      </c>
      <c r="D5" s="1707" t="s">
        <v>357</v>
      </c>
      <c r="E5" s="464"/>
      <c r="F5" s="464"/>
      <c r="G5" s="439"/>
      <c r="H5" s="1600" t="s">
        <v>1523</v>
      </c>
      <c r="I5" s="1710">
        <v>12</v>
      </c>
      <c r="J5" s="1711" t="s">
        <v>732</v>
      </c>
      <c r="K5" s="464"/>
      <c r="L5" s="465"/>
      <c r="M5" s="1619" t="s">
        <v>1535</v>
      </c>
      <c r="N5" s="1622">
        <v>0.5</v>
      </c>
      <c r="O5" s="1718" t="s">
        <v>889</v>
      </c>
      <c r="P5" s="1620"/>
      <c r="Q5" s="1618" t="s">
        <v>1535</v>
      </c>
      <c r="R5" s="1622">
        <v>0.5</v>
      </c>
      <c r="S5" s="1718" t="s">
        <v>889</v>
      </c>
      <c r="T5" s="1614"/>
    </row>
    <row r="6" spans="2:20" ht="14.25">
      <c r="B6" s="1600" t="s">
        <v>1525</v>
      </c>
      <c r="C6" s="792">
        <v>4.5</v>
      </c>
      <c r="D6" s="1707" t="s">
        <v>357</v>
      </c>
      <c r="E6" s="464"/>
      <c r="F6" s="464"/>
      <c r="G6" s="439"/>
      <c r="H6" s="1600" t="s">
        <v>1530</v>
      </c>
      <c r="I6" s="1679">
        <f>(I4/I5)*0.8</f>
        <v>0.93333333333333346</v>
      </c>
      <c r="J6" s="1680" t="s">
        <v>889</v>
      </c>
      <c r="K6" s="464"/>
      <c r="L6" s="465"/>
      <c r="M6" s="1724" t="s">
        <v>1525</v>
      </c>
      <c r="N6" s="1553">
        <v>4.5</v>
      </c>
      <c r="O6" s="1712" t="s">
        <v>357</v>
      </c>
      <c r="P6" s="1620"/>
      <c r="Q6" s="1600" t="s">
        <v>1525</v>
      </c>
      <c r="R6" s="1553">
        <v>9</v>
      </c>
      <c r="S6" s="1712" t="s">
        <v>357</v>
      </c>
      <c r="T6" s="1614"/>
    </row>
    <row r="7" spans="2:20" ht="15" thickBot="1">
      <c r="B7" s="773" t="s">
        <v>930</v>
      </c>
      <c r="C7" s="1708">
        <v>0.5</v>
      </c>
      <c r="D7" s="1709" t="s">
        <v>889</v>
      </c>
      <c r="E7" s="464"/>
      <c r="F7" s="464"/>
      <c r="G7" s="439"/>
      <c r="H7" s="773"/>
      <c r="I7" s="464"/>
      <c r="J7" s="464"/>
      <c r="K7" s="464"/>
      <c r="L7" s="465"/>
      <c r="M7" s="1619" t="s">
        <v>1536</v>
      </c>
      <c r="N7" s="1622">
        <v>1.4</v>
      </c>
      <c r="O7" s="1718" t="s">
        <v>357</v>
      </c>
      <c r="P7" s="1620"/>
      <c r="Q7" s="1618" t="s">
        <v>1536</v>
      </c>
      <c r="R7" s="1622">
        <v>1.4</v>
      </c>
      <c r="S7" s="1718" t="s">
        <v>357</v>
      </c>
      <c r="T7" s="1613"/>
    </row>
    <row r="8" spans="2:20" ht="15" thickBot="1">
      <c r="B8" s="489"/>
      <c r="C8" s="438"/>
      <c r="D8" s="438"/>
      <c r="E8" s="438"/>
      <c r="F8" s="438"/>
      <c r="G8" s="439"/>
      <c r="H8" s="773" t="s">
        <v>930</v>
      </c>
      <c r="I8" s="858">
        <v>0.5</v>
      </c>
      <c r="J8" s="1712" t="s">
        <v>889</v>
      </c>
      <c r="K8" s="464"/>
      <c r="L8" s="465"/>
      <c r="M8" s="1607"/>
      <c r="N8" s="1608"/>
      <c r="O8" s="1607"/>
      <c r="P8" s="1607"/>
      <c r="Q8" s="1607"/>
      <c r="R8" s="1608"/>
      <c r="S8" s="1607"/>
      <c r="T8" s="1613"/>
    </row>
    <row r="9" spans="2:20" ht="18.75" thickBot="1">
      <c r="B9" s="773"/>
      <c r="C9" s="3011" t="s">
        <v>931</v>
      </c>
      <c r="D9" s="3012"/>
      <c r="E9" s="3013" t="s">
        <v>932</v>
      </c>
      <c r="F9" s="3014"/>
      <c r="G9" s="439"/>
      <c r="H9" s="773"/>
      <c r="I9" s="464"/>
      <c r="J9" s="464"/>
      <c r="K9" s="464"/>
      <c r="L9" s="465"/>
      <c r="M9" s="1725" t="s">
        <v>1537</v>
      </c>
      <c r="N9" s="1674">
        <f>SUM(N5/((N4-1.5)/(N7*N6)))*100</f>
        <v>25.2</v>
      </c>
      <c r="O9" s="1676" t="s">
        <v>211</v>
      </c>
      <c r="P9" s="1675"/>
      <c r="Q9" s="1720" t="s">
        <v>1537</v>
      </c>
      <c r="R9" s="1721">
        <f>SUM(R5/((R4-1.5)/(R7*R6))*100)</f>
        <v>50.4</v>
      </c>
      <c r="S9" s="1722" t="s">
        <v>211</v>
      </c>
      <c r="T9" s="1613"/>
    </row>
    <row r="10" spans="2:20" ht="15" thickBot="1">
      <c r="B10" s="773" t="s">
        <v>933</v>
      </c>
      <c r="C10" s="1727">
        <f>C4/(C5*C6)*0.8</f>
        <v>2.9281045751633989</v>
      </c>
      <c r="D10" s="1728" t="s">
        <v>889</v>
      </c>
      <c r="E10" s="1729">
        <f>C4/(C5*(C6*2))*0.8</f>
        <v>1.4640522875816995</v>
      </c>
      <c r="F10" s="1730" t="s">
        <v>889</v>
      </c>
      <c r="G10" s="439"/>
      <c r="H10" s="773"/>
      <c r="I10" s="3002" t="s">
        <v>1524</v>
      </c>
      <c r="J10" s="3003"/>
      <c r="K10" s="3004"/>
      <c r="L10" s="3005"/>
      <c r="M10" s="1607"/>
      <c r="N10" s="1607"/>
      <c r="O10" s="1607"/>
      <c r="P10" s="1607"/>
      <c r="Q10" s="1607"/>
      <c r="R10" s="1607"/>
      <c r="S10" s="1607"/>
      <c r="T10" s="1613"/>
    </row>
    <row r="11" spans="2:20" ht="18.75" thickBot="1">
      <c r="B11" s="774" t="s">
        <v>934</v>
      </c>
      <c r="C11" s="1603">
        <f>C7/C10*100</f>
        <v>17.075892857142854</v>
      </c>
      <c r="D11" s="1604" t="s">
        <v>211</v>
      </c>
      <c r="E11" s="1605">
        <f>C7/E10*100</f>
        <v>34.151785714285708</v>
      </c>
      <c r="F11" s="1606" t="s">
        <v>211</v>
      </c>
      <c r="G11" s="439"/>
      <c r="H11" s="774" t="s">
        <v>934</v>
      </c>
      <c r="I11" s="1603">
        <f>(I8/I6)*100</f>
        <v>53.571428571428555</v>
      </c>
      <c r="J11" s="1604" t="s">
        <v>211</v>
      </c>
      <c r="K11" s="464"/>
      <c r="L11" s="465"/>
      <c r="M11" s="1609" t="s">
        <v>1538</v>
      </c>
      <c r="N11" s="1607"/>
      <c r="O11" s="1607"/>
      <c r="P11" s="1607"/>
      <c r="T11" s="1613"/>
    </row>
    <row r="12" spans="2:20" ht="15" thickBot="1">
      <c r="B12" s="488"/>
      <c r="C12" s="448"/>
      <c r="D12" s="448"/>
      <c r="E12" s="448"/>
      <c r="F12" s="448"/>
      <c r="G12" s="450"/>
      <c r="H12" s="488"/>
      <c r="I12" s="448"/>
      <c r="J12" s="448"/>
      <c r="K12" s="472"/>
      <c r="L12" s="474"/>
      <c r="M12" s="1610" t="s">
        <v>1539</v>
      </c>
      <c r="N12" s="1610"/>
      <c r="O12" s="1677" t="s">
        <v>219</v>
      </c>
      <c r="P12" s="1610" t="s">
        <v>1540</v>
      </c>
      <c r="T12" s="1613"/>
    </row>
    <row r="13" spans="2:20" ht="15" customHeight="1" thickBot="1">
      <c r="B13" s="3006" t="s">
        <v>1531</v>
      </c>
      <c r="C13" s="3007"/>
      <c r="D13" s="3007"/>
      <c r="E13" s="507"/>
      <c r="F13" s="507"/>
      <c r="G13" s="509"/>
      <c r="H13" s="3006" t="s">
        <v>1528</v>
      </c>
      <c r="I13" s="3007"/>
      <c r="J13" s="507"/>
      <c r="K13" s="507"/>
      <c r="L13" s="509"/>
      <c r="M13" s="1610" t="s">
        <v>1541</v>
      </c>
      <c r="N13" s="1610"/>
      <c r="O13" s="1677" t="s">
        <v>219</v>
      </c>
      <c r="P13" s="1610" t="s">
        <v>1540</v>
      </c>
      <c r="T13" s="1613"/>
    </row>
    <row r="14" spans="2:20" ht="24.75" customHeight="1" thickBot="1">
      <c r="B14" s="775" t="s">
        <v>926</v>
      </c>
      <c r="C14" s="3009" t="s">
        <v>927</v>
      </c>
      <c r="D14" s="3010"/>
      <c r="E14" s="776"/>
      <c r="F14" s="776"/>
      <c r="G14" s="439"/>
      <c r="H14" s="775" t="s">
        <v>926</v>
      </c>
      <c r="I14" s="3000" t="s">
        <v>927</v>
      </c>
      <c r="J14" s="3001"/>
      <c r="K14" s="776"/>
      <c r="L14" s="1726"/>
      <c r="M14" s="1607"/>
      <c r="N14" s="1607"/>
      <c r="O14" s="1607"/>
      <c r="P14" s="1609"/>
      <c r="Q14" s="1607"/>
      <c r="R14" s="1607"/>
      <c r="S14" s="1607"/>
      <c r="T14" s="1613"/>
    </row>
    <row r="15" spans="2:20" ht="15" thickBot="1">
      <c r="B15" s="773" t="s">
        <v>935</v>
      </c>
      <c r="C15" s="1705">
        <v>14</v>
      </c>
      <c r="D15" s="1706" t="s">
        <v>732</v>
      </c>
      <c r="E15" s="464"/>
      <c r="F15" s="464"/>
      <c r="G15" s="439"/>
      <c r="H15" s="1600" t="s">
        <v>1529</v>
      </c>
      <c r="I15" s="1719">
        <v>1</v>
      </c>
      <c r="J15" s="1714" t="s">
        <v>889</v>
      </c>
      <c r="K15" s="464"/>
      <c r="L15" s="465"/>
      <c r="M15" s="1615"/>
      <c r="N15" s="1615"/>
      <c r="O15" s="1615"/>
      <c r="P15" s="1615"/>
      <c r="Q15" s="1615"/>
      <c r="R15" s="1615"/>
      <c r="S15" s="1615"/>
      <c r="T15" s="1616"/>
    </row>
    <row r="16" spans="2:20">
      <c r="B16" s="773" t="s">
        <v>929</v>
      </c>
      <c r="C16" s="1715">
        <v>1.4</v>
      </c>
      <c r="D16" s="1707" t="s">
        <v>357</v>
      </c>
      <c r="E16" s="464"/>
      <c r="F16" s="464"/>
      <c r="G16" s="439"/>
      <c r="H16" s="773" t="s">
        <v>930</v>
      </c>
      <c r="I16" s="858">
        <v>0.5</v>
      </c>
      <c r="J16" s="1712" t="s">
        <v>889</v>
      </c>
      <c r="K16" s="464"/>
      <c r="L16" s="465"/>
    </row>
    <row r="17" spans="2:12">
      <c r="B17" s="1600" t="s">
        <v>1525</v>
      </c>
      <c r="C17" s="792">
        <v>4.5</v>
      </c>
      <c r="D17" s="1707" t="s">
        <v>357</v>
      </c>
      <c r="E17" s="464"/>
      <c r="F17" s="464"/>
      <c r="G17" s="439"/>
      <c r="H17" s="489"/>
      <c r="I17" s="438"/>
      <c r="J17" s="438"/>
      <c r="K17" s="464"/>
      <c r="L17" s="465"/>
    </row>
    <row r="18" spans="2:12">
      <c r="B18" s="773" t="s">
        <v>930</v>
      </c>
      <c r="C18" s="792">
        <v>0.5</v>
      </c>
      <c r="D18" s="1707" t="s">
        <v>889</v>
      </c>
      <c r="E18" s="464"/>
      <c r="F18" s="464"/>
      <c r="G18" s="439"/>
      <c r="H18" s="773"/>
      <c r="I18" s="464"/>
      <c r="J18" s="464"/>
      <c r="K18" s="464"/>
      <c r="L18" s="465"/>
    </row>
    <row r="19" spans="2:12" ht="13.5" thickBot="1">
      <c r="B19" s="777" t="s">
        <v>936</v>
      </c>
      <c r="C19" s="792">
        <v>0</v>
      </c>
      <c r="D19" s="1707" t="s">
        <v>889</v>
      </c>
      <c r="E19" s="464"/>
      <c r="F19" s="464"/>
      <c r="G19" s="439"/>
      <c r="H19" s="773"/>
      <c r="I19" s="1602" t="s">
        <v>1524</v>
      </c>
      <c r="J19" s="1602"/>
      <c r="K19" s="1601"/>
      <c r="L19" s="465"/>
    </row>
    <row r="20" spans="2:12" ht="18.75" thickBot="1">
      <c r="B20" s="777" t="s">
        <v>937</v>
      </c>
      <c r="C20" s="792">
        <v>1.2</v>
      </c>
      <c r="D20" s="1707" t="s">
        <v>357</v>
      </c>
      <c r="E20" s="464"/>
      <c r="F20" s="464"/>
      <c r="G20" s="439"/>
      <c r="H20" s="774" t="s">
        <v>934</v>
      </c>
      <c r="I20" s="1603">
        <f>(I16/I15)*100</f>
        <v>50</v>
      </c>
      <c r="J20" s="1604" t="s">
        <v>211</v>
      </c>
      <c r="K20" s="464"/>
      <c r="L20" s="465"/>
    </row>
    <row r="21" spans="2:12" ht="13.5" thickBot="1">
      <c r="B21" s="777" t="s">
        <v>938</v>
      </c>
      <c r="C21" s="1708">
        <v>2.7</v>
      </c>
      <c r="D21" s="1709" t="s">
        <v>357</v>
      </c>
      <c r="E21" s="464"/>
      <c r="F21" s="464"/>
      <c r="G21" s="439"/>
      <c r="H21" s="489"/>
      <c r="I21" s="438"/>
      <c r="J21" s="438"/>
      <c r="K21" s="464"/>
      <c r="L21" s="465"/>
    </row>
    <row r="22" spans="2:12" ht="13.5" thickBot="1">
      <c r="B22" s="777" t="s">
        <v>939</v>
      </c>
      <c r="C22" s="1713">
        <f>C20*C21*C19</f>
        <v>0</v>
      </c>
      <c r="D22" s="1714" t="s">
        <v>732</v>
      </c>
      <c r="E22" s="464"/>
      <c r="F22" s="464"/>
      <c r="G22" s="439"/>
      <c r="H22" s="488"/>
      <c r="I22" s="448"/>
      <c r="J22" s="448"/>
      <c r="K22" s="472"/>
      <c r="L22" s="474"/>
    </row>
    <row r="23" spans="2:12">
      <c r="B23" s="773" t="s">
        <v>935</v>
      </c>
      <c r="C23" s="1681">
        <f>C15-C22</f>
        <v>14</v>
      </c>
      <c r="D23" s="1680" t="s">
        <v>732</v>
      </c>
      <c r="E23" s="464"/>
      <c r="F23" s="464"/>
      <c r="G23" s="439"/>
    </row>
    <row r="24" spans="2:12">
      <c r="B24" s="773"/>
      <c r="C24" s="464"/>
      <c r="D24" s="464"/>
      <c r="E24" s="464"/>
      <c r="F24" s="464"/>
      <c r="G24" s="439"/>
    </row>
    <row r="25" spans="2:12">
      <c r="B25" s="773"/>
      <c r="C25" s="3015" t="s">
        <v>931</v>
      </c>
      <c r="D25" s="3015"/>
      <c r="E25" s="3016" t="s">
        <v>932</v>
      </c>
      <c r="F25" s="3016"/>
      <c r="G25" s="439"/>
    </row>
    <row r="26" spans="2:12" ht="13.5" thickBot="1">
      <c r="B26" s="773" t="s">
        <v>933</v>
      </c>
      <c r="C26" s="1727">
        <f>C23/(C16*C17)*0.8</f>
        <v>1.7777777777777779</v>
      </c>
      <c r="D26" s="1728" t="s">
        <v>889</v>
      </c>
      <c r="E26" s="1731">
        <f>C23/(C16*(C17*2))*0.8</f>
        <v>0.88888888888888895</v>
      </c>
      <c r="F26" s="1730" t="s">
        <v>889</v>
      </c>
      <c r="G26" s="439"/>
    </row>
    <row r="27" spans="2:12" ht="18.75" thickBot="1">
      <c r="B27" s="774" t="s">
        <v>934</v>
      </c>
      <c r="C27" s="1603">
        <f>C18/C26*100</f>
        <v>28.125</v>
      </c>
      <c r="D27" s="1604" t="s">
        <v>211</v>
      </c>
      <c r="E27" s="1605">
        <f>C18/E26*100</f>
        <v>56.25</v>
      </c>
      <c r="F27" s="1606" t="s">
        <v>211</v>
      </c>
      <c r="G27" s="439"/>
    </row>
    <row r="28" spans="2:12" ht="13.5" thickBot="1">
      <c r="B28" s="489"/>
      <c r="C28" s="438"/>
      <c r="D28" s="438"/>
      <c r="E28" s="438"/>
      <c r="F28" s="438"/>
      <c r="G28" s="439"/>
    </row>
    <row r="29" spans="2:12" ht="15" customHeight="1">
      <c r="B29" s="3006" t="s">
        <v>1585</v>
      </c>
      <c r="C29" s="3007"/>
      <c r="D29" s="3007"/>
      <c r="E29" s="3007"/>
      <c r="F29" s="3007"/>
      <c r="G29" s="765"/>
      <c r="H29" s="765"/>
      <c r="I29" s="765"/>
      <c r="J29" s="765"/>
      <c r="K29" s="509"/>
    </row>
    <row r="30" spans="2:12" ht="15" customHeight="1">
      <c r="B30" s="1682"/>
      <c r="C30" s="1683" t="s">
        <v>1563</v>
      </c>
      <c r="D30" s="1683"/>
      <c r="E30" s="1683"/>
      <c r="F30" s="1683"/>
      <c r="G30" s="1683"/>
      <c r="H30" s="1683"/>
      <c r="I30" s="1683"/>
      <c r="J30" s="1683"/>
      <c r="K30" s="439"/>
    </row>
    <row r="31" spans="2:12" ht="15" customHeight="1">
      <c r="B31" s="1682"/>
      <c r="C31" s="1684" t="s">
        <v>1564</v>
      </c>
      <c r="D31" s="1685" t="s">
        <v>1565</v>
      </c>
      <c r="E31" s="1685"/>
      <c r="F31" s="1685"/>
      <c r="G31" s="1685" t="s">
        <v>1566</v>
      </c>
      <c r="H31" s="1683"/>
      <c r="I31" s="1683"/>
      <c r="J31" s="1683"/>
      <c r="K31" s="439"/>
    </row>
    <row r="32" spans="2:12" ht="15" customHeight="1">
      <c r="B32" s="1682"/>
      <c r="C32" s="1683"/>
      <c r="D32" s="1683" t="s">
        <v>1567</v>
      </c>
      <c r="E32" s="1683"/>
      <c r="F32" s="1683"/>
      <c r="G32" s="1683" t="s">
        <v>1568</v>
      </c>
      <c r="H32" s="1683"/>
      <c r="I32" s="1683"/>
      <c r="J32" s="1683"/>
      <c r="K32" s="439"/>
    </row>
    <row r="33" spans="2:11" ht="15" customHeight="1" thickBot="1">
      <c r="B33" s="1682"/>
      <c r="C33" s="1683"/>
      <c r="D33" s="1683"/>
      <c r="E33" s="1683"/>
      <c r="F33" s="1683"/>
      <c r="G33" s="1683"/>
      <c r="H33" s="1683"/>
      <c r="I33" s="1683"/>
      <c r="J33" s="1683"/>
      <c r="K33" s="439"/>
    </row>
    <row r="34" spans="2:11" ht="15.75" thickBot="1">
      <c r="B34" s="1682"/>
      <c r="C34" s="1683" t="s">
        <v>1569</v>
      </c>
      <c r="D34" s="1683"/>
      <c r="E34" s="1683"/>
      <c r="F34" s="1683"/>
      <c r="G34" s="1685" t="s">
        <v>1570</v>
      </c>
      <c r="H34" s="1685"/>
      <c r="I34" s="1685"/>
      <c r="J34" s="1702">
        <f>F41</f>
        <v>14</v>
      </c>
      <c r="K34" s="1704" t="s">
        <v>732</v>
      </c>
    </row>
    <row r="35" spans="2:11" ht="15.75" thickBot="1">
      <c r="B35" s="1682"/>
      <c r="C35" s="1683"/>
      <c r="D35" s="1683"/>
      <c r="E35" s="1683"/>
      <c r="F35" s="1683"/>
      <c r="G35" s="1683" t="s">
        <v>1571</v>
      </c>
      <c r="H35" s="1683"/>
      <c r="I35" s="1683"/>
      <c r="J35" s="1703">
        <f>((F42-F43)*0.00185+1)*(F44*F43)</f>
        <v>6.9468525000000003</v>
      </c>
      <c r="K35" s="1700" t="s">
        <v>732</v>
      </c>
    </row>
    <row r="36" spans="2:11" ht="15">
      <c r="B36" s="1682" t="s">
        <v>1572</v>
      </c>
      <c r="C36" s="1683"/>
      <c r="D36" s="1683" t="s">
        <v>1573</v>
      </c>
      <c r="E36" s="1683"/>
      <c r="F36" s="1683"/>
      <c r="G36" s="1683"/>
      <c r="H36" s="1683"/>
      <c r="I36" s="1683"/>
      <c r="J36" s="1683"/>
      <c r="K36" s="439"/>
    </row>
    <row r="37" spans="2:11" ht="15">
      <c r="B37" s="1682"/>
      <c r="C37" s="1683" t="s">
        <v>1574</v>
      </c>
      <c r="D37" s="1683"/>
      <c r="E37" s="1683"/>
      <c r="F37" s="1683"/>
      <c r="G37" s="1683"/>
      <c r="H37" s="1683"/>
      <c r="I37" s="1683"/>
      <c r="J37" s="1683"/>
      <c r="K37" s="439"/>
    </row>
    <row r="38" spans="2:11" ht="15">
      <c r="B38" s="1682"/>
      <c r="C38" s="1683"/>
      <c r="D38" s="1683"/>
      <c r="E38" s="1683"/>
      <c r="F38" s="1683"/>
      <c r="G38" s="1683"/>
      <c r="H38" s="1683" t="s">
        <v>1575</v>
      </c>
      <c r="I38" s="1683"/>
      <c r="J38" s="1683"/>
      <c r="K38" s="439"/>
    </row>
    <row r="39" spans="2:11" ht="15">
      <c r="B39" s="1682"/>
      <c r="C39" s="1683" t="s">
        <v>1576</v>
      </c>
      <c r="D39" s="1683"/>
      <c r="E39" s="1683"/>
      <c r="F39" s="1683"/>
      <c r="G39" s="1683"/>
      <c r="H39" s="1683"/>
      <c r="I39" s="1683"/>
      <c r="J39" s="1683"/>
      <c r="K39" s="439"/>
    </row>
    <row r="40" spans="2:11" ht="15">
      <c r="B40" s="1682"/>
      <c r="C40" s="1683"/>
      <c r="D40" s="1683"/>
      <c r="E40" s="1683"/>
      <c r="F40" s="1683"/>
      <c r="G40" s="1683"/>
      <c r="H40" s="1683"/>
      <c r="I40" s="1683"/>
      <c r="J40" s="1683"/>
      <c r="K40" s="439"/>
    </row>
    <row r="41" spans="2:11" ht="15.75">
      <c r="B41" s="1686" t="s">
        <v>1577</v>
      </c>
      <c r="C41" s="1687" t="s">
        <v>1578</v>
      </c>
      <c r="D41" s="1687"/>
      <c r="E41" s="1687"/>
      <c r="F41" s="1695">
        <v>14</v>
      </c>
      <c r="G41" s="1688"/>
      <c r="H41" s="1683"/>
      <c r="I41" s="1683"/>
      <c r="J41" s="648"/>
      <c r="K41" s="439"/>
    </row>
    <row r="42" spans="2:11" ht="15">
      <c r="B42" s="1682"/>
      <c r="C42" s="1683" t="s">
        <v>1579</v>
      </c>
      <c r="D42" s="1683"/>
      <c r="E42" s="1683"/>
      <c r="F42" s="1695">
        <v>60</v>
      </c>
      <c r="G42" s="1689"/>
      <c r="H42" s="1683"/>
      <c r="I42" s="1683"/>
      <c r="J42" s="648"/>
      <c r="K42" s="439"/>
    </row>
    <row r="43" spans="2:11" ht="15">
      <c r="B43" s="1682"/>
      <c r="C43" s="1683" t="s">
        <v>1580</v>
      </c>
      <c r="D43" s="1683"/>
      <c r="E43" s="1683"/>
      <c r="F43" s="1695">
        <v>4.5</v>
      </c>
      <c r="G43" s="1689"/>
      <c r="H43" s="1683"/>
      <c r="I43" s="1683"/>
      <c r="J43" s="648"/>
      <c r="K43" s="439"/>
    </row>
    <row r="44" spans="2:11" ht="15">
      <c r="B44" s="1682"/>
      <c r="C44" s="1683" t="s">
        <v>1581</v>
      </c>
      <c r="D44" s="1683"/>
      <c r="E44" s="1683"/>
      <c r="F44" s="1696">
        <v>1.4</v>
      </c>
      <c r="G44" s="1689"/>
      <c r="H44" s="1683"/>
      <c r="I44" s="1683"/>
      <c r="J44" s="648"/>
      <c r="K44" s="439"/>
    </row>
    <row r="45" spans="2:11" ht="15">
      <c r="B45" s="1682"/>
      <c r="C45" s="1683" t="s">
        <v>1582</v>
      </c>
      <c r="D45" s="1683"/>
      <c r="E45" s="1683"/>
      <c r="F45" s="1696">
        <v>0.5</v>
      </c>
      <c r="G45" s="1689"/>
      <c r="H45" s="1683"/>
      <c r="I45" s="1683"/>
      <c r="J45" s="648"/>
      <c r="K45" s="439"/>
    </row>
    <row r="46" spans="2:11" ht="15.75" thickBot="1">
      <c r="B46" s="1682"/>
      <c r="C46" s="1683"/>
      <c r="D46" s="1683"/>
      <c r="E46" s="1683"/>
      <c r="F46" s="1683"/>
      <c r="G46" s="1689"/>
      <c r="H46" s="1683"/>
      <c r="I46" s="1683"/>
      <c r="J46" s="648"/>
      <c r="K46" s="439"/>
    </row>
    <row r="47" spans="2:11" ht="16.5" thickBot="1">
      <c r="B47" s="1682"/>
      <c r="C47" s="1697" t="s">
        <v>1583</v>
      </c>
      <c r="D47" s="1698"/>
      <c r="E47" s="1698"/>
      <c r="F47" s="1699">
        <f>J34/J35</f>
        <v>2.0153011741648466</v>
      </c>
      <c r="G47" s="1700" t="s">
        <v>889</v>
      </c>
      <c r="H47" s="1683"/>
      <c r="I47" s="1683"/>
      <c r="J47" s="648"/>
      <c r="K47" s="439"/>
    </row>
    <row r="48" spans="2:11" ht="16.5" thickBot="1">
      <c r="B48" s="1690"/>
      <c r="C48" s="1691"/>
      <c r="D48" s="1685"/>
      <c r="E48" s="1697" t="s">
        <v>1584</v>
      </c>
      <c r="F48" s="1701">
        <f>F45*100/F47</f>
        <v>24.810187500000001</v>
      </c>
      <c r="G48" s="1700" t="s">
        <v>211</v>
      </c>
      <c r="H48" s="1683"/>
      <c r="I48" s="1683"/>
      <c r="J48" s="648"/>
      <c r="K48" s="439"/>
    </row>
    <row r="49" spans="2:11" ht="18.75" customHeight="1" thickBot="1">
      <c r="B49" s="1692"/>
      <c r="C49" s="1693"/>
      <c r="D49" s="1694"/>
      <c r="E49" s="1693"/>
      <c r="F49" s="1694"/>
      <c r="G49" s="1693"/>
      <c r="H49" s="1693"/>
      <c r="I49" s="1693"/>
      <c r="J49" s="1693"/>
      <c r="K49" s="450"/>
    </row>
    <row r="50" spans="2:11" ht="18.75" customHeight="1"/>
    <row r="57" spans="2:11" ht="22.5" customHeight="1"/>
  </sheetData>
  <mergeCells count="16">
    <mergeCell ref="I1:K1"/>
    <mergeCell ref="R3:S3"/>
    <mergeCell ref="I10:L10"/>
    <mergeCell ref="B29:F29"/>
    <mergeCell ref="M2:O2"/>
    <mergeCell ref="B13:D13"/>
    <mergeCell ref="H13:I13"/>
    <mergeCell ref="C3:D3"/>
    <mergeCell ref="C14:D14"/>
    <mergeCell ref="I3:J3"/>
    <mergeCell ref="I14:J14"/>
    <mergeCell ref="N3:O3"/>
    <mergeCell ref="C9:D9"/>
    <mergeCell ref="E9:F9"/>
    <mergeCell ref="C25:D25"/>
    <mergeCell ref="E25:F25"/>
  </mergeCells>
  <hyperlinks>
    <hyperlink ref="I1" location="INDEX!A1" display="INDEX!A1"/>
  </hyperlinks>
  <pageMargins left="0.75" right="0.75" top="1" bottom="1" header="0.5" footer="0.5"/>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B1:GE59"/>
  <sheetViews>
    <sheetView zoomScale="77" zoomScaleNormal="77" workbookViewId="0">
      <selection activeCell="H7" sqref="H7"/>
    </sheetView>
  </sheetViews>
  <sheetFormatPr defaultRowHeight="12.75"/>
  <cols>
    <col min="1" max="1" width="3" style="435" customWidth="1"/>
    <col min="2" max="2" width="37.28515625" style="435" customWidth="1"/>
    <col min="3" max="3" width="11.85546875" style="435" customWidth="1"/>
    <col min="4" max="4" width="12.28515625" style="435" customWidth="1"/>
    <col min="5" max="5" width="8.5703125" style="435" customWidth="1"/>
    <col min="6" max="19" width="8.42578125" style="435" bestFit="1" customWidth="1"/>
    <col min="20" max="35" width="9.5703125" style="435" bestFit="1" customWidth="1"/>
    <col min="36" max="37" width="9.140625" style="435" bestFit="1" customWidth="1"/>
    <col min="38" max="187" width="9" style="435" bestFit="1" customWidth="1"/>
    <col min="188" max="256" width="9.140625" style="435"/>
    <col min="257" max="257" width="3" style="435" customWidth="1"/>
    <col min="258" max="258" width="39.28515625" style="435" customWidth="1"/>
    <col min="259" max="259" width="11.5703125" style="435" customWidth="1"/>
    <col min="260" max="268" width="10.28515625" style="435" customWidth="1"/>
    <col min="269" max="273" width="9.85546875" style="435" bestFit="1" customWidth="1"/>
    <col min="274" max="275" width="9.140625" style="435"/>
    <col min="276" max="288" width="9.85546875" style="435" bestFit="1" customWidth="1"/>
    <col min="289" max="442" width="9.140625" style="435"/>
    <col min="443" max="443" width="9.140625" style="435" customWidth="1"/>
    <col min="444" max="512" width="9.140625" style="435"/>
    <col min="513" max="513" width="3" style="435" customWidth="1"/>
    <col min="514" max="514" width="39.28515625" style="435" customWidth="1"/>
    <col min="515" max="515" width="11.5703125" style="435" customWidth="1"/>
    <col min="516" max="524" width="10.28515625" style="435" customWidth="1"/>
    <col min="525" max="529" width="9.85546875" style="435" bestFit="1" customWidth="1"/>
    <col min="530" max="531" width="9.140625" style="435"/>
    <col min="532" max="544" width="9.85546875" style="435" bestFit="1" customWidth="1"/>
    <col min="545" max="698" width="9.140625" style="435"/>
    <col min="699" max="699" width="9.140625" style="435" customWidth="1"/>
    <col min="700" max="768" width="9.140625" style="435"/>
    <col min="769" max="769" width="3" style="435" customWidth="1"/>
    <col min="770" max="770" width="39.28515625" style="435" customWidth="1"/>
    <col min="771" max="771" width="11.5703125" style="435" customWidth="1"/>
    <col min="772" max="780" width="10.28515625" style="435" customWidth="1"/>
    <col min="781" max="785" width="9.85546875" style="435" bestFit="1" customWidth="1"/>
    <col min="786" max="787" width="9.140625" style="435"/>
    <col min="788" max="800" width="9.85546875" style="435" bestFit="1" customWidth="1"/>
    <col min="801" max="954" width="9.140625" style="435"/>
    <col min="955" max="955" width="9.140625" style="435" customWidth="1"/>
    <col min="956" max="1024" width="9.140625" style="435"/>
    <col min="1025" max="1025" width="3" style="435" customWidth="1"/>
    <col min="1026" max="1026" width="39.28515625" style="435" customWidth="1"/>
    <col min="1027" max="1027" width="11.5703125" style="435" customWidth="1"/>
    <col min="1028" max="1036" width="10.28515625" style="435" customWidth="1"/>
    <col min="1037" max="1041" width="9.85546875" style="435" bestFit="1" customWidth="1"/>
    <col min="1042" max="1043" width="9.140625" style="435"/>
    <col min="1044" max="1056" width="9.85546875" style="435" bestFit="1" customWidth="1"/>
    <col min="1057" max="1210" width="9.140625" style="435"/>
    <col min="1211" max="1211" width="9.140625" style="435" customWidth="1"/>
    <col min="1212" max="1280" width="9.140625" style="435"/>
    <col min="1281" max="1281" width="3" style="435" customWidth="1"/>
    <col min="1282" max="1282" width="39.28515625" style="435" customWidth="1"/>
    <col min="1283" max="1283" width="11.5703125" style="435" customWidth="1"/>
    <col min="1284" max="1292" width="10.28515625" style="435" customWidth="1"/>
    <col min="1293" max="1297" width="9.85546875" style="435" bestFit="1" customWidth="1"/>
    <col min="1298" max="1299" width="9.140625" style="435"/>
    <col min="1300" max="1312" width="9.85546875" style="435" bestFit="1" customWidth="1"/>
    <col min="1313" max="1466" width="9.140625" style="435"/>
    <col min="1467" max="1467" width="9.140625" style="435" customWidth="1"/>
    <col min="1468" max="1536" width="9.140625" style="435"/>
    <col min="1537" max="1537" width="3" style="435" customWidth="1"/>
    <col min="1538" max="1538" width="39.28515625" style="435" customWidth="1"/>
    <col min="1539" max="1539" width="11.5703125" style="435" customWidth="1"/>
    <col min="1540" max="1548" width="10.28515625" style="435" customWidth="1"/>
    <col min="1549" max="1553" width="9.85546875" style="435" bestFit="1" customWidth="1"/>
    <col min="1554" max="1555" width="9.140625" style="435"/>
    <col min="1556" max="1568" width="9.85546875" style="435" bestFit="1" customWidth="1"/>
    <col min="1569" max="1722" width="9.140625" style="435"/>
    <col min="1723" max="1723" width="9.140625" style="435" customWidth="1"/>
    <col min="1724" max="1792" width="9.140625" style="435"/>
    <col min="1793" max="1793" width="3" style="435" customWidth="1"/>
    <col min="1794" max="1794" width="39.28515625" style="435" customWidth="1"/>
    <col min="1795" max="1795" width="11.5703125" style="435" customWidth="1"/>
    <col min="1796" max="1804" width="10.28515625" style="435" customWidth="1"/>
    <col min="1805" max="1809" width="9.85546875" style="435" bestFit="1" customWidth="1"/>
    <col min="1810" max="1811" width="9.140625" style="435"/>
    <col min="1812" max="1824" width="9.85546875" style="435" bestFit="1" customWidth="1"/>
    <col min="1825" max="1978" width="9.140625" style="435"/>
    <col min="1979" max="1979" width="9.140625" style="435" customWidth="1"/>
    <col min="1980" max="2048" width="9.140625" style="435"/>
    <col min="2049" max="2049" width="3" style="435" customWidth="1"/>
    <col min="2050" max="2050" width="39.28515625" style="435" customWidth="1"/>
    <col min="2051" max="2051" width="11.5703125" style="435" customWidth="1"/>
    <col min="2052" max="2060" width="10.28515625" style="435" customWidth="1"/>
    <col min="2061" max="2065" width="9.85546875" style="435" bestFit="1" customWidth="1"/>
    <col min="2066" max="2067" width="9.140625" style="435"/>
    <col min="2068" max="2080" width="9.85546875" style="435" bestFit="1" customWidth="1"/>
    <col min="2081" max="2234" width="9.140625" style="435"/>
    <col min="2235" max="2235" width="9.140625" style="435" customWidth="1"/>
    <col min="2236" max="2304" width="9.140625" style="435"/>
    <col min="2305" max="2305" width="3" style="435" customWidth="1"/>
    <col min="2306" max="2306" width="39.28515625" style="435" customWidth="1"/>
    <col min="2307" max="2307" width="11.5703125" style="435" customWidth="1"/>
    <col min="2308" max="2316" width="10.28515625" style="435" customWidth="1"/>
    <col min="2317" max="2321" width="9.85546875" style="435" bestFit="1" customWidth="1"/>
    <col min="2322" max="2323" width="9.140625" style="435"/>
    <col min="2324" max="2336" width="9.85546875" style="435" bestFit="1" customWidth="1"/>
    <col min="2337" max="2490" width="9.140625" style="435"/>
    <col min="2491" max="2491" width="9.140625" style="435" customWidth="1"/>
    <col min="2492" max="2560" width="9.140625" style="435"/>
    <col min="2561" max="2561" width="3" style="435" customWidth="1"/>
    <col min="2562" max="2562" width="39.28515625" style="435" customWidth="1"/>
    <col min="2563" max="2563" width="11.5703125" style="435" customWidth="1"/>
    <col min="2564" max="2572" width="10.28515625" style="435" customWidth="1"/>
    <col min="2573" max="2577" width="9.85546875" style="435" bestFit="1" customWidth="1"/>
    <col min="2578" max="2579" width="9.140625" style="435"/>
    <col min="2580" max="2592" width="9.85546875" style="435" bestFit="1" customWidth="1"/>
    <col min="2593" max="2746" width="9.140625" style="435"/>
    <col min="2747" max="2747" width="9.140625" style="435" customWidth="1"/>
    <col min="2748" max="2816" width="9.140625" style="435"/>
    <col min="2817" max="2817" width="3" style="435" customWidth="1"/>
    <col min="2818" max="2818" width="39.28515625" style="435" customWidth="1"/>
    <col min="2819" max="2819" width="11.5703125" style="435" customWidth="1"/>
    <col min="2820" max="2828" width="10.28515625" style="435" customWidth="1"/>
    <col min="2829" max="2833" width="9.85546875" style="435" bestFit="1" customWidth="1"/>
    <col min="2834" max="2835" width="9.140625" style="435"/>
    <col min="2836" max="2848" width="9.85546875" style="435" bestFit="1" customWidth="1"/>
    <col min="2849" max="3002" width="9.140625" style="435"/>
    <col min="3003" max="3003" width="9.140625" style="435" customWidth="1"/>
    <col min="3004" max="3072" width="9.140625" style="435"/>
    <col min="3073" max="3073" width="3" style="435" customWidth="1"/>
    <col min="3074" max="3074" width="39.28515625" style="435" customWidth="1"/>
    <col min="3075" max="3075" width="11.5703125" style="435" customWidth="1"/>
    <col min="3076" max="3084" width="10.28515625" style="435" customWidth="1"/>
    <col min="3085" max="3089" width="9.85546875" style="435" bestFit="1" customWidth="1"/>
    <col min="3090" max="3091" width="9.140625" style="435"/>
    <col min="3092" max="3104" width="9.85546875" style="435" bestFit="1" customWidth="1"/>
    <col min="3105" max="3258" width="9.140625" style="435"/>
    <col min="3259" max="3259" width="9.140625" style="435" customWidth="1"/>
    <col min="3260" max="3328" width="9.140625" style="435"/>
    <col min="3329" max="3329" width="3" style="435" customWidth="1"/>
    <col min="3330" max="3330" width="39.28515625" style="435" customWidth="1"/>
    <col min="3331" max="3331" width="11.5703125" style="435" customWidth="1"/>
    <col min="3332" max="3340" width="10.28515625" style="435" customWidth="1"/>
    <col min="3341" max="3345" width="9.85546875" style="435" bestFit="1" customWidth="1"/>
    <col min="3346" max="3347" width="9.140625" style="435"/>
    <col min="3348" max="3360" width="9.85546875" style="435" bestFit="1" customWidth="1"/>
    <col min="3361" max="3514" width="9.140625" style="435"/>
    <col min="3515" max="3515" width="9.140625" style="435" customWidth="1"/>
    <col min="3516" max="3584" width="9.140625" style="435"/>
    <col min="3585" max="3585" width="3" style="435" customWidth="1"/>
    <col min="3586" max="3586" width="39.28515625" style="435" customWidth="1"/>
    <col min="3587" max="3587" width="11.5703125" style="435" customWidth="1"/>
    <col min="3588" max="3596" width="10.28515625" style="435" customWidth="1"/>
    <col min="3597" max="3601" width="9.85546875" style="435" bestFit="1" customWidth="1"/>
    <col min="3602" max="3603" width="9.140625" style="435"/>
    <col min="3604" max="3616" width="9.85546875" style="435" bestFit="1" customWidth="1"/>
    <col min="3617" max="3770" width="9.140625" style="435"/>
    <col min="3771" max="3771" width="9.140625" style="435" customWidth="1"/>
    <col min="3772" max="3840" width="9.140625" style="435"/>
    <col min="3841" max="3841" width="3" style="435" customWidth="1"/>
    <col min="3842" max="3842" width="39.28515625" style="435" customWidth="1"/>
    <col min="3843" max="3843" width="11.5703125" style="435" customWidth="1"/>
    <col min="3844" max="3852" width="10.28515625" style="435" customWidth="1"/>
    <col min="3853" max="3857" width="9.85546875" style="435" bestFit="1" customWidth="1"/>
    <col min="3858" max="3859" width="9.140625" style="435"/>
    <col min="3860" max="3872" width="9.85546875" style="435" bestFit="1" customWidth="1"/>
    <col min="3873" max="4026" width="9.140625" style="435"/>
    <col min="4027" max="4027" width="9.140625" style="435" customWidth="1"/>
    <col min="4028" max="4096" width="9.140625" style="435"/>
    <col min="4097" max="4097" width="3" style="435" customWidth="1"/>
    <col min="4098" max="4098" width="39.28515625" style="435" customWidth="1"/>
    <col min="4099" max="4099" width="11.5703125" style="435" customWidth="1"/>
    <col min="4100" max="4108" width="10.28515625" style="435" customWidth="1"/>
    <col min="4109" max="4113" width="9.85546875" style="435" bestFit="1" customWidth="1"/>
    <col min="4114" max="4115" width="9.140625" style="435"/>
    <col min="4116" max="4128" width="9.85546875" style="435" bestFit="1" customWidth="1"/>
    <col min="4129" max="4282" width="9.140625" style="435"/>
    <col min="4283" max="4283" width="9.140625" style="435" customWidth="1"/>
    <col min="4284" max="4352" width="9.140625" style="435"/>
    <col min="4353" max="4353" width="3" style="435" customWidth="1"/>
    <col min="4354" max="4354" width="39.28515625" style="435" customWidth="1"/>
    <col min="4355" max="4355" width="11.5703125" style="435" customWidth="1"/>
    <col min="4356" max="4364" width="10.28515625" style="435" customWidth="1"/>
    <col min="4365" max="4369" width="9.85546875" style="435" bestFit="1" customWidth="1"/>
    <col min="4370" max="4371" width="9.140625" style="435"/>
    <col min="4372" max="4384" width="9.85546875" style="435" bestFit="1" customWidth="1"/>
    <col min="4385" max="4538" width="9.140625" style="435"/>
    <col min="4539" max="4539" width="9.140625" style="435" customWidth="1"/>
    <col min="4540" max="4608" width="9.140625" style="435"/>
    <col min="4609" max="4609" width="3" style="435" customWidth="1"/>
    <col min="4610" max="4610" width="39.28515625" style="435" customWidth="1"/>
    <col min="4611" max="4611" width="11.5703125" style="435" customWidth="1"/>
    <col min="4612" max="4620" width="10.28515625" style="435" customWidth="1"/>
    <col min="4621" max="4625" width="9.85546875" style="435" bestFit="1" customWidth="1"/>
    <col min="4626" max="4627" width="9.140625" style="435"/>
    <col min="4628" max="4640" width="9.85546875" style="435" bestFit="1" customWidth="1"/>
    <col min="4641" max="4794" width="9.140625" style="435"/>
    <col min="4795" max="4795" width="9.140625" style="435" customWidth="1"/>
    <col min="4796" max="4864" width="9.140625" style="435"/>
    <col min="4865" max="4865" width="3" style="435" customWidth="1"/>
    <col min="4866" max="4866" width="39.28515625" style="435" customWidth="1"/>
    <col min="4867" max="4867" width="11.5703125" style="435" customWidth="1"/>
    <col min="4868" max="4876" width="10.28515625" style="435" customWidth="1"/>
    <col min="4877" max="4881" width="9.85546875" style="435" bestFit="1" customWidth="1"/>
    <col min="4882" max="4883" width="9.140625" style="435"/>
    <col min="4884" max="4896" width="9.85546875" style="435" bestFit="1" customWidth="1"/>
    <col min="4897" max="5050" width="9.140625" style="435"/>
    <col min="5051" max="5051" width="9.140625" style="435" customWidth="1"/>
    <col min="5052" max="5120" width="9.140625" style="435"/>
    <col min="5121" max="5121" width="3" style="435" customWidth="1"/>
    <col min="5122" max="5122" width="39.28515625" style="435" customWidth="1"/>
    <col min="5123" max="5123" width="11.5703125" style="435" customWidth="1"/>
    <col min="5124" max="5132" width="10.28515625" style="435" customWidth="1"/>
    <col min="5133" max="5137" width="9.85546875" style="435" bestFit="1" customWidth="1"/>
    <col min="5138" max="5139" width="9.140625" style="435"/>
    <col min="5140" max="5152" width="9.85546875" style="435" bestFit="1" customWidth="1"/>
    <col min="5153" max="5306" width="9.140625" style="435"/>
    <col min="5307" max="5307" width="9.140625" style="435" customWidth="1"/>
    <col min="5308" max="5376" width="9.140625" style="435"/>
    <col min="5377" max="5377" width="3" style="435" customWidth="1"/>
    <col min="5378" max="5378" width="39.28515625" style="435" customWidth="1"/>
    <col min="5379" max="5379" width="11.5703125" style="435" customWidth="1"/>
    <col min="5380" max="5388" width="10.28515625" style="435" customWidth="1"/>
    <col min="5389" max="5393" width="9.85546875" style="435" bestFit="1" customWidth="1"/>
    <col min="5394" max="5395" width="9.140625" style="435"/>
    <col min="5396" max="5408" width="9.85546875" style="435" bestFit="1" customWidth="1"/>
    <col min="5409" max="5562" width="9.140625" style="435"/>
    <col min="5563" max="5563" width="9.140625" style="435" customWidth="1"/>
    <col min="5564" max="5632" width="9.140625" style="435"/>
    <col min="5633" max="5633" width="3" style="435" customWidth="1"/>
    <col min="5634" max="5634" width="39.28515625" style="435" customWidth="1"/>
    <col min="5635" max="5635" width="11.5703125" style="435" customWidth="1"/>
    <col min="5636" max="5644" width="10.28515625" style="435" customWidth="1"/>
    <col min="5645" max="5649" width="9.85546875" style="435" bestFit="1" customWidth="1"/>
    <col min="5650" max="5651" width="9.140625" style="435"/>
    <col min="5652" max="5664" width="9.85546875" style="435" bestFit="1" customWidth="1"/>
    <col min="5665" max="5818" width="9.140625" style="435"/>
    <col min="5819" max="5819" width="9.140625" style="435" customWidth="1"/>
    <col min="5820" max="5888" width="9.140625" style="435"/>
    <col min="5889" max="5889" width="3" style="435" customWidth="1"/>
    <col min="5890" max="5890" width="39.28515625" style="435" customWidth="1"/>
    <col min="5891" max="5891" width="11.5703125" style="435" customWidth="1"/>
    <col min="5892" max="5900" width="10.28515625" style="435" customWidth="1"/>
    <col min="5901" max="5905" width="9.85546875" style="435" bestFit="1" customWidth="1"/>
    <col min="5906" max="5907" width="9.140625" style="435"/>
    <col min="5908" max="5920" width="9.85546875" style="435" bestFit="1" customWidth="1"/>
    <col min="5921" max="6074" width="9.140625" style="435"/>
    <col min="6075" max="6075" width="9.140625" style="435" customWidth="1"/>
    <col min="6076" max="6144" width="9.140625" style="435"/>
    <col min="6145" max="6145" width="3" style="435" customWidth="1"/>
    <col min="6146" max="6146" width="39.28515625" style="435" customWidth="1"/>
    <col min="6147" max="6147" width="11.5703125" style="435" customWidth="1"/>
    <col min="6148" max="6156" width="10.28515625" style="435" customWidth="1"/>
    <col min="6157" max="6161" width="9.85546875" style="435" bestFit="1" customWidth="1"/>
    <col min="6162" max="6163" width="9.140625" style="435"/>
    <col min="6164" max="6176" width="9.85546875" style="435" bestFit="1" customWidth="1"/>
    <col min="6177" max="6330" width="9.140625" style="435"/>
    <col min="6331" max="6331" width="9.140625" style="435" customWidth="1"/>
    <col min="6332" max="6400" width="9.140625" style="435"/>
    <col min="6401" max="6401" width="3" style="435" customWidth="1"/>
    <col min="6402" max="6402" width="39.28515625" style="435" customWidth="1"/>
    <col min="6403" max="6403" width="11.5703125" style="435" customWidth="1"/>
    <col min="6404" max="6412" width="10.28515625" style="435" customWidth="1"/>
    <col min="6413" max="6417" width="9.85546875" style="435" bestFit="1" customWidth="1"/>
    <col min="6418" max="6419" width="9.140625" style="435"/>
    <col min="6420" max="6432" width="9.85546875" style="435" bestFit="1" customWidth="1"/>
    <col min="6433" max="6586" width="9.140625" style="435"/>
    <col min="6587" max="6587" width="9.140625" style="435" customWidth="1"/>
    <col min="6588" max="6656" width="9.140625" style="435"/>
    <col min="6657" max="6657" width="3" style="435" customWidth="1"/>
    <col min="6658" max="6658" width="39.28515625" style="435" customWidth="1"/>
    <col min="6659" max="6659" width="11.5703125" style="435" customWidth="1"/>
    <col min="6660" max="6668" width="10.28515625" style="435" customWidth="1"/>
    <col min="6669" max="6673" width="9.85546875" style="435" bestFit="1" customWidth="1"/>
    <col min="6674" max="6675" width="9.140625" style="435"/>
    <col min="6676" max="6688" width="9.85546875" style="435" bestFit="1" customWidth="1"/>
    <col min="6689" max="6842" width="9.140625" style="435"/>
    <col min="6843" max="6843" width="9.140625" style="435" customWidth="1"/>
    <col min="6844" max="6912" width="9.140625" style="435"/>
    <col min="6913" max="6913" width="3" style="435" customWidth="1"/>
    <col min="6914" max="6914" width="39.28515625" style="435" customWidth="1"/>
    <col min="6915" max="6915" width="11.5703125" style="435" customWidth="1"/>
    <col min="6916" max="6924" width="10.28515625" style="435" customWidth="1"/>
    <col min="6925" max="6929" width="9.85546875" style="435" bestFit="1" customWidth="1"/>
    <col min="6930" max="6931" width="9.140625" style="435"/>
    <col min="6932" max="6944" width="9.85546875" style="435" bestFit="1" customWidth="1"/>
    <col min="6945" max="7098" width="9.140625" style="435"/>
    <col min="7099" max="7099" width="9.140625" style="435" customWidth="1"/>
    <col min="7100" max="7168" width="9.140625" style="435"/>
    <col min="7169" max="7169" width="3" style="435" customWidth="1"/>
    <col min="7170" max="7170" width="39.28515625" style="435" customWidth="1"/>
    <col min="7171" max="7171" width="11.5703125" style="435" customWidth="1"/>
    <col min="7172" max="7180" width="10.28515625" style="435" customWidth="1"/>
    <col min="7181" max="7185" width="9.85546875" style="435" bestFit="1" customWidth="1"/>
    <col min="7186" max="7187" width="9.140625" style="435"/>
    <col min="7188" max="7200" width="9.85546875" style="435" bestFit="1" customWidth="1"/>
    <col min="7201" max="7354" width="9.140625" style="435"/>
    <col min="7355" max="7355" width="9.140625" style="435" customWidth="1"/>
    <col min="7356" max="7424" width="9.140625" style="435"/>
    <col min="7425" max="7425" width="3" style="435" customWidth="1"/>
    <col min="7426" max="7426" width="39.28515625" style="435" customWidth="1"/>
    <col min="7427" max="7427" width="11.5703125" style="435" customWidth="1"/>
    <col min="7428" max="7436" width="10.28515625" style="435" customWidth="1"/>
    <col min="7437" max="7441" width="9.85546875" style="435" bestFit="1" customWidth="1"/>
    <col min="7442" max="7443" width="9.140625" style="435"/>
    <col min="7444" max="7456" width="9.85546875" style="435" bestFit="1" customWidth="1"/>
    <col min="7457" max="7610" width="9.140625" style="435"/>
    <col min="7611" max="7611" width="9.140625" style="435" customWidth="1"/>
    <col min="7612" max="7680" width="9.140625" style="435"/>
    <col min="7681" max="7681" width="3" style="435" customWidth="1"/>
    <col min="7682" max="7682" width="39.28515625" style="435" customWidth="1"/>
    <col min="7683" max="7683" width="11.5703125" style="435" customWidth="1"/>
    <col min="7684" max="7692" width="10.28515625" style="435" customWidth="1"/>
    <col min="7693" max="7697" width="9.85546875" style="435" bestFit="1" customWidth="1"/>
    <col min="7698" max="7699" width="9.140625" style="435"/>
    <col min="7700" max="7712" width="9.85546875" style="435" bestFit="1" customWidth="1"/>
    <col min="7713" max="7866" width="9.140625" style="435"/>
    <col min="7867" max="7867" width="9.140625" style="435" customWidth="1"/>
    <col min="7868" max="7936" width="9.140625" style="435"/>
    <col min="7937" max="7937" width="3" style="435" customWidth="1"/>
    <col min="7938" max="7938" width="39.28515625" style="435" customWidth="1"/>
    <col min="7939" max="7939" width="11.5703125" style="435" customWidth="1"/>
    <col min="7940" max="7948" width="10.28515625" style="435" customWidth="1"/>
    <col min="7949" max="7953" width="9.85546875" style="435" bestFit="1" customWidth="1"/>
    <col min="7954" max="7955" width="9.140625" style="435"/>
    <col min="7956" max="7968" width="9.85546875" style="435" bestFit="1" customWidth="1"/>
    <col min="7969" max="8122" width="9.140625" style="435"/>
    <col min="8123" max="8123" width="9.140625" style="435" customWidth="1"/>
    <col min="8124" max="8192" width="9.140625" style="435"/>
    <col min="8193" max="8193" width="3" style="435" customWidth="1"/>
    <col min="8194" max="8194" width="39.28515625" style="435" customWidth="1"/>
    <col min="8195" max="8195" width="11.5703125" style="435" customWidth="1"/>
    <col min="8196" max="8204" width="10.28515625" style="435" customWidth="1"/>
    <col min="8205" max="8209" width="9.85546875" style="435" bestFit="1" customWidth="1"/>
    <col min="8210" max="8211" width="9.140625" style="435"/>
    <col min="8212" max="8224" width="9.85546875" style="435" bestFit="1" customWidth="1"/>
    <col min="8225" max="8378" width="9.140625" style="435"/>
    <col min="8379" max="8379" width="9.140625" style="435" customWidth="1"/>
    <col min="8380" max="8448" width="9.140625" style="435"/>
    <col min="8449" max="8449" width="3" style="435" customWidth="1"/>
    <col min="8450" max="8450" width="39.28515625" style="435" customWidth="1"/>
    <col min="8451" max="8451" width="11.5703125" style="435" customWidth="1"/>
    <col min="8452" max="8460" width="10.28515625" style="435" customWidth="1"/>
    <col min="8461" max="8465" width="9.85546875" style="435" bestFit="1" customWidth="1"/>
    <col min="8466" max="8467" width="9.140625" style="435"/>
    <col min="8468" max="8480" width="9.85546875" style="435" bestFit="1" customWidth="1"/>
    <col min="8481" max="8634" width="9.140625" style="435"/>
    <col min="8635" max="8635" width="9.140625" style="435" customWidth="1"/>
    <col min="8636" max="8704" width="9.140625" style="435"/>
    <col min="8705" max="8705" width="3" style="435" customWidth="1"/>
    <col min="8706" max="8706" width="39.28515625" style="435" customWidth="1"/>
    <col min="8707" max="8707" width="11.5703125" style="435" customWidth="1"/>
    <col min="8708" max="8716" width="10.28515625" style="435" customWidth="1"/>
    <col min="8717" max="8721" width="9.85546875" style="435" bestFit="1" customWidth="1"/>
    <col min="8722" max="8723" width="9.140625" style="435"/>
    <col min="8724" max="8736" width="9.85546875" style="435" bestFit="1" customWidth="1"/>
    <col min="8737" max="8890" width="9.140625" style="435"/>
    <col min="8891" max="8891" width="9.140625" style="435" customWidth="1"/>
    <col min="8892" max="8960" width="9.140625" style="435"/>
    <col min="8961" max="8961" width="3" style="435" customWidth="1"/>
    <col min="8962" max="8962" width="39.28515625" style="435" customWidth="1"/>
    <col min="8963" max="8963" width="11.5703125" style="435" customWidth="1"/>
    <col min="8964" max="8972" width="10.28515625" style="435" customWidth="1"/>
    <col min="8973" max="8977" width="9.85546875" style="435" bestFit="1" customWidth="1"/>
    <col min="8978" max="8979" width="9.140625" style="435"/>
    <col min="8980" max="8992" width="9.85546875" style="435" bestFit="1" customWidth="1"/>
    <col min="8993" max="9146" width="9.140625" style="435"/>
    <col min="9147" max="9147" width="9.140625" style="435" customWidth="1"/>
    <col min="9148" max="9216" width="9.140625" style="435"/>
    <col min="9217" max="9217" width="3" style="435" customWidth="1"/>
    <col min="9218" max="9218" width="39.28515625" style="435" customWidth="1"/>
    <col min="9219" max="9219" width="11.5703125" style="435" customWidth="1"/>
    <col min="9220" max="9228" width="10.28515625" style="435" customWidth="1"/>
    <col min="9229" max="9233" width="9.85546875" style="435" bestFit="1" customWidth="1"/>
    <col min="9234" max="9235" width="9.140625" style="435"/>
    <col min="9236" max="9248" width="9.85546875" style="435" bestFit="1" customWidth="1"/>
    <col min="9249" max="9402" width="9.140625" style="435"/>
    <col min="9403" max="9403" width="9.140625" style="435" customWidth="1"/>
    <col min="9404" max="9472" width="9.140625" style="435"/>
    <col min="9473" max="9473" width="3" style="435" customWidth="1"/>
    <col min="9474" max="9474" width="39.28515625" style="435" customWidth="1"/>
    <col min="9475" max="9475" width="11.5703125" style="435" customWidth="1"/>
    <col min="9476" max="9484" width="10.28515625" style="435" customWidth="1"/>
    <col min="9485" max="9489" width="9.85546875" style="435" bestFit="1" customWidth="1"/>
    <col min="9490" max="9491" width="9.140625" style="435"/>
    <col min="9492" max="9504" width="9.85546875" style="435" bestFit="1" customWidth="1"/>
    <col min="9505" max="9658" width="9.140625" style="435"/>
    <col min="9659" max="9659" width="9.140625" style="435" customWidth="1"/>
    <col min="9660" max="9728" width="9.140625" style="435"/>
    <col min="9729" max="9729" width="3" style="435" customWidth="1"/>
    <col min="9730" max="9730" width="39.28515625" style="435" customWidth="1"/>
    <col min="9731" max="9731" width="11.5703125" style="435" customWidth="1"/>
    <col min="9732" max="9740" width="10.28515625" style="435" customWidth="1"/>
    <col min="9741" max="9745" width="9.85546875" style="435" bestFit="1" customWidth="1"/>
    <col min="9746" max="9747" width="9.140625" style="435"/>
    <col min="9748" max="9760" width="9.85546875" style="435" bestFit="1" customWidth="1"/>
    <col min="9761" max="9914" width="9.140625" style="435"/>
    <col min="9915" max="9915" width="9.140625" style="435" customWidth="1"/>
    <col min="9916" max="9984" width="9.140625" style="435"/>
    <col min="9985" max="9985" width="3" style="435" customWidth="1"/>
    <col min="9986" max="9986" width="39.28515625" style="435" customWidth="1"/>
    <col min="9987" max="9987" width="11.5703125" style="435" customWidth="1"/>
    <col min="9988" max="9996" width="10.28515625" style="435" customWidth="1"/>
    <col min="9997" max="10001" width="9.85546875" style="435" bestFit="1" customWidth="1"/>
    <col min="10002" max="10003" width="9.140625" style="435"/>
    <col min="10004" max="10016" width="9.85546875" style="435" bestFit="1" customWidth="1"/>
    <col min="10017" max="10170" width="9.140625" style="435"/>
    <col min="10171" max="10171" width="9.140625" style="435" customWidth="1"/>
    <col min="10172" max="10240" width="9.140625" style="435"/>
    <col min="10241" max="10241" width="3" style="435" customWidth="1"/>
    <col min="10242" max="10242" width="39.28515625" style="435" customWidth="1"/>
    <col min="10243" max="10243" width="11.5703125" style="435" customWidth="1"/>
    <col min="10244" max="10252" width="10.28515625" style="435" customWidth="1"/>
    <col min="10253" max="10257" width="9.85546875" style="435" bestFit="1" customWidth="1"/>
    <col min="10258" max="10259" width="9.140625" style="435"/>
    <col min="10260" max="10272" width="9.85546875" style="435" bestFit="1" customWidth="1"/>
    <col min="10273" max="10426" width="9.140625" style="435"/>
    <col min="10427" max="10427" width="9.140625" style="435" customWidth="1"/>
    <col min="10428" max="10496" width="9.140625" style="435"/>
    <col min="10497" max="10497" width="3" style="435" customWidth="1"/>
    <col min="10498" max="10498" width="39.28515625" style="435" customWidth="1"/>
    <col min="10499" max="10499" width="11.5703125" style="435" customWidth="1"/>
    <col min="10500" max="10508" width="10.28515625" style="435" customWidth="1"/>
    <col min="10509" max="10513" width="9.85546875" style="435" bestFit="1" customWidth="1"/>
    <col min="10514" max="10515" width="9.140625" style="435"/>
    <col min="10516" max="10528" width="9.85546875" style="435" bestFit="1" customWidth="1"/>
    <col min="10529" max="10682" width="9.140625" style="435"/>
    <col min="10683" max="10683" width="9.140625" style="435" customWidth="1"/>
    <col min="10684" max="10752" width="9.140625" style="435"/>
    <col min="10753" max="10753" width="3" style="435" customWidth="1"/>
    <col min="10754" max="10754" width="39.28515625" style="435" customWidth="1"/>
    <col min="10755" max="10755" width="11.5703125" style="435" customWidth="1"/>
    <col min="10756" max="10764" width="10.28515625" style="435" customWidth="1"/>
    <col min="10765" max="10769" width="9.85546875" style="435" bestFit="1" customWidth="1"/>
    <col min="10770" max="10771" width="9.140625" style="435"/>
    <col min="10772" max="10784" width="9.85546875" style="435" bestFit="1" customWidth="1"/>
    <col min="10785" max="10938" width="9.140625" style="435"/>
    <col min="10939" max="10939" width="9.140625" style="435" customWidth="1"/>
    <col min="10940" max="11008" width="9.140625" style="435"/>
    <col min="11009" max="11009" width="3" style="435" customWidth="1"/>
    <col min="11010" max="11010" width="39.28515625" style="435" customWidth="1"/>
    <col min="11011" max="11011" width="11.5703125" style="435" customWidth="1"/>
    <col min="11012" max="11020" width="10.28515625" style="435" customWidth="1"/>
    <col min="11021" max="11025" width="9.85546875" style="435" bestFit="1" customWidth="1"/>
    <col min="11026" max="11027" width="9.140625" style="435"/>
    <col min="11028" max="11040" width="9.85546875" style="435" bestFit="1" customWidth="1"/>
    <col min="11041" max="11194" width="9.140625" style="435"/>
    <col min="11195" max="11195" width="9.140625" style="435" customWidth="1"/>
    <col min="11196" max="11264" width="9.140625" style="435"/>
    <col min="11265" max="11265" width="3" style="435" customWidth="1"/>
    <col min="11266" max="11266" width="39.28515625" style="435" customWidth="1"/>
    <col min="11267" max="11267" width="11.5703125" style="435" customWidth="1"/>
    <col min="11268" max="11276" width="10.28515625" style="435" customWidth="1"/>
    <col min="11277" max="11281" width="9.85546875" style="435" bestFit="1" customWidth="1"/>
    <col min="11282" max="11283" width="9.140625" style="435"/>
    <col min="11284" max="11296" width="9.85546875" style="435" bestFit="1" customWidth="1"/>
    <col min="11297" max="11450" width="9.140625" style="435"/>
    <col min="11451" max="11451" width="9.140625" style="435" customWidth="1"/>
    <col min="11452" max="11520" width="9.140625" style="435"/>
    <col min="11521" max="11521" width="3" style="435" customWidth="1"/>
    <col min="11522" max="11522" width="39.28515625" style="435" customWidth="1"/>
    <col min="11523" max="11523" width="11.5703125" style="435" customWidth="1"/>
    <col min="11524" max="11532" width="10.28515625" style="435" customWidth="1"/>
    <col min="11533" max="11537" width="9.85546875" style="435" bestFit="1" customWidth="1"/>
    <col min="11538" max="11539" width="9.140625" style="435"/>
    <col min="11540" max="11552" width="9.85546875" style="435" bestFit="1" customWidth="1"/>
    <col min="11553" max="11706" width="9.140625" style="435"/>
    <col min="11707" max="11707" width="9.140625" style="435" customWidth="1"/>
    <col min="11708" max="11776" width="9.140625" style="435"/>
    <col min="11777" max="11777" width="3" style="435" customWidth="1"/>
    <col min="11778" max="11778" width="39.28515625" style="435" customWidth="1"/>
    <col min="11779" max="11779" width="11.5703125" style="435" customWidth="1"/>
    <col min="11780" max="11788" width="10.28515625" style="435" customWidth="1"/>
    <col min="11789" max="11793" width="9.85546875" style="435" bestFit="1" customWidth="1"/>
    <col min="11794" max="11795" width="9.140625" style="435"/>
    <col min="11796" max="11808" width="9.85546875" style="435" bestFit="1" customWidth="1"/>
    <col min="11809" max="11962" width="9.140625" style="435"/>
    <col min="11963" max="11963" width="9.140625" style="435" customWidth="1"/>
    <col min="11964" max="12032" width="9.140625" style="435"/>
    <col min="12033" max="12033" width="3" style="435" customWidth="1"/>
    <col min="12034" max="12034" width="39.28515625" style="435" customWidth="1"/>
    <col min="12035" max="12035" width="11.5703125" style="435" customWidth="1"/>
    <col min="12036" max="12044" width="10.28515625" style="435" customWidth="1"/>
    <col min="12045" max="12049" width="9.85546875" style="435" bestFit="1" customWidth="1"/>
    <col min="12050" max="12051" width="9.140625" style="435"/>
    <col min="12052" max="12064" width="9.85546875" style="435" bestFit="1" customWidth="1"/>
    <col min="12065" max="12218" width="9.140625" style="435"/>
    <col min="12219" max="12219" width="9.140625" style="435" customWidth="1"/>
    <col min="12220" max="12288" width="9.140625" style="435"/>
    <col min="12289" max="12289" width="3" style="435" customWidth="1"/>
    <col min="12290" max="12290" width="39.28515625" style="435" customWidth="1"/>
    <col min="12291" max="12291" width="11.5703125" style="435" customWidth="1"/>
    <col min="12292" max="12300" width="10.28515625" style="435" customWidth="1"/>
    <col min="12301" max="12305" width="9.85546875" style="435" bestFit="1" customWidth="1"/>
    <col min="12306" max="12307" width="9.140625" style="435"/>
    <col min="12308" max="12320" width="9.85546875" style="435" bestFit="1" customWidth="1"/>
    <col min="12321" max="12474" width="9.140625" style="435"/>
    <col min="12475" max="12475" width="9.140625" style="435" customWidth="1"/>
    <col min="12476" max="12544" width="9.140625" style="435"/>
    <col min="12545" max="12545" width="3" style="435" customWidth="1"/>
    <col min="12546" max="12546" width="39.28515625" style="435" customWidth="1"/>
    <col min="12547" max="12547" width="11.5703125" style="435" customWidth="1"/>
    <col min="12548" max="12556" width="10.28515625" style="435" customWidth="1"/>
    <col min="12557" max="12561" width="9.85546875" style="435" bestFit="1" customWidth="1"/>
    <col min="12562" max="12563" width="9.140625" style="435"/>
    <col min="12564" max="12576" width="9.85546875" style="435" bestFit="1" customWidth="1"/>
    <col min="12577" max="12730" width="9.140625" style="435"/>
    <col min="12731" max="12731" width="9.140625" style="435" customWidth="1"/>
    <col min="12732" max="12800" width="9.140625" style="435"/>
    <col min="12801" max="12801" width="3" style="435" customWidth="1"/>
    <col min="12802" max="12802" width="39.28515625" style="435" customWidth="1"/>
    <col min="12803" max="12803" width="11.5703125" style="435" customWidth="1"/>
    <col min="12804" max="12812" width="10.28515625" style="435" customWidth="1"/>
    <col min="12813" max="12817" width="9.85546875" style="435" bestFit="1" customWidth="1"/>
    <col min="12818" max="12819" width="9.140625" style="435"/>
    <col min="12820" max="12832" width="9.85546875" style="435" bestFit="1" customWidth="1"/>
    <col min="12833" max="12986" width="9.140625" style="435"/>
    <col min="12987" max="12987" width="9.140625" style="435" customWidth="1"/>
    <col min="12988" max="13056" width="9.140625" style="435"/>
    <col min="13057" max="13057" width="3" style="435" customWidth="1"/>
    <col min="13058" max="13058" width="39.28515625" style="435" customWidth="1"/>
    <col min="13059" max="13059" width="11.5703125" style="435" customWidth="1"/>
    <col min="13060" max="13068" width="10.28515625" style="435" customWidth="1"/>
    <col min="13069" max="13073" width="9.85546875" style="435" bestFit="1" customWidth="1"/>
    <col min="13074" max="13075" width="9.140625" style="435"/>
    <col min="13076" max="13088" width="9.85546875" style="435" bestFit="1" customWidth="1"/>
    <col min="13089" max="13242" width="9.140625" style="435"/>
    <col min="13243" max="13243" width="9.140625" style="435" customWidth="1"/>
    <col min="13244" max="13312" width="9.140625" style="435"/>
    <col min="13313" max="13313" width="3" style="435" customWidth="1"/>
    <col min="13314" max="13314" width="39.28515625" style="435" customWidth="1"/>
    <col min="13315" max="13315" width="11.5703125" style="435" customWidth="1"/>
    <col min="13316" max="13324" width="10.28515625" style="435" customWidth="1"/>
    <col min="13325" max="13329" width="9.85546875" style="435" bestFit="1" customWidth="1"/>
    <col min="13330" max="13331" width="9.140625" style="435"/>
    <col min="13332" max="13344" width="9.85546875" style="435" bestFit="1" customWidth="1"/>
    <col min="13345" max="13498" width="9.140625" style="435"/>
    <col min="13499" max="13499" width="9.140625" style="435" customWidth="1"/>
    <col min="13500" max="13568" width="9.140625" style="435"/>
    <col min="13569" max="13569" width="3" style="435" customWidth="1"/>
    <col min="13570" max="13570" width="39.28515625" style="435" customWidth="1"/>
    <col min="13571" max="13571" width="11.5703125" style="435" customWidth="1"/>
    <col min="13572" max="13580" width="10.28515625" style="435" customWidth="1"/>
    <col min="13581" max="13585" width="9.85546875" style="435" bestFit="1" customWidth="1"/>
    <col min="13586" max="13587" width="9.140625" style="435"/>
    <col min="13588" max="13600" width="9.85546875" style="435" bestFit="1" customWidth="1"/>
    <col min="13601" max="13754" width="9.140625" style="435"/>
    <col min="13755" max="13755" width="9.140625" style="435" customWidth="1"/>
    <col min="13756" max="13824" width="9.140625" style="435"/>
    <col min="13825" max="13825" width="3" style="435" customWidth="1"/>
    <col min="13826" max="13826" width="39.28515625" style="435" customWidth="1"/>
    <col min="13827" max="13827" width="11.5703125" style="435" customWidth="1"/>
    <col min="13828" max="13836" width="10.28515625" style="435" customWidth="1"/>
    <col min="13837" max="13841" width="9.85546875" style="435" bestFit="1" customWidth="1"/>
    <col min="13842" max="13843" width="9.140625" style="435"/>
    <col min="13844" max="13856" width="9.85546875" style="435" bestFit="1" customWidth="1"/>
    <col min="13857" max="14010" width="9.140625" style="435"/>
    <col min="14011" max="14011" width="9.140625" style="435" customWidth="1"/>
    <col min="14012" max="14080" width="9.140625" style="435"/>
    <col min="14081" max="14081" width="3" style="435" customWidth="1"/>
    <col min="14082" max="14082" width="39.28515625" style="435" customWidth="1"/>
    <col min="14083" max="14083" width="11.5703125" style="435" customWidth="1"/>
    <col min="14084" max="14092" width="10.28515625" style="435" customWidth="1"/>
    <col min="14093" max="14097" width="9.85546875" style="435" bestFit="1" customWidth="1"/>
    <col min="14098" max="14099" width="9.140625" style="435"/>
    <col min="14100" max="14112" width="9.85546875" style="435" bestFit="1" customWidth="1"/>
    <col min="14113" max="14266" width="9.140625" style="435"/>
    <col min="14267" max="14267" width="9.140625" style="435" customWidth="1"/>
    <col min="14268" max="14336" width="9.140625" style="435"/>
    <col min="14337" max="14337" width="3" style="435" customWidth="1"/>
    <col min="14338" max="14338" width="39.28515625" style="435" customWidth="1"/>
    <col min="14339" max="14339" width="11.5703125" style="435" customWidth="1"/>
    <col min="14340" max="14348" width="10.28515625" style="435" customWidth="1"/>
    <col min="14349" max="14353" width="9.85546875" style="435" bestFit="1" customWidth="1"/>
    <col min="14354" max="14355" width="9.140625" style="435"/>
    <col min="14356" max="14368" width="9.85546875" style="435" bestFit="1" customWidth="1"/>
    <col min="14369" max="14522" width="9.140625" style="435"/>
    <col min="14523" max="14523" width="9.140625" style="435" customWidth="1"/>
    <col min="14524" max="14592" width="9.140625" style="435"/>
    <col min="14593" max="14593" width="3" style="435" customWidth="1"/>
    <col min="14594" max="14594" width="39.28515625" style="435" customWidth="1"/>
    <col min="14595" max="14595" width="11.5703125" style="435" customWidth="1"/>
    <col min="14596" max="14604" width="10.28515625" style="435" customWidth="1"/>
    <col min="14605" max="14609" width="9.85546875" style="435" bestFit="1" customWidth="1"/>
    <col min="14610" max="14611" width="9.140625" style="435"/>
    <col min="14612" max="14624" width="9.85546875" style="435" bestFit="1" customWidth="1"/>
    <col min="14625" max="14778" width="9.140625" style="435"/>
    <col min="14779" max="14779" width="9.140625" style="435" customWidth="1"/>
    <col min="14780" max="14848" width="9.140625" style="435"/>
    <col min="14849" max="14849" width="3" style="435" customWidth="1"/>
    <col min="14850" max="14850" width="39.28515625" style="435" customWidth="1"/>
    <col min="14851" max="14851" width="11.5703125" style="435" customWidth="1"/>
    <col min="14852" max="14860" width="10.28515625" style="435" customWidth="1"/>
    <col min="14861" max="14865" width="9.85546875" style="435" bestFit="1" customWidth="1"/>
    <col min="14866" max="14867" width="9.140625" style="435"/>
    <col min="14868" max="14880" width="9.85546875" style="435" bestFit="1" customWidth="1"/>
    <col min="14881" max="15034" width="9.140625" style="435"/>
    <col min="15035" max="15035" width="9.140625" style="435" customWidth="1"/>
    <col min="15036" max="15104" width="9.140625" style="435"/>
    <col min="15105" max="15105" width="3" style="435" customWidth="1"/>
    <col min="15106" max="15106" width="39.28515625" style="435" customWidth="1"/>
    <col min="15107" max="15107" width="11.5703125" style="435" customWidth="1"/>
    <col min="15108" max="15116" width="10.28515625" style="435" customWidth="1"/>
    <col min="15117" max="15121" width="9.85546875" style="435" bestFit="1" customWidth="1"/>
    <col min="15122" max="15123" width="9.140625" style="435"/>
    <col min="15124" max="15136" width="9.85546875" style="435" bestFit="1" customWidth="1"/>
    <col min="15137" max="15290" width="9.140625" style="435"/>
    <col min="15291" max="15291" width="9.140625" style="435" customWidth="1"/>
    <col min="15292" max="15360" width="9.140625" style="435"/>
    <col min="15361" max="15361" width="3" style="435" customWidth="1"/>
    <col min="15362" max="15362" width="39.28515625" style="435" customWidth="1"/>
    <col min="15363" max="15363" width="11.5703125" style="435" customWidth="1"/>
    <col min="15364" max="15372" width="10.28515625" style="435" customWidth="1"/>
    <col min="15373" max="15377" width="9.85546875" style="435" bestFit="1" customWidth="1"/>
    <col min="15378" max="15379" width="9.140625" style="435"/>
    <col min="15380" max="15392" width="9.85546875" style="435" bestFit="1" customWidth="1"/>
    <col min="15393" max="15546" width="9.140625" style="435"/>
    <col min="15547" max="15547" width="9.140625" style="435" customWidth="1"/>
    <col min="15548" max="15616" width="9.140625" style="435"/>
    <col min="15617" max="15617" width="3" style="435" customWidth="1"/>
    <col min="15618" max="15618" width="39.28515625" style="435" customWidth="1"/>
    <col min="15619" max="15619" width="11.5703125" style="435" customWidth="1"/>
    <col min="15620" max="15628" width="10.28515625" style="435" customWidth="1"/>
    <col min="15629" max="15633" width="9.85546875" style="435" bestFit="1" customWidth="1"/>
    <col min="15634" max="15635" width="9.140625" style="435"/>
    <col min="15636" max="15648" width="9.85546875" style="435" bestFit="1" customWidth="1"/>
    <col min="15649" max="15802" width="9.140625" style="435"/>
    <col min="15803" max="15803" width="9.140625" style="435" customWidth="1"/>
    <col min="15804" max="15872" width="9.140625" style="435"/>
    <col min="15873" max="15873" width="3" style="435" customWidth="1"/>
    <col min="15874" max="15874" width="39.28515625" style="435" customWidth="1"/>
    <col min="15875" max="15875" width="11.5703125" style="435" customWidth="1"/>
    <col min="15876" max="15884" width="10.28515625" style="435" customWidth="1"/>
    <col min="15885" max="15889" width="9.85546875" style="435" bestFit="1" customWidth="1"/>
    <col min="15890" max="15891" width="9.140625" style="435"/>
    <col min="15892" max="15904" width="9.85546875" style="435" bestFit="1" customWidth="1"/>
    <col min="15905" max="16058" width="9.140625" style="435"/>
    <col min="16059" max="16059" width="9.140625" style="435" customWidth="1"/>
    <col min="16060" max="16128" width="9.140625" style="435"/>
    <col min="16129" max="16129" width="3" style="435" customWidth="1"/>
    <col min="16130" max="16130" width="39.28515625" style="435" customWidth="1"/>
    <col min="16131" max="16131" width="11.5703125" style="435" customWidth="1"/>
    <col min="16132" max="16140" width="10.28515625" style="435" customWidth="1"/>
    <col min="16141" max="16145" width="9.85546875" style="435" bestFit="1" customWidth="1"/>
    <col min="16146" max="16147" width="9.140625" style="435"/>
    <col min="16148" max="16160" width="9.85546875" style="435" bestFit="1" customWidth="1"/>
    <col min="16161" max="16314" width="9.140625" style="435"/>
    <col min="16315" max="16315" width="9.140625" style="435" customWidth="1"/>
    <col min="16316" max="16384" width="9.140625" style="435"/>
  </cols>
  <sheetData>
    <row r="1" spans="2:187" ht="24" thickBot="1">
      <c r="E1" s="2777" t="s">
        <v>1749</v>
      </c>
      <c r="F1" s="2778"/>
      <c r="G1" s="2779"/>
    </row>
    <row r="4" spans="2:187" ht="13.5" thickBot="1"/>
    <row r="5" spans="2:187">
      <c r="B5" s="778" t="s">
        <v>940</v>
      </c>
      <c r="C5" s="779">
        <v>1.22</v>
      </c>
      <c r="D5" s="780" t="s">
        <v>357</v>
      </c>
      <c r="F5" s="438"/>
    </row>
    <row r="6" spans="2:187">
      <c r="B6" s="781" t="s">
        <v>941</v>
      </c>
      <c r="C6" s="2649">
        <v>0.05</v>
      </c>
      <c r="D6" s="782" t="s">
        <v>1635</v>
      </c>
      <c r="F6" s="438"/>
    </row>
    <row r="7" spans="2:187">
      <c r="B7" s="781" t="s">
        <v>943</v>
      </c>
      <c r="C7" s="783">
        <v>50</v>
      </c>
      <c r="D7" s="784" t="s">
        <v>357</v>
      </c>
      <c r="F7" s="438"/>
    </row>
    <row r="8" spans="2:187">
      <c r="B8" s="781" t="s">
        <v>944</v>
      </c>
      <c r="C8" s="1782"/>
      <c r="D8" s="785">
        <f>C8+$C$7</f>
        <v>50</v>
      </c>
      <c r="E8" s="785">
        <f t="shared" ref="E8:BP8" si="0">D8+$C$7</f>
        <v>100</v>
      </c>
      <c r="F8" s="785">
        <f t="shared" si="0"/>
        <v>150</v>
      </c>
      <c r="G8" s="785">
        <f t="shared" si="0"/>
        <v>200</v>
      </c>
      <c r="H8" s="785">
        <f t="shared" si="0"/>
        <v>250</v>
      </c>
      <c r="I8" s="785">
        <f t="shared" si="0"/>
        <v>300</v>
      </c>
      <c r="J8" s="785">
        <f t="shared" si="0"/>
        <v>350</v>
      </c>
      <c r="K8" s="785">
        <f t="shared" si="0"/>
        <v>400</v>
      </c>
      <c r="L8" s="785">
        <f t="shared" si="0"/>
        <v>450</v>
      </c>
      <c r="M8" s="785">
        <f t="shared" si="0"/>
        <v>500</v>
      </c>
      <c r="N8" s="785">
        <f t="shared" si="0"/>
        <v>550</v>
      </c>
      <c r="O8" s="785">
        <f t="shared" si="0"/>
        <v>600</v>
      </c>
      <c r="P8" s="785">
        <f t="shared" si="0"/>
        <v>650</v>
      </c>
      <c r="Q8" s="785">
        <f t="shared" si="0"/>
        <v>700</v>
      </c>
      <c r="R8" s="785">
        <f t="shared" si="0"/>
        <v>750</v>
      </c>
      <c r="S8" s="785">
        <f t="shared" si="0"/>
        <v>800</v>
      </c>
      <c r="T8" s="785">
        <f t="shared" si="0"/>
        <v>850</v>
      </c>
      <c r="U8" s="785">
        <f t="shared" si="0"/>
        <v>900</v>
      </c>
      <c r="V8" s="785">
        <f t="shared" si="0"/>
        <v>950</v>
      </c>
      <c r="W8" s="785">
        <f t="shared" si="0"/>
        <v>1000</v>
      </c>
      <c r="X8" s="785">
        <f t="shared" si="0"/>
        <v>1050</v>
      </c>
      <c r="Y8" s="785">
        <f t="shared" si="0"/>
        <v>1100</v>
      </c>
      <c r="Z8" s="785">
        <f t="shared" si="0"/>
        <v>1150</v>
      </c>
      <c r="AA8" s="785">
        <f t="shared" si="0"/>
        <v>1200</v>
      </c>
      <c r="AB8" s="785">
        <f t="shared" si="0"/>
        <v>1250</v>
      </c>
      <c r="AC8" s="785">
        <f t="shared" si="0"/>
        <v>1300</v>
      </c>
      <c r="AD8" s="785">
        <f t="shared" si="0"/>
        <v>1350</v>
      </c>
      <c r="AE8" s="785">
        <f t="shared" si="0"/>
        <v>1400</v>
      </c>
      <c r="AF8" s="785">
        <f t="shared" si="0"/>
        <v>1450</v>
      </c>
      <c r="AG8" s="785">
        <f t="shared" si="0"/>
        <v>1500</v>
      </c>
      <c r="AH8" s="785">
        <f t="shared" si="0"/>
        <v>1550</v>
      </c>
      <c r="AI8" s="785">
        <f t="shared" si="0"/>
        <v>1600</v>
      </c>
      <c r="AJ8" s="785">
        <f t="shared" si="0"/>
        <v>1650</v>
      </c>
      <c r="AK8" s="785">
        <f t="shared" si="0"/>
        <v>1700</v>
      </c>
      <c r="AL8" s="785">
        <f t="shared" si="0"/>
        <v>1750</v>
      </c>
      <c r="AM8" s="785">
        <f t="shared" si="0"/>
        <v>1800</v>
      </c>
      <c r="AN8" s="785">
        <f t="shared" si="0"/>
        <v>1850</v>
      </c>
      <c r="AO8" s="785">
        <f t="shared" si="0"/>
        <v>1900</v>
      </c>
      <c r="AP8" s="785">
        <f t="shared" si="0"/>
        <v>1950</v>
      </c>
      <c r="AQ8" s="785">
        <f t="shared" si="0"/>
        <v>2000</v>
      </c>
      <c r="AR8" s="785">
        <f t="shared" si="0"/>
        <v>2050</v>
      </c>
      <c r="AS8" s="785">
        <f t="shared" si="0"/>
        <v>2100</v>
      </c>
      <c r="AT8" s="785">
        <f t="shared" si="0"/>
        <v>2150</v>
      </c>
      <c r="AU8" s="785">
        <f t="shared" si="0"/>
        <v>2200</v>
      </c>
      <c r="AV8" s="785">
        <f t="shared" si="0"/>
        <v>2250</v>
      </c>
      <c r="AW8" s="785">
        <f t="shared" si="0"/>
        <v>2300</v>
      </c>
      <c r="AX8" s="785">
        <f t="shared" si="0"/>
        <v>2350</v>
      </c>
      <c r="AY8" s="785">
        <f t="shared" si="0"/>
        <v>2400</v>
      </c>
      <c r="AZ8" s="785">
        <f t="shared" si="0"/>
        <v>2450</v>
      </c>
      <c r="BA8" s="785">
        <f t="shared" si="0"/>
        <v>2500</v>
      </c>
      <c r="BB8" s="785">
        <f t="shared" si="0"/>
        <v>2550</v>
      </c>
      <c r="BC8" s="785">
        <f t="shared" si="0"/>
        <v>2600</v>
      </c>
      <c r="BD8" s="785">
        <f t="shared" si="0"/>
        <v>2650</v>
      </c>
      <c r="BE8" s="785">
        <f t="shared" si="0"/>
        <v>2700</v>
      </c>
      <c r="BF8" s="785">
        <f t="shared" si="0"/>
        <v>2750</v>
      </c>
      <c r="BG8" s="785">
        <f t="shared" si="0"/>
        <v>2800</v>
      </c>
      <c r="BH8" s="785">
        <f t="shared" si="0"/>
        <v>2850</v>
      </c>
      <c r="BI8" s="785">
        <f t="shared" si="0"/>
        <v>2900</v>
      </c>
      <c r="BJ8" s="785">
        <f t="shared" si="0"/>
        <v>2950</v>
      </c>
      <c r="BK8" s="785">
        <f t="shared" si="0"/>
        <v>3000</v>
      </c>
      <c r="BL8" s="785">
        <f t="shared" si="0"/>
        <v>3050</v>
      </c>
      <c r="BM8" s="785">
        <f t="shared" si="0"/>
        <v>3100</v>
      </c>
      <c r="BN8" s="785">
        <f t="shared" si="0"/>
        <v>3150</v>
      </c>
      <c r="BO8" s="785">
        <f t="shared" si="0"/>
        <v>3200</v>
      </c>
      <c r="BP8" s="785">
        <f t="shared" si="0"/>
        <v>3250</v>
      </c>
      <c r="BQ8" s="785">
        <f t="shared" ref="BQ8:EB8" si="1">BP8+$C$7</f>
        <v>3300</v>
      </c>
      <c r="BR8" s="785">
        <f t="shared" si="1"/>
        <v>3350</v>
      </c>
      <c r="BS8" s="785">
        <f t="shared" si="1"/>
        <v>3400</v>
      </c>
      <c r="BT8" s="785">
        <f t="shared" si="1"/>
        <v>3450</v>
      </c>
      <c r="BU8" s="785">
        <f t="shared" si="1"/>
        <v>3500</v>
      </c>
      <c r="BV8" s="785">
        <f t="shared" si="1"/>
        <v>3550</v>
      </c>
      <c r="BW8" s="785">
        <f t="shared" si="1"/>
        <v>3600</v>
      </c>
      <c r="BX8" s="785">
        <f t="shared" si="1"/>
        <v>3650</v>
      </c>
      <c r="BY8" s="785">
        <f t="shared" si="1"/>
        <v>3700</v>
      </c>
      <c r="BZ8" s="785">
        <f t="shared" si="1"/>
        <v>3750</v>
      </c>
      <c r="CA8" s="785">
        <f t="shared" si="1"/>
        <v>3800</v>
      </c>
      <c r="CB8" s="785">
        <f t="shared" si="1"/>
        <v>3850</v>
      </c>
      <c r="CC8" s="785">
        <f t="shared" si="1"/>
        <v>3900</v>
      </c>
      <c r="CD8" s="785">
        <f t="shared" si="1"/>
        <v>3950</v>
      </c>
      <c r="CE8" s="785">
        <f t="shared" si="1"/>
        <v>4000</v>
      </c>
      <c r="CF8" s="785">
        <f t="shared" si="1"/>
        <v>4050</v>
      </c>
      <c r="CG8" s="785">
        <f t="shared" si="1"/>
        <v>4100</v>
      </c>
      <c r="CH8" s="785">
        <f t="shared" si="1"/>
        <v>4150</v>
      </c>
      <c r="CI8" s="785">
        <f t="shared" si="1"/>
        <v>4200</v>
      </c>
      <c r="CJ8" s="785">
        <f t="shared" si="1"/>
        <v>4250</v>
      </c>
      <c r="CK8" s="785">
        <f t="shared" si="1"/>
        <v>4300</v>
      </c>
      <c r="CL8" s="785">
        <f t="shared" si="1"/>
        <v>4350</v>
      </c>
      <c r="CM8" s="785">
        <f t="shared" si="1"/>
        <v>4400</v>
      </c>
      <c r="CN8" s="785">
        <f t="shared" si="1"/>
        <v>4450</v>
      </c>
      <c r="CO8" s="785">
        <f t="shared" si="1"/>
        <v>4500</v>
      </c>
      <c r="CP8" s="785">
        <f t="shared" si="1"/>
        <v>4550</v>
      </c>
      <c r="CQ8" s="785">
        <f t="shared" si="1"/>
        <v>4600</v>
      </c>
      <c r="CR8" s="785">
        <f t="shared" si="1"/>
        <v>4650</v>
      </c>
      <c r="CS8" s="785">
        <f t="shared" si="1"/>
        <v>4700</v>
      </c>
      <c r="CT8" s="785">
        <f t="shared" si="1"/>
        <v>4750</v>
      </c>
      <c r="CU8" s="785">
        <f t="shared" si="1"/>
        <v>4800</v>
      </c>
      <c r="CV8" s="785">
        <f t="shared" si="1"/>
        <v>4850</v>
      </c>
      <c r="CW8" s="785">
        <f t="shared" si="1"/>
        <v>4900</v>
      </c>
      <c r="CX8" s="785">
        <f t="shared" si="1"/>
        <v>4950</v>
      </c>
      <c r="CY8" s="785">
        <f t="shared" si="1"/>
        <v>5000</v>
      </c>
      <c r="CZ8" s="785">
        <f t="shared" si="1"/>
        <v>5050</v>
      </c>
      <c r="DA8" s="785">
        <f t="shared" si="1"/>
        <v>5100</v>
      </c>
      <c r="DB8" s="785">
        <f t="shared" si="1"/>
        <v>5150</v>
      </c>
      <c r="DC8" s="785">
        <f t="shared" si="1"/>
        <v>5200</v>
      </c>
      <c r="DD8" s="785">
        <f t="shared" si="1"/>
        <v>5250</v>
      </c>
      <c r="DE8" s="785">
        <f t="shared" si="1"/>
        <v>5300</v>
      </c>
      <c r="DF8" s="785">
        <f t="shared" si="1"/>
        <v>5350</v>
      </c>
      <c r="DG8" s="785">
        <f t="shared" si="1"/>
        <v>5400</v>
      </c>
      <c r="DH8" s="785">
        <f t="shared" si="1"/>
        <v>5450</v>
      </c>
      <c r="DI8" s="785">
        <f t="shared" si="1"/>
        <v>5500</v>
      </c>
      <c r="DJ8" s="785">
        <f t="shared" si="1"/>
        <v>5550</v>
      </c>
      <c r="DK8" s="785">
        <f t="shared" si="1"/>
        <v>5600</v>
      </c>
      <c r="DL8" s="785">
        <f t="shared" si="1"/>
        <v>5650</v>
      </c>
      <c r="DM8" s="785">
        <f t="shared" si="1"/>
        <v>5700</v>
      </c>
      <c r="DN8" s="785">
        <f t="shared" si="1"/>
        <v>5750</v>
      </c>
      <c r="DO8" s="785">
        <f t="shared" si="1"/>
        <v>5800</v>
      </c>
      <c r="DP8" s="785">
        <f t="shared" si="1"/>
        <v>5850</v>
      </c>
      <c r="DQ8" s="785">
        <f t="shared" si="1"/>
        <v>5900</v>
      </c>
      <c r="DR8" s="785">
        <f t="shared" si="1"/>
        <v>5950</v>
      </c>
      <c r="DS8" s="785">
        <f t="shared" si="1"/>
        <v>6000</v>
      </c>
      <c r="DT8" s="785">
        <f t="shared" si="1"/>
        <v>6050</v>
      </c>
      <c r="DU8" s="785">
        <f t="shared" si="1"/>
        <v>6100</v>
      </c>
      <c r="DV8" s="785">
        <f t="shared" si="1"/>
        <v>6150</v>
      </c>
      <c r="DW8" s="785">
        <f t="shared" si="1"/>
        <v>6200</v>
      </c>
      <c r="DX8" s="785">
        <f t="shared" si="1"/>
        <v>6250</v>
      </c>
      <c r="DY8" s="785">
        <f t="shared" si="1"/>
        <v>6300</v>
      </c>
      <c r="DZ8" s="785">
        <f t="shared" si="1"/>
        <v>6350</v>
      </c>
      <c r="EA8" s="785">
        <f t="shared" si="1"/>
        <v>6400</v>
      </c>
      <c r="EB8" s="785">
        <f t="shared" si="1"/>
        <v>6450</v>
      </c>
      <c r="EC8" s="785">
        <f t="shared" ref="EC8:GE8" si="2">EB8+$C$7</f>
        <v>6500</v>
      </c>
      <c r="ED8" s="785">
        <f t="shared" si="2"/>
        <v>6550</v>
      </c>
      <c r="EE8" s="785">
        <f t="shared" si="2"/>
        <v>6600</v>
      </c>
      <c r="EF8" s="785">
        <f t="shared" si="2"/>
        <v>6650</v>
      </c>
      <c r="EG8" s="785">
        <f t="shared" si="2"/>
        <v>6700</v>
      </c>
      <c r="EH8" s="785">
        <f t="shared" si="2"/>
        <v>6750</v>
      </c>
      <c r="EI8" s="785">
        <f t="shared" si="2"/>
        <v>6800</v>
      </c>
      <c r="EJ8" s="785">
        <f t="shared" si="2"/>
        <v>6850</v>
      </c>
      <c r="EK8" s="785">
        <f t="shared" si="2"/>
        <v>6900</v>
      </c>
      <c r="EL8" s="785">
        <f t="shared" si="2"/>
        <v>6950</v>
      </c>
      <c r="EM8" s="785">
        <f t="shared" si="2"/>
        <v>7000</v>
      </c>
      <c r="EN8" s="785">
        <f t="shared" si="2"/>
        <v>7050</v>
      </c>
      <c r="EO8" s="785">
        <f t="shared" si="2"/>
        <v>7100</v>
      </c>
      <c r="EP8" s="785">
        <f t="shared" si="2"/>
        <v>7150</v>
      </c>
      <c r="EQ8" s="785">
        <f t="shared" si="2"/>
        <v>7200</v>
      </c>
      <c r="ER8" s="785">
        <f t="shared" si="2"/>
        <v>7250</v>
      </c>
      <c r="ES8" s="785">
        <f t="shared" si="2"/>
        <v>7300</v>
      </c>
      <c r="ET8" s="785">
        <f t="shared" si="2"/>
        <v>7350</v>
      </c>
      <c r="EU8" s="785">
        <f t="shared" si="2"/>
        <v>7400</v>
      </c>
      <c r="EV8" s="785">
        <f t="shared" si="2"/>
        <v>7450</v>
      </c>
      <c r="EW8" s="785">
        <f t="shared" si="2"/>
        <v>7500</v>
      </c>
      <c r="EX8" s="785">
        <f t="shared" si="2"/>
        <v>7550</v>
      </c>
      <c r="EY8" s="785">
        <f t="shared" si="2"/>
        <v>7600</v>
      </c>
      <c r="EZ8" s="785">
        <f t="shared" si="2"/>
        <v>7650</v>
      </c>
      <c r="FA8" s="785">
        <f t="shared" si="2"/>
        <v>7700</v>
      </c>
      <c r="FB8" s="785">
        <f t="shared" si="2"/>
        <v>7750</v>
      </c>
      <c r="FC8" s="785">
        <f t="shared" si="2"/>
        <v>7800</v>
      </c>
      <c r="FD8" s="785">
        <f t="shared" si="2"/>
        <v>7850</v>
      </c>
      <c r="FE8" s="785">
        <f t="shared" si="2"/>
        <v>7900</v>
      </c>
      <c r="FF8" s="785">
        <f t="shared" si="2"/>
        <v>7950</v>
      </c>
      <c r="FG8" s="785">
        <f t="shared" si="2"/>
        <v>8000</v>
      </c>
      <c r="FH8" s="785">
        <f t="shared" si="2"/>
        <v>8050</v>
      </c>
      <c r="FI8" s="785">
        <f t="shared" si="2"/>
        <v>8100</v>
      </c>
      <c r="FJ8" s="785">
        <f t="shared" si="2"/>
        <v>8150</v>
      </c>
      <c r="FK8" s="785">
        <f t="shared" si="2"/>
        <v>8200</v>
      </c>
      <c r="FL8" s="785">
        <f t="shared" si="2"/>
        <v>8250</v>
      </c>
      <c r="FM8" s="785">
        <f t="shared" si="2"/>
        <v>8300</v>
      </c>
      <c r="FN8" s="785">
        <f t="shared" si="2"/>
        <v>8350</v>
      </c>
      <c r="FO8" s="785">
        <f t="shared" si="2"/>
        <v>8400</v>
      </c>
      <c r="FP8" s="785">
        <f t="shared" si="2"/>
        <v>8450</v>
      </c>
      <c r="FQ8" s="785">
        <f t="shared" si="2"/>
        <v>8500</v>
      </c>
      <c r="FR8" s="785">
        <f t="shared" si="2"/>
        <v>8550</v>
      </c>
      <c r="FS8" s="785">
        <f t="shared" si="2"/>
        <v>8600</v>
      </c>
      <c r="FT8" s="785">
        <f t="shared" si="2"/>
        <v>8650</v>
      </c>
      <c r="FU8" s="785">
        <f t="shared" si="2"/>
        <v>8700</v>
      </c>
      <c r="FV8" s="785">
        <f t="shared" si="2"/>
        <v>8750</v>
      </c>
      <c r="FW8" s="785">
        <f t="shared" si="2"/>
        <v>8800</v>
      </c>
      <c r="FX8" s="785">
        <f t="shared" si="2"/>
        <v>8850</v>
      </c>
      <c r="FY8" s="785">
        <f t="shared" si="2"/>
        <v>8900</v>
      </c>
      <c r="FZ8" s="785">
        <f t="shared" si="2"/>
        <v>8950</v>
      </c>
      <c r="GA8" s="785">
        <f t="shared" si="2"/>
        <v>9000</v>
      </c>
      <c r="GB8" s="785">
        <f t="shared" si="2"/>
        <v>9050</v>
      </c>
      <c r="GC8" s="785">
        <f t="shared" si="2"/>
        <v>9100</v>
      </c>
      <c r="GD8" s="785">
        <f t="shared" si="2"/>
        <v>9150</v>
      </c>
      <c r="GE8" s="785">
        <f t="shared" si="2"/>
        <v>9200</v>
      </c>
    </row>
    <row r="9" spans="2:187" ht="13.5" thickBot="1">
      <c r="B9" s="786" t="s">
        <v>877</v>
      </c>
      <c r="C9" s="787">
        <v>8.3000000000000007</v>
      </c>
      <c r="D9" s="788">
        <f>C9-($C$6*C9)</f>
        <v>7.8850000000000007</v>
      </c>
      <c r="E9" s="789">
        <f t="shared" ref="E9:BP9" si="3">D9-($C$6*D9)</f>
        <v>7.4907500000000002</v>
      </c>
      <c r="F9" s="789">
        <f t="shared" si="3"/>
        <v>7.1162125000000005</v>
      </c>
      <c r="G9" s="789">
        <f t="shared" si="3"/>
        <v>6.7604018750000003</v>
      </c>
      <c r="H9" s="789">
        <f t="shared" si="3"/>
        <v>6.4223817812500004</v>
      </c>
      <c r="I9" s="789">
        <f t="shared" si="3"/>
        <v>6.1012626921875004</v>
      </c>
      <c r="J9" s="1248">
        <f t="shared" si="3"/>
        <v>5.7961995575781255</v>
      </c>
      <c r="K9" s="1248">
        <f t="shared" si="3"/>
        <v>5.5063895796992188</v>
      </c>
      <c r="L9" s="789">
        <f t="shared" si="3"/>
        <v>5.2310701007142582</v>
      </c>
      <c r="M9" s="789">
        <f t="shared" si="3"/>
        <v>4.9695165956785452</v>
      </c>
      <c r="N9" s="789">
        <f t="shared" si="3"/>
        <v>4.7210407658946183</v>
      </c>
      <c r="O9" s="789">
        <f t="shared" si="3"/>
        <v>4.4849887275998874</v>
      </c>
      <c r="P9" s="789">
        <f t="shared" si="3"/>
        <v>4.2607392912198927</v>
      </c>
      <c r="Q9" s="790">
        <f t="shared" si="3"/>
        <v>4.0477023266588983</v>
      </c>
      <c r="R9" s="789">
        <f t="shared" si="3"/>
        <v>3.8453172103259532</v>
      </c>
      <c r="S9" s="789">
        <f t="shared" si="3"/>
        <v>3.6530513498096555</v>
      </c>
      <c r="T9" s="789">
        <f t="shared" si="3"/>
        <v>3.4703987823191729</v>
      </c>
      <c r="U9" s="789">
        <f t="shared" si="3"/>
        <v>3.2968788432032143</v>
      </c>
      <c r="V9" s="789">
        <f t="shared" si="3"/>
        <v>3.1320349010430535</v>
      </c>
      <c r="W9" s="789">
        <f t="shared" si="3"/>
        <v>2.9754331559909009</v>
      </c>
      <c r="X9" s="789">
        <f t="shared" si="3"/>
        <v>2.8266614981913558</v>
      </c>
      <c r="Y9" s="789">
        <f t="shared" si="3"/>
        <v>2.685328423281788</v>
      </c>
      <c r="Z9" s="789">
        <f t="shared" si="3"/>
        <v>2.5510620021176984</v>
      </c>
      <c r="AA9" s="789">
        <f t="shared" si="3"/>
        <v>2.4235089020118137</v>
      </c>
      <c r="AB9" s="789">
        <f t="shared" si="3"/>
        <v>2.302333456911223</v>
      </c>
      <c r="AC9" s="789">
        <f t="shared" si="3"/>
        <v>2.187216784065662</v>
      </c>
      <c r="AD9" s="789">
        <f t="shared" si="3"/>
        <v>2.077855944862379</v>
      </c>
      <c r="AE9" s="789">
        <f t="shared" si="3"/>
        <v>1.9739631476192601</v>
      </c>
      <c r="AF9" s="791">
        <f t="shared" si="3"/>
        <v>1.875264990238297</v>
      </c>
      <c r="AG9" s="791">
        <f t="shared" si="3"/>
        <v>1.781501740726382</v>
      </c>
      <c r="AH9" s="791">
        <f t="shared" si="3"/>
        <v>1.692426653690063</v>
      </c>
      <c r="AI9" s="791">
        <f t="shared" si="3"/>
        <v>1.6078053210055598</v>
      </c>
      <c r="AJ9" s="791">
        <f t="shared" si="3"/>
        <v>1.5274150549552818</v>
      </c>
      <c r="AK9" s="791">
        <f t="shared" si="3"/>
        <v>1.4510443022075177</v>
      </c>
      <c r="AL9" s="791">
        <f t="shared" si="3"/>
        <v>1.3784920870971418</v>
      </c>
      <c r="AM9" s="791">
        <f t="shared" si="3"/>
        <v>1.3095674827422847</v>
      </c>
      <c r="AN9" s="791">
        <f t="shared" si="3"/>
        <v>1.2440891086051704</v>
      </c>
      <c r="AO9" s="791">
        <f t="shared" si="3"/>
        <v>1.1818846531749119</v>
      </c>
      <c r="AP9" s="791">
        <f t="shared" si="3"/>
        <v>1.1227904205161663</v>
      </c>
      <c r="AQ9" s="791">
        <f t="shared" si="3"/>
        <v>1.0666508994903581</v>
      </c>
      <c r="AR9" s="791">
        <f t="shared" si="3"/>
        <v>1.0133183545158402</v>
      </c>
      <c r="AS9" s="791">
        <f t="shared" si="3"/>
        <v>0.96265243679004819</v>
      </c>
      <c r="AT9" s="791">
        <f t="shared" si="3"/>
        <v>0.9145198149505458</v>
      </c>
      <c r="AU9" s="791">
        <f t="shared" si="3"/>
        <v>0.86879382420301854</v>
      </c>
      <c r="AV9" s="791">
        <f t="shared" si="3"/>
        <v>0.82535413299286764</v>
      </c>
      <c r="AW9" s="791">
        <f t="shared" si="3"/>
        <v>0.78408642634322423</v>
      </c>
      <c r="AX9" s="791">
        <f t="shared" si="3"/>
        <v>0.744882105026063</v>
      </c>
      <c r="AY9" s="791">
        <f t="shared" si="3"/>
        <v>0.70763799977475983</v>
      </c>
      <c r="AZ9" s="791">
        <f t="shared" si="3"/>
        <v>0.67225609978602185</v>
      </c>
      <c r="BA9" s="791">
        <f t="shared" si="3"/>
        <v>0.63864329479672077</v>
      </c>
      <c r="BB9" s="791">
        <f t="shared" si="3"/>
        <v>0.60671113005688471</v>
      </c>
      <c r="BC9" s="791">
        <f t="shared" si="3"/>
        <v>0.57637557355404045</v>
      </c>
      <c r="BD9" s="791">
        <f t="shared" si="3"/>
        <v>0.54755679487633846</v>
      </c>
      <c r="BE9" s="791">
        <f t="shared" si="3"/>
        <v>0.52017895513252155</v>
      </c>
      <c r="BF9" s="791">
        <f t="shared" si="3"/>
        <v>0.49417000737589545</v>
      </c>
      <c r="BG9" s="791">
        <f t="shared" si="3"/>
        <v>0.46946150700710065</v>
      </c>
      <c r="BH9" s="791">
        <f t="shared" si="3"/>
        <v>0.44598843165674562</v>
      </c>
      <c r="BI9" s="791">
        <f t="shared" si="3"/>
        <v>0.42368901007390836</v>
      </c>
      <c r="BJ9" s="791">
        <f t="shared" si="3"/>
        <v>0.40250455957021292</v>
      </c>
      <c r="BK9" s="791">
        <f t="shared" si="3"/>
        <v>0.38237933159170229</v>
      </c>
      <c r="BL9" s="791">
        <f t="shared" si="3"/>
        <v>0.36326036501211717</v>
      </c>
      <c r="BM9" s="791">
        <f t="shared" si="3"/>
        <v>0.34509734676151133</v>
      </c>
      <c r="BN9" s="791">
        <f t="shared" si="3"/>
        <v>0.32784247942343575</v>
      </c>
      <c r="BO9" s="791">
        <f t="shared" si="3"/>
        <v>0.31145035545226396</v>
      </c>
      <c r="BP9" s="791">
        <f t="shared" si="3"/>
        <v>0.29587783767965076</v>
      </c>
      <c r="BQ9" s="791">
        <f t="shared" ref="BQ9:EB9" si="4">BP9-($C$6*BP9)</f>
        <v>0.2810839457956682</v>
      </c>
      <c r="BR9" s="791">
        <f t="shared" si="4"/>
        <v>0.26702974850588479</v>
      </c>
      <c r="BS9" s="791">
        <f t="shared" si="4"/>
        <v>0.25367826108059055</v>
      </c>
      <c r="BT9" s="791">
        <f t="shared" si="4"/>
        <v>0.24099434802656103</v>
      </c>
      <c r="BU9" s="791">
        <f t="shared" si="4"/>
        <v>0.22894463062523299</v>
      </c>
      <c r="BV9" s="791">
        <f t="shared" si="4"/>
        <v>0.21749739909397134</v>
      </c>
      <c r="BW9" s="791">
        <f t="shared" si="4"/>
        <v>0.20662252913927276</v>
      </c>
      <c r="BX9" s="791">
        <f t="shared" si="4"/>
        <v>0.19629140268230913</v>
      </c>
      <c r="BY9" s="791">
        <f t="shared" si="4"/>
        <v>0.18647683254819367</v>
      </c>
      <c r="BZ9" s="791">
        <f t="shared" si="4"/>
        <v>0.17715299092078399</v>
      </c>
      <c r="CA9" s="791">
        <f t="shared" si="4"/>
        <v>0.16829534137474478</v>
      </c>
      <c r="CB9" s="791">
        <f t="shared" si="4"/>
        <v>0.15988057430600755</v>
      </c>
      <c r="CC9" s="791">
        <f t="shared" si="4"/>
        <v>0.15188654559070716</v>
      </c>
      <c r="CD9" s="791">
        <f t="shared" si="4"/>
        <v>0.14429221831117181</v>
      </c>
      <c r="CE9" s="791">
        <f t="shared" si="4"/>
        <v>0.13707760739561323</v>
      </c>
      <c r="CF9" s="791">
        <f t="shared" si="4"/>
        <v>0.13022372702583257</v>
      </c>
      <c r="CG9" s="791">
        <f t="shared" si="4"/>
        <v>0.12371254067454095</v>
      </c>
      <c r="CH9" s="791">
        <f t="shared" si="4"/>
        <v>0.1175269136408139</v>
      </c>
      <c r="CI9" s="791">
        <f t="shared" si="4"/>
        <v>0.11165056795877321</v>
      </c>
      <c r="CJ9" s="791">
        <f t="shared" si="4"/>
        <v>0.10606803956083455</v>
      </c>
      <c r="CK9" s="791">
        <f t="shared" si="4"/>
        <v>0.10076463758279282</v>
      </c>
      <c r="CL9" s="791">
        <f t="shared" si="4"/>
        <v>9.5726405703653178E-2</v>
      </c>
      <c r="CM9" s="791">
        <f t="shared" si="4"/>
        <v>9.0940085418470512E-2</v>
      </c>
      <c r="CN9" s="791">
        <f t="shared" si="4"/>
        <v>8.6393081147546985E-2</v>
      </c>
      <c r="CO9" s="791">
        <f t="shared" si="4"/>
        <v>8.207342709016964E-2</v>
      </c>
      <c r="CP9" s="791">
        <f t="shared" si="4"/>
        <v>7.7969755735661159E-2</v>
      </c>
      <c r="CQ9" s="791">
        <f t="shared" si="4"/>
        <v>7.4071267948878097E-2</v>
      </c>
      <c r="CR9" s="791">
        <f t="shared" si="4"/>
        <v>7.0367704551434193E-2</v>
      </c>
      <c r="CS9" s="791">
        <f t="shared" si="4"/>
        <v>6.6849319323862483E-2</v>
      </c>
      <c r="CT9" s="791">
        <f t="shared" si="4"/>
        <v>6.3506853357669354E-2</v>
      </c>
      <c r="CU9" s="791">
        <f t="shared" si="4"/>
        <v>6.0331510689785886E-2</v>
      </c>
      <c r="CV9" s="791">
        <f t="shared" si="4"/>
        <v>5.7314935155296592E-2</v>
      </c>
      <c r="CW9" s="791">
        <f t="shared" si="4"/>
        <v>5.444918839753176E-2</v>
      </c>
      <c r="CX9" s="791">
        <f t="shared" si="4"/>
        <v>5.1726728977655172E-2</v>
      </c>
      <c r="CY9" s="791">
        <f t="shared" si="4"/>
        <v>4.9140392528772413E-2</v>
      </c>
      <c r="CZ9" s="791">
        <f t="shared" si="4"/>
        <v>4.6683372902333792E-2</v>
      </c>
      <c r="DA9" s="791">
        <f t="shared" si="4"/>
        <v>4.4349204257217105E-2</v>
      </c>
      <c r="DB9" s="791">
        <f t="shared" si="4"/>
        <v>4.2131744044356247E-2</v>
      </c>
      <c r="DC9" s="791">
        <f t="shared" si="4"/>
        <v>4.0025156842138435E-2</v>
      </c>
      <c r="DD9" s="791">
        <f t="shared" si="4"/>
        <v>3.8023899000031516E-2</v>
      </c>
      <c r="DE9" s="791">
        <f t="shared" si="4"/>
        <v>3.6122704050029944E-2</v>
      </c>
      <c r="DF9" s="791">
        <f t="shared" si="4"/>
        <v>3.4316568847528449E-2</v>
      </c>
      <c r="DG9" s="791">
        <f t="shared" si="4"/>
        <v>3.2600740405152026E-2</v>
      </c>
      <c r="DH9" s="791">
        <f t="shared" si="4"/>
        <v>3.0970703384894424E-2</v>
      </c>
      <c r="DI9" s="791">
        <f t="shared" si="4"/>
        <v>2.9422168215649702E-2</v>
      </c>
      <c r="DJ9" s="791">
        <f t="shared" si="4"/>
        <v>2.7951059804867215E-2</v>
      </c>
      <c r="DK9" s="791">
        <f t="shared" si="4"/>
        <v>2.6553506814623856E-2</v>
      </c>
      <c r="DL9" s="791">
        <f t="shared" si="4"/>
        <v>2.5225831473892662E-2</v>
      </c>
      <c r="DM9" s="791">
        <f t="shared" si="4"/>
        <v>2.3964539900198027E-2</v>
      </c>
      <c r="DN9" s="791">
        <f t="shared" si="4"/>
        <v>2.2766312905188126E-2</v>
      </c>
      <c r="DO9" s="791">
        <f t="shared" si="4"/>
        <v>2.162799725992872E-2</v>
      </c>
      <c r="DP9" s="791">
        <f t="shared" si="4"/>
        <v>2.0546597396932285E-2</v>
      </c>
      <c r="DQ9" s="791">
        <f t="shared" si="4"/>
        <v>1.951926752708567E-2</v>
      </c>
      <c r="DR9" s="791">
        <f t="shared" si="4"/>
        <v>1.8543304150731386E-2</v>
      </c>
      <c r="DS9" s="791">
        <f t="shared" si="4"/>
        <v>1.7616138943194817E-2</v>
      </c>
      <c r="DT9" s="791">
        <f t="shared" si="4"/>
        <v>1.6735331996035076E-2</v>
      </c>
      <c r="DU9" s="791">
        <f t="shared" si="4"/>
        <v>1.5898565396233324E-2</v>
      </c>
      <c r="DV9" s="791">
        <f t="shared" si="4"/>
        <v>1.5103637126421657E-2</v>
      </c>
      <c r="DW9" s="791">
        <f t="shared" si="4"/>
        <v>1.4348455270100575E-2</v>
      </c>
      <c r="DX9" s="791">
        <f t="shared" si="4"/>
        <v>1.3631032506595546E-2</v>
      </c>
      <c r="DY9" s="791">
        <f t="shared" si="4"/>
        <v>1.2949480881265768E-2</v>
      </c>
      <c r="DZ9" s="791">
        <f t="shared" si="4"/>
        <v>1.230200683720248E-2</v>
      </c>
      <c r="EA9" s="791">
        <f t="shared" si="4"/>
        <v>1.1686906495342356E-2</v>
      </c>
      <c r="EB9" s="791">
        <f t="shared" si="4"/>
        <v>1.1102561170575238E-2</v>
      </c>
      <c r="EC9" s="791">
        <f t="shared" ref="EC9:GE9" si="5">EB9-($C$6*EB9)</f>
        <v>1.0547433112046476E-2</v>
      </c>
      <c r="ED9" s="791">
        <f t="shared" si="5"/>
        <v>1.0020061456444152E-2</v>
      </c>
      <c r="EE9" s="791">
        <f t="shared" si="5"/>
        <v>9.5190583836219436E-3</v>
      </c>
      <c r="EF9" s="791">
        <f t="shared" si="5"/>
        <v>9.0431054644408461E-3</v>
      </c>
      <c r="EG9" s="791">
        <f t="shared" si="5"/>
        <v>8.5909501912188047E-3</v>
      </c>
      <c r="EH9" s="791">
        <f t="shared" si="5"/>
        <v>8.1614026816578637E-3</v>
      </c>
      <c r="EI9" s="791">
        <f t="shared" si="5"/>
        <v>7.7533325475749705E-3</v>
      </c>
      <c r="EJ9" s="791">
        <f t="shared" si="5"/>
        <v>7.3656659201962217E-3</v>
      </c>
      <c r="EK9" s="791">
        <f t="shared" si="5"/>
        <v>6.9973826241864108E-3</v>
      </c>
      <c r="EL9" s="791">
        <f t="shared" si="5"/>
        <v>6.6475134929770904E-3</v>
      </c>
      <c r="EM9" s="791">
        <f t="shared" si="5"/>
        <v>6.3151378183282361E-3</v>
      </c>
      <c r="EN9" s="791">
        <f t="shared" si="5"/>
        <v>5.9993809274118239E-3</v>
      </c>
      <c r="EO9" s="791">
        <f t="shared" si="5"/>
        <v>5.6994118810412327E-3</v>
      </c>
      <c r="EP9" s="791">
        <f t="shared" si="5"/>
        <v>5.414441286989171E-3</v>
      </c>
      <c r="EQ9" s="791">
        <f t="shared" si="5"/>
        <v>5.1437192226397128E-3</v>
      </c>
      <c r="ER9" s="791">
        <f t="shared" si="5"/>
        <v>4.8865332615077271E-3</v>
      </c>
      <c r="ES9" s="791">
        <f t="shared" si="5"/>
        <v>4.6422065984323404E-3</v>
      </c>
      <c r="ET9" s="791">
        <f t="shared" si="5"/>
        <v>4.4100962685107237E-3</v>
      </c>
      <c r="EU9" s="791">
        <f t="shared" si="5"/>
        <v>4.1895914550851877E-3</v>
      </c>
      <c r="EV9" s="791">
        <f t="shared" si="5"/>
        <v>3.9801118823309285E-3</v>
      </c>
      <c r="EW9" s="791">
        <f t="shared" si="5"/>
        <v>3.7811062882143823E-3</v>
      </c>
      <c r="EX9" s="791">
        <f t="shared" si="5"/>
        <v>3.592050973803663E-3</v>
      </c>
      <c r="EY9" s="791">
        <f t="shared" si="5"/>
        <v>3.4124484251134798E-3</v>
      </c>
      <c r="EZ9" s="791">
        <f t="shared" si="5"/>
        <v>3.2418260038578057E-3</v>
      </c>
      <c r="FA9" s="791">
        <f t="shared" si="5"/>
        <v>3.0797347036649156E-3</v>
      </c>
      <c r="FB9" s="791">
        <f t="shared" si="5"/>
        <v>2.9257479684816697E-3</v>
      </c>
      <c r="FC9" s="791">
        <f t="shared" si="5"/>
        <v>2.7794605700575863E-3</v>
      </c>
      <c r="FD9" s="791">
        <f t="shared" si="5"/>
        <v>2.6404875415547069E-3</v>
      </c>
      <c r="FE9" s="791">
        <f t="shared" si="5"/>
        <v>2.5084631644769714E-3</v>
      </c>
      <c r="FF9" s="791">
        <f t="shared" si="5"/>
        <v>2.3830400062531229E-3</v>
      </c>
      <c r="FG9" s="791">
        <f t="shared" si="5"/>
        <v>2.2638880059404668E-3</v>
      </c>
      <c r="FH9" s="791">
        <f t="shared" si="5"/>
        <v>2.1506936056434433E-3</v>
      </c>
      <c r="FI9" s="791">
        <f t="shared" si="5"/>
        <v>2.0431589253612713E-3</v>
      </c>
      <c r="FJ9" s="791">
        <f t="shared" si="5"/>
        <v>1.9410009790932078E-3</v>
      </c>
      <c r="FK9" s="791">
        <f t="shared" si="5"/>
        <v>1.8439509301385474E-3</v>
      </c>
      <c r="FL9" s="791">
        <f t="shared" si="5"/>
        <v>1.75175338363162E-3</v>
      </c>
      <c r="FM9" s="791">
        <f t="shared" si="5"/>
        <v>1.6641657144500391E-3</v>
      </c>
      <c r="FN9" s="791">
        <f t="shared" si="5"/>
        <v>1.580957428727537E-3</v>
      </c>
      <c r="FO9" s="791">
        <f t="shared" si="5"/>
        <v>1.5019095572911601E-3</v>
      </c>
      <c r="FP9" s="791">
        <f t="shared" si="5"/>
        <v>1.426814079426602E-3</v>
      </c>
      <c r="FQ9" s="791">
        <f t="shared" si="5"/>
        <v>1.355473375455272E-3</v>
      </c>
      <c r="FR9" s="791">
        <f t="shared" si="5"/>
        <v>1.2876997066825083E-3</v>
      </c>
      <c r="FS9" s="791">
        <f t="shared" si="5"/>
        <v>1.2233147213483828E-3</v>
      </c>
      <c r="FT9" s="791">
        <f t="shared" si="5"/>
        <v>1.1621489852809636E-3</v>
      </c>
      <c r="FU9" s="791">
        <f t="shared" si="5"/>
        <v>1.1040415360169154E-3</v>
      </c>
      <c r="FV9" s="791">
        <f t="shared" si="5"/>
        <v>1.0488394592160697E-3</v>
      </c>
      <c r="FW9" s="791">
        <f t="shared" si="5"/>
        <v>9.9639748625526608E-4</v>
      </c>
      <c r="FX9" s="791">
        <f t="shared" si="5"/>
        <v>9.4657761194250273E-4</v>
      </c>
      <c r="FY9" s="791">
        <f t="shared" si="5"/>
        <v>8.9924873134537755E-4</v>
      </c>
      <c r="FZ9" s="791">
        <f t="shared" si="5"/>
        <v>8.5428629477810871E-4</v>
      </c>
      <c r="GA9" s="791">
        <f t="shared" si="5"/>
        <v>8.115719800392033E-4</v>
      </c>
      <c r="GB9" s="791">
        <f t="shared" si="5"/>
        <v>7.7099338103724319E-4</v>
      </c>
      <c r="GC9" s="791">
        <f t="shared" si="5"/>
        <v>7.3244371198538107E-4</v>
      </c>
      <c r="GD9" s="791">
        <f t="shared" si="5"/>
        <v>6.95821526386112E-4</v>
      </c>
      <c r="GE9" s="791">
        <f t="shared" si="5"/>
        <v>6.6103045006680637E-4</v>
      </c>
    </row>
    <row r="10" spans="2:187">
      <c r="B10" s="781" t="s">
        <v>945</v>
      </c>
      <c r="C10" s="792">
        <v>1</v>
      </c>
      <c r="D10" s="782" t="s">
        <v>728</v>
      </c>
      <c r="E10" s="720">
        <v>1.2</v>
      </c>
      <c r="F10" s="721" t="s">
        <v>728</v>
      </c>
      <c r="G10" s="793"/>
      <c r="H10" s="793"/>
      <c r="I10" s="793"/>
      <c r="J10" s="793"/>
      <c r="K10" s="793"/>
      <c r="L10" s="793"/>
      <c r="M10" s="793"/>
      <c r="N10" s="793"/>
      <c r="O10" s="793"/>
      <c r="P10" s="793"/>
    </row>
    <row r="11" spans="2:187" ht="13.5" thickBot="1">
      <c r="B11" s="794" t="s">
        <v>946</v>
      </c>
      <c r="C11" s="795">
        <v>3.7000000000000002E-3</v>
      </c>
      <c r="D11" s="796" t="s">
        <v>947</v>
      </c>
      <c r="F11" s="438"/>
    </row>
    <row r="12" spans="2:187">
      <c r="B12" s="797" t="s">
        <v>894</v>
      </c>
      <c r="C12" s="798">
        <f>C5*PI()</f>
        <v>3.8327430373795477</v>
      </c>
      <c r="D12" s="780" t="s">
        <v>357</v>
      </c>
      <c r="F12" s="438"/>
    </row>
    <row r="13" spans="2:187" ht="13.5" thickBot="1">
      <c r="B13" s="799" t="s">
        <v>895</v>
      </c>
      <c r="C13" s="800">
        <f>(C5*C5)*PI()/4</f>
        <v>1.168986626400762</v>
      </c>
      <c r="D13" s="796" t="s">
        <v>896</v>
      </c>
      <c r="E13" s="785">
        <f>E8</f>
        <v>100</v>
      </c>
      <c r="F13" s="785">
        <f t="shared" ref="F13:BQ13" si="6">F8</f>
        <v>150</v>
      </c>
      <c r="G13" s="785">
        <f t="shared" si="6"/>
        <v>200</v>
      </c>
      <c r="H13" s="785">
        <f t="shared" si="6"/>
        <v>250</v>
      </c>
      <c r="I13" s="785">
        <f t="shared" si="6"/>
        <v>300</v>
      </c>
      <c r="J13" s="785">
        <f t="shared" si="6"/>
        <v>350</v>
      </c>
      <c r="K13" s="785">
        <f t="shared" si="6"/>
        <v>400</v>
      </c>
      <c r="L13" s="785">
        <f t="shared" si="6"/>
        <v>450</v>
      </c>
      <c r="M13" s="785">
        <f t="shared" si="6"/>
        <v>500</v>
      </c>
      <c r="N13" s="785">
        <f t="shared" si="6"/>
        <v>550</v>
      </c>
      <c r="O13" s="785">
        <f t="shared" si="6"/>
        <v>600</v>
      </c>
      <c r="P13" s="785">
        <f t="shared" si="6"/>
        <v>650</v>
      </c>
      <c r="Q13" s="785">
        <f t="shared" si="6"/>
        <v>700</v>
      </c>
      <c r="R13" s="785">
        <f t="shared" si="6"/>
        <v>750</v>
      </c>
      <c r="S13" s="785">
        <f t="shared" si="6"/>
        <v>800</v>
      </c>
      <c r="T13" s="785">
        <f t="shared" si="6"/>
        <v>850</v>
      </c>
      <c r="U13" s="785">
        <f t="shared" si="6"/>
        <v>900</v>
      </c>
      <c r="V13" s="785">
        <f t="shared" si="6"/>
        <v>950</v>
      </c>
      <c r="W13" s="785">
        <f t="shared" si="6"/>
        <v>1000</v>
      </c>
      <c r="X13" s="785">
        <f t="shared" si="6"/>
        <v>1050</v>
      </c>
      <c r="Y13" s="785">
        <f t="shared" si="6"/>
        <v>1100</v>
      </c>
      <c r="Z13" s="785">
        <f t="shared" si="6"/>
        <v>1150</v>
      </c>
      <c r="AA13" s="785">
        <f t="shared" si="6"/>
        <v>1200</v>
      </c>
      <c r="AB13" s="785">
        <f t="shared" si="6"/>
        <v>1250</v>
      </c>
      <c r="AC13" s="785">
        <f t="shared" si="6"/>
        <v>1300</v>
      </c>
      <c r="AD13" s="785">
        <f t="shared" si="6"/>
        <v>1350</v>
      </c>
      <c r="AE13" s="785">
        <f t="shared" si="6"/>
        <v>1400</v>
      </c>
      <c r="AF13" s="785">
        <f t="shared" si="6"/>
        <v>1450</v>
      </c>
      <c r="AG13" s="785">
        <f t="shared" si="6"/>
        <v>1500</v>
      </c>
      <c r="AH13" s="785">
        <f t="shared" si="6"/>
        <v>1550</v>
      </c>
      <c r="AI13" s="785">
        <f t="shared" si="6"/>
        <v>1600</v>
      </c>
      <c r="AJ13" s="785">
        <f t="shared" si="6"/>
        <v>1650</v>
      </c>
      <c r="AK13" s="785">
        <f t="shared" si="6"/>
        <v>1700</v>
      </c>
      <c r="AL13" s="785">
        <f t="shared" si="6"/>
        <v>1750</v>
      </c>
      <c r="AM13" s="785">
        <f t="shared" si="6"/>
        <v>1800</v>
      </c>
      <c r="AN13" s="785">
        <f t="shared" si="6"/>
        <v>1850</v>
      </c>
      <c r="AO13" s="785">
        <f t="shared" si="6"/>
        <v>1900</v>
      </c>
      <c r="AP13" s="785">
        <f t="shared" si="6"/>
        <v>1950</v>
      </c>
      <c r="AQ13" s="785">
        <f t="shared" si="6"/>
        <v>2000</v>
      </c>
      <c r="AR13" s="785">
        <f t="shared" si="6"/>
        <v>2050</v>
      </c>
      <c r="AS13" s="785">
        <f t="shared" si="6"/>
        <v>2100</v>
      </c>
      <c r="AT13" s="785">
        <f t="shared" si="6"/>
        <v>2150</v>
      </c>
      <c r="AU13" s="785">
        <f t="shared" si="6"/>
        <v>2200</v>
      </c>
      <c r="AV13" s="785">
        <f t="shared" si="6"/>
        <v>2250</v>
      </c>
      <c r="AW13" s="785">
        <f t="shared" si="6"/>
        <v>2300</v>
      </c>
      <c r="AX13" s="785">
        <f t="shared" si="6"/>
        <v>2350</v>
      </c>
      <c r="AY13" s="785">
        <f t="shared" si="6"/>
        <v>2400</v>
      </c>
      <c r="AZ13" s="785">
        <f t="shared" si="6"/>
        <v>2450</v>
      </c>
      <c r="BA13" s="785">
        <f t="shared" si="6"/>
        <v>2500</v>
      </c>
      <c r="BB13" s="785">
        <f t="shared" si="6"/>
        <v>2550</v>
      </c>
      <c r="BC13" s="785">
        <f t="shared" si="6"/>
        <v>2600</v>
      </c>
      <c r="BD13" s="785">
        <f t="shared" si="6"/>
        <v>2650</v>
      </c>
      <c r="BE13" s="785">
        <f t="shared" si="6"/>
        <v>2700</v>
      </c>
      <c r="BF13" s="785">
        <f t="shared" si="6"/>
        <v>2750</v>
      </c>
      <c r="BG13" s="785">
        <f t="shared" si="6"/>
        <v>2800</v>
      </c>
      <c r="BH13" s="785">
        <f t="shared" si="6"/>
        <v>2850</v>
      </c>
      <c r="BI13" s="785">
        <f t="shared" si="6"/>
        <v>2900</v>
      </c>
      <c r="BJ13" s="785">
        <f t="shared" si="6"/>
        <v>2950</v>
      </c>
      <c r="BK13" s="785">
        <f t="shared" si="6"/>
        <v>3000</v>
      </c>
      <c r="BL13" s="785">
        <f t="shared" si="6"/>
        <v>3050</v>
      </c>
      <c r="BM13" s="785">
        <f t="shared" si="6"/>
        <v>3100</v>
      </c>
      <c r="BN13" s="785">
        <f t="shared" si="6"/>
        <v>3150</v>
      </c>
      <c r="BO13" s="785">
        <f t="shared" si="6"/>
        <v>3200</v>
      </c>
      <c r="BP13" s="785">
        <f t="shared" si="6"/>
        <v>3250</v>
      </c>
      <c r="BQ13" s="785">
        <f t="shared" si="6"/>
        <v>3300</v>
      </c>
    </row>
    <row r="14" spans="2:187" ht="16.5" thickBot="1">
      <c r="B14" s="692" t="s">
        <v>948</v>
      </c>
      <c r="C14" s="801">
        <f>(((C11*C12*C8)*(C9*C9)/(C13*C13*C13))*(C10/C18))</f>
        <v>0</v>
      </c>
      <c r="D14" s="802">
        <f>((($C$11*$C$12*D8)*(D9*D9)/($C$13*$C$13*$C$13))*($C$10/$C$18))</f>
        <v>27.596639411622444</v>
      </c>
      <c r="E14" s="803">
        <f t="shared" ref="E14:BP14" si="7">((($C$11*$C$12*E8)*(E9*E9)/($C$13*$C$13*$C$13))*($C$10/$C$18))</f>
        <v>49.811934137978504</v>
      </c>
      <c r="F14" s="804">
        <f t="shared" si="7"/>
        <v>67.432905839288409</v>
      </c>
      <c r="G14" s="804">
        <f t="shared" si="7"/>
        <v>81.144263359943722</v>
      </c>
      <c r="H14" s="804">
        <f t="shared" si="7"/>
        <v>91.540872102936504</v>
      </c>
      <c r="I14" s="804">
        <f t="shared" si="7"/>
        <v>99.138764487480231</v>
      </c>
      <c r="J14" s="804">
        <f t="shared" si="7"/>
        <v>104.38485744160941</v>
      </c>
      <c r="K14" s="804">
        <f t="shared" si="7"/>
        <v>107.66552438977426</v>
      </c>
      <c r="L14" s="804">
        <f t="shared" si="7"/>
        <v>109.31415273199268</v>
      </c>
      <c r="M14" s="804">
        <f t="shared" si="7"/>
        <v>109.61780315624823</v>
      </c>
      <c r="N14" s="804">
        <f t="shared" si="7"/>
        <v>108.82307408336543</v>
      </c>
      <c r="O14" s="804">
        <f t="shared" si="7"/>
        <v>107.14126293844069</v>
      </c>
      <c r="P14" s="804">
        <f t="shared" si="7"/>
        <v>104.75290561877128</v>
      </c>
      <c r="Q14" s="804">
        <f t="shared" si="7"/>
        <v>101.81176634562885</v>
      </c>
      <c r="R14" s="804">
        <f t="shared" si="7"/>
        <v>98.44834192171075</v>
      </c>
      <c r="S14" s="804">
        <f t="shared" si="7"/>
        <v>94.772937156633546</v>
      </c>
      <c r="T14" s="804">
        <f t="shared" si="7"/>
        <v>90.878361770353152</v>
      </c>
      <c r="U14" s="804">
        <f t="shared" si="7"/>
        <v>86.842293350552168</v>
      </c>
      <c r="V14" s="804">
        <f t="shared" si="7"/>
        <v>82.729345846032956</v>
      </c>
      <c r="W14" s="804">
        <f t="shared" si="7"/>
        <v>78.592878553731325</v>
      </c>
      <c r="X14" s="804">
        <f t="shared" si="7"/>
        <v>74.476576539479623</v>
      </c>
      <c r="Y14" s="804">
        <f t="shared" si="7"/>
        <v>70.415829866255621</v>
      </c>
      <c r="Z14" s="804">
        <f t="shared" si="7"/>
        <v>66.438935838581855</v>
      </c>
      <c r="AA14" s="804">
        <f t="shared" si="7"/>
        <v>62.568145663638411</v>
      </c>
      <c r="AB14" s="804">
        <f t="shared" si="7"/>
        <v>58.820574438993397</v>
      </c>
      <c r="AC14" s="804">
        <f t="shared" si="7"/>
        <v>55.208991168439219</v>
      </c>
      <c r="AD14" s="804">
        <f t="shared" si="7"/>
        <v>51.742503549882407</v>
      </c>
      <c r="AE14" s="804">
        <f t="shared" si="7"/>
        <v>48.427150544649194</v>
      </c>
      <c r="AF14" s="802">
        <f t="shared" si="7"/>
        <v>45.266414201065402</v>
      </c>
      <c r="AG14" s="802">
        <f t="shared" si="7"/>
        <v>42.261660844615363</v>
      </c>
      <c r="AH14" s="802">
        <f t="shared" si="7"/>
        <v>39.412520542674208</v>
      </c>
      <c r="AI14" s="802">
        <f t="shared" si="7"/>
        <v>36.717212686207461</v>
      </c>
      <c r="AJ14" s="802">
        <f t="shared" si="7"/>
        <v>34.172824588342927</v>
      </c>
      <c r="AK14" s="802">
        <f t="shared" si="7"/>
        <v>31.775549166463716</v>
      </c>
      <c r="AL14" s="802">
        <f t="shared" si="7"/>
        <v>29.520887038108018</v>
      </c>
      <c r="AM14" s="802">
        <f t="shared" si="7"/>
        <v>27.403817710517988</v>
      </c>
      <c r="AN14" s="802">
        <f t="shared" si="7"/>
        <v>25.418943969401997</v>
      </c>
      <c r="AO14" s="802">
        <f t="shared" si="7"/>
        <v>23.560613065693008</v>
      </c>
      <c r="AP14" s="802">
        <f t="shared" si="7"/>
        <v>21.82301785209815</v>
      </c>
      <c r="AQ14" s="802">
        <f t="shared" si="7"/>
        <v>20.200280627198552</v>
      </c>
      <c r="AR14" s="802">
        <f t="shared" si="7"/>
        <v>18.686522097697857</v>
      </c>
      <c r="AS14" s="802">
        <f t="shared" si="7"/>
        <v>17.275917563737494</v>
      </c>
      <c r="AT14" s="802">
        <f t="shared" si="7"/>
        <v>15.962742163208162</v>
      </c>
      <c r="AU14" s="802">
        <f t="shared" si="7"/>
        <v>14.741406774441771</v>
      </c>
      <c r="AV14" s="802">
        <f t="shared" si="7"/>
        <v>13.60648596879583</v>
      </c>
      <c r="AW14" s="802">
        <f t="shared" si="7"/>
        <v>12.552739222101305</v>
      </c>
      <c r="AX14" s="802">
        <f t="shared" si="7"/>
        <v>11.575126433771352</v>
      </c>
      <c r="AY14" s="802">
        <f t="shared" si="7"/>
        <v>10.668818661935637</v>
      </c>
      <c r="AZ14" s="802">
        <f t="shared" si="7"/>
        <v>9.8292048599468487</v>
      </c>
      <c r="BA14" s="802">
        <f t="shared" si="7"/>
        <v>9.0518952919408466</v>
      </c>
      <c r="BB14" s="802">
        <f t="shared" si="7"/>
        <v>8.3327222109961454</v>
      </c>
      <c r="BC14" s="802">
        <f t="shared" si="7"/>
        <v>7.6677383012166516</v>
      </c>
      <c r="BD14" s="802">
        <f t="shared" si="7"/>
        <v>7.0532133133258732</v>
      </c>
      <c r="BE14" s="802">
        <f t="shared" si="7"/>
        <v>6.4856292608478583</v>
      </c>
      <c r="BF14" s="802">
        <f t="shared" si="7"/>
        <v>5.9616744895432507</v>
      </c>
      <c r="BG14" s="802">
        <f t="shared" si="7"/>
        <v>5.4782368854821062</v>
      </c>
      <c r="BH14" s="802">
        <f t="shared" si="7"/>
        <v>5.0323964460966648</v>
      </c>
      <c r="BI14" s="802">
        <f t="shared" si="7"/>
        <v>4.6214174029987722</v>
      </c>
      <c r="BJ14" s="802">
        <f t="shared" si="7"/>
        <v>4.2427400545892597</v>
      </c>
      <c r="BK14" s="802">
        <f t="shared" si="7"/>
        <v>3.8939724399323463</v>
      </c>
      <c r="BL14" s="802">
        <f t="shared" si="7"/>
        <v>3.5728819624895913</v>
      </c>
      <c r="BM14" s="802">
        <f t="shared" si="7"/>
        <v>3.2773870526410671</v>
      </c>
      <c r="BN14" s="802">
        <f t="shared" si="7"/>
        <v>3.0055489410570888</v>
      </c>
      <c r="BO14" s="802">
        <f t="shared" si="7"/>
        <v>2.7555636005628164</v>
      </c>
      <c r="BP14" s="802">
        <f t="shared" si="7"/>
        <v>2.5257539018440029</v>
      </c>
      <c r="BQ14" s="802">
        <f t="shared" ref="BQ14:EB14" si="8">((($C$11*$C$12*BQ8)*(BQ9*BQ9)/($C$13*$C$13*$C$13))*($C$10/$C$18))</f>
        <v>2.3145620178975079</v>
      </c>
      <c r="BR14" s="802">
        <f t="shared" si="8"/>
        <v>2.1205421032911751</v>
      </c>
      <c r="BS14" s="802">
        <f t="shared" si="8"/>
        <v>1.9423532668504393</v>
      </c>
      <c r="BT14" s="802">
        <f t="shared" si="8"/>
        <v>1.7787528501462353</v>
      </c>
      <c r="BU14" s="802">
        <f t="shared" si="8"/>
        <v>1.6285900189563538</v>
      </c>
      <c r="BV14" s="802">
        <f t="shared" si="8"/>
        <v>1.4907996705667965</v>
      </c>
      <c r="BW14" s="802">
        <f t="shared" si="8"/>
        <v>1.364396656245499</v>
      </c>
      <c r="BX14" s="802">
        <f t="shared" si="8"/>
        <v>1.2484703153485288</v>
      </c>
      <c r="BY14" s="802">
        <f t="shared" si="8"/>
        <v>1.1421793152130346</v>
      </c>
      <c r="BZ14" s="802">
        <f t="shared" si="8"/>
        <v>1.0447467891686792</v>
      </c>
      <c r="CA14" s="802">
        <f t="shared" si="8"/>
        <v>0.95545576358772932</v>
      </c>
      <c r="CB14" s="802">
        <f t="shared" si="8"/>
        <v>0.87364486383053008</v>
      </c>
      <c r="CC14" s="802">
        <f t="shared" si="8"/>
        <v>0.79870428817337857</v>
      </c>
      <c r="CD14" s="802">
        <f t="shared" si="8"/>
        <v>0.73007203828258305</v>
      </c>
      <c r="CE14" s="802">
        <f t="shared" si="8"/>
        <v>0.66723039448104438</v>
      </c>
      <c r="CF14" s="802">
        <f t="shared" si="8"/>
        <v>0.60970262390688179</v>
      </c>
      <c r="CG14" s="802">
        <f t="shared" si="8"/>
        <v>0.55704990965714551</v>
      </c>
      <c r="CH14" s="802">
        <f t="shared" si="8"/>
        <v>0.50886848911759297</v>
      </c>
      <c r="CI14" s="802">
        <f t="shared" si="8"/>
        <v>0.46478698987957501</v>
      </c>
      <c r="CJ14" s="802">
        <f t="shared" si="8"/>
        <v>0.4244639519182965</v>
      </c>
      <c r="CK14" s="802">
        <f t="shared" si="8"/>
        <v>0.38758552503692451</v>
      </c>
      <c r="CL14" s="802">
        <f t="shared" si="8"/>
        <v>0.35386333095449674</v>
      </c>
      <c r="CM14" s="802">
        <f t="shared" si="8"/>
        <v>0.32303247982076011</v>
      </c>
      <c r="CN14" s="802">
        <f t="shared" si="8"/>
        <v>0.29484973136821591</v>
      </c>
      <c r="CO14" s="802">
        <f t="shared" si="8"/>
        <v>0.26909179135262179</v>
      </c>
      <c r="CP14" s="802">
        <f t="shared" si="8"/>
        <v>0.24555373438124942</v>
      </c>
      <c r="CQ14" s="802">
        <f t="shared" si="8"/>
        <v>0.22404754467774871</v>
      </c>
      <c r="CR14" s="802">
        <f t="shared" si="8"/>
        <v>0.20440076677896896</v>
      </c>
      <c r="CS14" s="802">
        <f t="shared" si="8"/>
        <v>0.18645525859885845</v>
      </c>
      <c r="CT14" s="802">
        <f t="shared" si="8"/>
        <v>0.17006603972467682</v>
      </c>
      <c r="CU14" s="802">
        <f t="shared" si="8"/>
        <v>0.15510022822890526</v>
      </c>
      <c r="CV14" s="802">
        <f t="shared" si="8"/>
        <v>0.14143605968467643</v>
      </c>
      <c r="CW14" s="802">
        <f t="shared" si="8"/>
        <v>0.12896198246197121</v>
      </c>
      <c r="CX14" s="802">
        <f t="shared" si="8"/>
        <v>0.11757582375531606</v>
      </c>
      <c r="CY14" s="802">
        <f t="shared" si="8"/>
        <v>0.10718402115067951</v>
      </c>
      <c r="CZ14" s="802">
        <f t="shared" si="8"/>
        <v>9.7700914879373157E-2</v>
      </c>
      <c r="DA14" s="802">
        <f t="shared" si="8"/>
        <v>8.9048096229907892E-2</v>
      </c>
      <c r="DB14" s="802">
        <f t="shared" si="8"/>
        <v>8.1153807895016278E-2</v>
      </c>
      <c r="DC14" s="802">
        <f t="shared" si="8"/>
        <v>7.3952392320643004E-2</v>
      </c>
      <c r="DD14" s="802">
        <f t="shared" si="8"/>
        <v>6.7383784396970514E-2</v>
      </c>
      <c r="DE14" s="802">
        <f t="shared" si="8"/>
        <v>6.1393045088916055E-2</v>
      </c>
      <c r="DF14" s="802">
        <f t="shared" si="8"/>
        <v>5.5929932845508505E-2</v>
      </c>
      <c r="DG14" s="802">
        <f t="shared" si="8"/>
        <v>5.094850985468892E-2</v>
      </c>
      <c r="DH14" s="802">
        <f t="shared" si="8"/>
        <v>4.6406780422966531E-2</v>
      </c>
      <c r="DI14" s="802">
        <f t="shared" si="8"/>
        <v>4.2266358958623872E-2</v>
      </c>
      <c r="DJ14" s="802">
        <f t="shared" si="8"/>
        <v>3.8492165223432205E-2</v>
      </c>
      <c r="DK14" s="802">
        <f t="shared" si="8"/>
        <v>3.5052144691752496E-2</v>
      </c>
      <c r="DL14" s="802">
        <f t="shared" si="8"/>
        <v>3.1917012018095083E-2</v>
      </c>
      <c r="DM14" s="802">
        <f t="shared" si="8"/>
        <v>2.9060015765324878E-2</v>
      </c>
      <c r="DN14" s="802">
        <f t="shared" si="8"/>
        <v>2.6456722686347866E-2</v>
      </c>
      <c r="DO14" s="802">
        <f t="shared" si="8"/>
        <v>2.4084819982902246E-2</v>
      </c>
      <c r="DP14" s="802">
        <f t="shared" si="8"/>
        <v>2.1923934086591428E-2</v>
      </c>
      <c r="DQ14" s="802">
        <f t="shared" si="8"/>
        <v>1.9955464620098753E-2</v>
      </c>
      <c r="DR14" s="802">
        <f t="shared" si="8"/>
        <v>1.8162432301161484E-2</v>
      </c>
      <c r="DS14" s="802">
        <f t="shared" si="8"/>
        <v>1.6529339648872175E-2</v>
      </c>
      <c r="DT14" s="802">
        <f t="shared" si="8"/>
        <v>1.5042043441716366E-2</v>
      </c>
      <c r="DU14" s="802">
        <f t="shared" si="8"/>
        <v>1.3687637959918848E-2</v>
      </c>
      <c r="DV14" s="802">
        <f t="shared" si="8"/>
        <v>1.2454348121604029E-2</v>
      </c>
      <c r="DW14" s="802">
        <f t="shared" si="8"/>
        <v>1.1331431693404122E-2</v>
      </c>
      <c r="DX14" s="802">
        <f t="shared" si="8"/>
        <v>1.0309089821872197E-2</v>
      </c>
      <c r="DY14" s="802">
        <f t="shared" si="8"/>
        <v>9.3783851927535748E-3</v>
      </c>
      <c r="DZ14" s="802">
        <f t="shared" si="8"/>
        <v>8.5311671811939098E-3</v>
      </c>
      <c r="EA14" s="802">
        <f t="shared" si="8"/>
        <v>7.7600034076497687E-3</v>
      </c>
      <c r="EB14" s="802">
        <f t="shared" si="8"/>
        <v>7.058117161930509E-3</v>
      </c>
      <c r="EC14" s="802">
        <f t="shared" ref="EC14:GE14" si="9">((($C$11*$C$12*EC8)*(EC9*EC9)/($C$13*$C$13*$C$13))*($C$10/$C$18))</f>
        <v>6.4193302017325352E-3</v>
      </c>
      <c r="ED14" s="802">
        <f t="shared" si="9"/>
        <v>5.8380104725025634E-3</v>
      </c>
      <c r="EE14" s="802">
        <f t="shared" si="9"/>
        <v>5.3090243327422156E-3</v>
      </c>
      <c r="EF14" s="802">
        <f t="shared" si="9"/>
        <v>4.8276929031809083E-3</v>
      </c>
      <c r="EG14" s="802">
        <f t="shared" si="9"/>
        <v>4.3897521898209274E-3</v>
      </c>
      <c r="EH14" s="802">
        <f t="shared" si="9"/>
        <v>3.9913166599052771E-3</v>
      </c>
      <c r="EI14" s="802">
        <f t="shared" si="9"/>
        <v>3.6288459765686939E-3</v>
      </c>
      <c r="EJ14" s="802">
        <f t="shared" si="9"/>
        <v>3.2991146224845202E-3</v>
      </c>
      <c r="EK14" s="802">
        <f t="shared" si="9"/>
        <v>2.9991841653820043E-3</v>
      </c>
      <c r="EL14" s="802">
        <f t="shared" si="9"/>
        <v>2.726377939034485E-3</v>
      </c>
      <c r="EM14" s="802">
        <f t="shared" si="9"/>
        <v>2.4782579323525708E-3</v>
      </c>
      <c r="EN14" s="802">
        <f t="shared" si="9"/>
        <v>2.2526036966906814E-3</v>
      </c>
      <c r="EO14" s="802">
        <f t="shared" si="9"/>
        <v>2.0473930975134346E-3</v>
      </c>
      <c r="EP14" s="802">
        <f t="shared" si="9"/>
        <v>1.8607847512840852E-3</v>
      </c>
      <c r="EQ14" s="802">
        <f t="shared" si="9"/>
        <v>1.6911020019362219E-3</v>
      </c>
      <c r="ER14" s="802">
        <f t="shared" si="9"/>
        <v>1.5368183036692975E-3</v>
      </c>
      <c r="ES14" s="802">
        <f t="shared" si="9"/>
        <v>1.3965438881585169E-3</v>
      </c>
      <c r="ET14" s="802">
        <f t="shared" si="9"/>
        <v>1.2690136046730827E-3</v>
      </c>
      <c r="EU14" s="802">
        <f t="shared" si="9"/>
        <v>1.1530758311305012E-3</v>
      </c>
      <c r="EV14" s="802">
        <f t="shared" si="9"/>
        <v>1.0476823628492995E-3</v>
      </c>
      <c r="EW14" s="802">
        <f t="shared" si="9"/>
        <v>9.5187919376324784E-4</v>
      </c>
      <c r="EX14" s="802">
        <f t="shared" si="9"/>
        <v>8.6479811218714007E-4</v>
      </c>
      <c r="EY14" s="802">
        <f t="shared" si="9"/>
        <v>7.8564903993266126E-4</v>
      </c>
      <c r="EZ14" s="802">
        <f t="shared" si="9"/>
        <v>7.1371304971382706E-4</v>
      </c>
      <c r="FA14" s="802">
        <f t="shared" si="9"/>
        <v>6.4833600140180555E-4</v>
      </c>
      <c r="FB14" s="802">
        <f t="shared" si="9"/>
        <v>5.8892274283178618E-4</v>
      </c>
      <c r="FC14" s="802">
        <f t="shared" si="9"/>
        <v>5.3493182556959467E-4</v>
      </c>
      <c r="FD14" s="802">
        <f t="shared" si="9"/>
        <v>4.8587069034948586E-4</v>
      </c>
      <c r="FE14" s="802">
        <f t="shared" si="9"/>
        <v>4.4129128083047727E-4</v>
      </c>
      <c r="FF14" s="802">
        <f t="shared" si="9"/>
        <v>4.0078604791754052E-4</v>
      </c>
      <c r="FG14" s="802">
        <f t="shared" si="9"/>
        <v>3.6398431018423185E-4</v>
      </c>
      <c r="FH14" s="802">
        <f t="shared" si="9"/>
        <v>3.3054893894090214E-4</v>
      </c>
      <c r="FI14" s="802">
        <f t="shared" si="9"/>
        <v>3.0017333924133293E-4</v>
      </c>
      <c r="FJ14" s="802">
        <f t="shared" si="9"/>
        <v>2.7257870063237275E-4</v>
      </c>
      <c r="FK14" s="802">
        <f t="shared" si="9"/>
        <v>2.4751149374599684E-4</v>
      </c>
      <c r="FL14" s="802">
        <f t="shared" si="9"/>
        <v>2.2474119092957777E-4</v>
      </c>
      <c r="FM14" s="802">
        <f t="shared" si="9"/>
        <v>2.0405819102493756E-4</v>
      </c>
      <c r="FN14" s="802">
        <f t="shared" si="9"/>
        <v>1.8527193015542787E-4</v>
      </c>
      <c r="FO14" s="802">
        <f t="shared" si="9"/>
        <v>1.6820916197704175E-4</v>
      </c>
      <c r="FP14" s="802">
        <f t="shared" si="9"/>
        <v>1.5271239230740086E-4</v>
      </c>
      <c r="FQ14" s="802">
        <f t="shared" si="9"/>
        <v>1.3863845437729575E-4</v>
      </c>
      <c r="FR14" s="802">
        <f t="shared" si="9"/>
        <v>1.2585721216418886E-4</v>
      </c>
      <c r="FS14" s="802">
        <f t="shared" si="9"/>
        <v>1.1425038037571365E-4</v>
      </c>
      <c r="FT14" s="802">
        <f t="shared" si="9"/>
        <v>1.0371045066285527E-4</v>
      </c>
      <c r="FU14" s="802">
        <f t="shared" si="9"/>
        <v>9.4139714565557672E-5</v>
      </c>
      <c r="FV14" s="802">
        <f t="shared" si="9"/>
        <v>8.5449374535619344E-5</v>
      </c>
      <c r="FW14" s="802">
        <f t="shared" si="9"/>
        <v>7.755873514993014E-5</v>
      </c>
      <c r="FX14" s="802">
        <f t="shared" si="9"/>
        <v>7.0394467327771117E-5</v>
      </c>
      <c r="FY14" s="802">
        <f t="shared" si="9"/>
        <v>6.3889939004914065E-5</v>
      </c>
      <c r="FZ14" s="802">
        <f t="shared" si="9"/>
        <v>5.798460629997952E-5</v>
      </c>
      <c r="GA14" s="802">
        <f t="shared" si="9"/>
        <v>5.2623459739841758E-5</v>
      </c>
      <c r="GB14" s="802">
        <f t="shared" si="9"/>
        <v>4.7756520595291676E-5</v>
      </c>
      <c r="GC14" s="802">
        <f t="shared" si="9"/>
        <v>4.3338382819776995E-5</v>
      </c>
      <c r="GD14" s="802">
        <f t="shared" si="9"/>
        <v>3.9327796486578668E-5</v>
      </c>
      <c r="GE14" s="802">
        <f t="shared" si="9"/>
        <v>3.5687288986673505E-5</v>
      </c>
    </row>
    <row r="15" spans="2:187" ht="16.5" hidden="1" thickBot="1">
      <c r="B15" s="692" t="s">
        <v>949</v>
      </c>
      <c r="C15" s="805">
        <f>C14</f>
        <v>0</v>
      </c>
      <c r="D15" s="806">
        <f>C14+D14</f>
        <v>27.596639411622444</v>
      </c>
      <c r="E15" s="807">
        <f>C14+D14+E14</f>
        <v>77.408573549600945</v>
      </c>
      <c r="F15" s="807">
        <f>C14+D14+E14+F14</f>
        <v>144.84147938888935</v>
      </c>
      <c r="G15" s="807">
        <f>C14+D14+E14+F14+G14</f>
        <v>225.98574274883308</v>
      </c>
      <c r="H15" s="807">
        <f>C14+D14+E14+F14+G14+H14</f>
        <v>317.52661485176958</v>
      </c>
      <c r="I15" s="807">
        <f>C14+D14+E14+F14+G14+H14+I14</f>
        <v>416.6653793392498</v>
      </c>
      <c r="J15" s="807">
        <f>C14+D14+E14+F14+G14+H14+I14+J14</f>
        <v>521.05023678085922</v>
      </c>
      <c r="K15" s="807">
        <f>C14+D14+E14+F14+G14+H14+I14+J14+K14</f>
        <v>628.71576117063353</v>
      </c>
      <c r="L15" s="807">
        <f>C14+D14+E14+F14+G14+H14+I14+J14+K14+L14</f>
        <v>738.02991390262616</v>
      </c>
      <c r="M15" s="807">
        <f>C14+D14+E14+F14+G14+H14+I14+J14+K14+L14+M14</f>
        <v>847.64771705887438</v>
      </c>
      <c r="N15" s="807">
        <f>C14+D14+E14+F14+G14+H14+I14+J14+K14+L14+M14+N14</f>
        <v>956.47079114223982</v>
      </c>
      <c r="O15" s="807">
        <f>C14+D14+E14+F14+G14+H14+I14+J14+K14+L14+M14+N14+O14</f>
        <v>1063.6120540806805</v>
      </c>
      <c r="P15" s="807">
        <f>C14+D14+E14+F14+G14+H14+I14+J14+K14+L14+M14+N14+O14+P14</f>
        <v>1168.3649596994519</v>
      </c>
      <c r="Q15" s="807">
        <f>C14+D14+E14+F14+G14+H14+I14+J14+K14+L14+M14+N14+O14+P14+Q14</f>
        <v>1270.1767260450808</v>
      </c>
      <c r="R15" s="807">
        <f>C14+D14+E14+F14+G14+H14+I14+J14+K14+L14+M14+N14+O14+P14+Q14+R14</f>
        <v>1368.6250679667917</v>
      </c>
      <c r="S15" s="807">
        <f>C14+D14+E14+F14+G14+H14+I14+J14+K14+L14+M14+N14+O14+P14+Q14+R14+S14</f>
        <v>1463.3980051234253</v>
      </c>
      <c r="T15" s="807">
        <f>C14+D14+E14+F14+G14+H14+I14+J14+K14+L14+M14+N14+O14+P14+Q14+R14+S14+T14</f>
        <v>1554.2763668937785</v>
      </c>
      <c r="U15" s="807">
        <f>C14+D14+E14+F14+G14+H14+I14+J14+K14+L14+M14+N14+O14+P14+Q14+R14+S14+T14+U14</f>
        <v>1641.1186602443306</v>
      </c>
      <c r="V15" s="807">
        <f>C14+D14+E14+F14+G14+H14+I14+J14+K14+L14+M14+N14+O14+P14+Q14+R14+S14+T14+U14+V14</f>
        <v>1723.8480060903635</v>
      </c>
      <c r="W15" s="807">
        <f>C14+D14+E14+F14+G14+H14+I14+J14+K14+L14+M14+N14+O14+P14+Q14+R14+S14+T14+U14+V14+W14</f>
        <v>1802.4408846440947</v>
      </c>
      <c r="X15" s="807">
        <f>C14+D14+E14+F14+G14+H14+I14+J14+K14+L14+M14+N14+O14+P14+Q14+R14+S14+T14+U14+V14+W14+X14</f>
        <v>1876.9174611835742</v>
      </c>
      <c r="Y15" s="807">
        <f>C14+D14+E14+F14+G14+H14+I14+J14+K14+L14+M14+N14+O14+P14+Q14+R14+S14+T14+U14+V14+W14+X14+Y14</f>
        <v>1947.3332910498298</v>
      </c>
      <c r="Z15" s="807">
        <f>C14+D14+E14+F14+G14+H14+I14+J14+K14+L14+M14+N14+O14+P14+Q14+R14+S14+T14+U14+V14+W14+X14+Y14+Z14</f>
        <v>2013.7722268884115</v>
      </c>
      <c r="AA15" s="807">
        <f>C14+D14+E14+F14+G14+H14+I14+J14+K14+L14+M14+N14+O14+P14+Q14+R14+S14+T14+U14+V14+W14+X14+Y14+Z14+AA14</f>
        <v>2076.3403725520498</v>
      </c>
      <c r="AB15" s="807">
        <f>C14+D14+E14+F14+G14+H14+I14+J14+K14+L14+M14+N14+O14+P14+Q14+R14+S14+T14+U14+V14+W14+X14+Y14+Z14+AA14+AB14</f>
        <v>2135.1609469910431</v>
      </c>
      <c r="AC15" s="807">
        <f>C14+D14+E14+F14+G14+H14+I14+J14+K14+L14+M14+N14+O14+P14+Q14+R14+S14+T14+U14+V14+W14+X14+Y14+Z14+AA14+AB14+AC14</f>
        <v>2190.3699381594824</v>
      </c>
      <c r="AD15" s="807">
        <f>C14+D14+E14+F14+G14+H14+I14+J14+K14+L14+M14+N14+O14+P14+Q14+R14+S14+T14+U14+V14+W14+X14+Y14+Z14+AA14+AB14+AC14+AD14</f>
        <v>2242.1124417093647</v>
      </c>
      <c r="AE15" s="807">
        <f>C14+D14+E14+F14+G14+H14+I14+J14+K14+L14+M14+N14+O14+P14+Q14+R14+S14+T14+U14+V14+W14+X14+Y14+Z14+AA14+AB14+AC14+AD14+AE14</f>
        <v>2290.5395922540138</v>
      </c>
      <c r="AF15" s="808">
        <f>C14+D14+E14+F14+G14+H14+I14+J14+K14+L14+M14+N14+O14+P14+Q14+R14+S14+T14+U14+V14+W14+X14+Y14+Z14+AA14+AB14+AC14+AD14+AE14+AF14</f>
        <v>2335.8060064550791</v>
      </c>
      <c r="AG15" s="808">
        <f t="shared" ref="AG15:CR15" si="10">D14+E14+F14+G14+H14+I14+J14+K14+L14+M14+N14+O14+P14+Q14+R14+S14+T14+U14+V14+W14+X14+Y14+Z14+AA14+AB14+AC14+AD14+AE14+AF14+AG14</f>
        <v>2378.0676672996947</v>
      </c>
      <c r="AH15" s="808">
        <f t="shared" si="10"/>
        <v>2389.8835484307465</v>
      </c>
      <c r="AI15" s="808">
        <f t="shared" si="10"/>
        <v>2376.788826978976</v>
      </c>
      <c r="AJ15" s="808">
        <f t="shared" si="10"/>
        <v>2343.5287457280301</v>
      </c>
      <c r="AK15" s="808">
        <f t="shared" si="10"/>
        <v>2294.1600315345504</v>
      </c>
      <c r="AL15" s="808">
        <f t="shared" si="10"/>
        <v>2232.1400464697217</v>
      </c>
      <c r="AM15" s="808">
        <f t="shared" si="10"/>
        <v>2160.4050996927594</v>
      </c>
      <c r="AN15" s="808">
        <f t="shared" si="10"/>
        <v>2081.4391862205516</v>
      </c>
      <c r="AO15" s="808">
        <f t="shared" si="10"/>
        <v>1997.3342748964706</v>
      </c>
      <c r="AP15" s="808">
        <f t="shared" si="10"/>
        <v>1909.8431400165764</v>
      </c>
      <c r="AQ15" s="808">
        <f t="shared" si="10"/>
        <v>1820.4256174875268</v>
      </c>
      <c r="AR15" s="808">
        <f t="shared" si="10"/>
        <v>1730.2890655018593</v>
      </c>
      <c r="AS15" s="808">
        <f t="shared" si="10"/>
        <v>1640.4237201271562</v>
      </c>
      <c r="AT15" s="808">
        <f t="shared" si="10"/>
        <v>1551.6335566715927</v>
      </c>
      <c r="AU15" s="808">
        <f t="shared" si="10"/>
        <v>1464.5631971004054</v>
      </c>
      <c r="AV15" s="808">
        <f t="shared" si="10"/>
        <v>1379.7213411474909</v>
      </c>
      <c r="AW15" s="808">
        <f t="shared" si="10"/>
        <v>1297.5011432129584</v>
      </c>
      <c r="AX15" s="808">
        <f t="shared" si="10"/>
        <v>1218.1979078763768</v>
      </c>
      <c r="AY15" s="808">
        <f t="shared" si="10"/>
        <v>1142.0244331877602</v>
      </c>
      <c r="AZ15" s="808">
        <f t="shared" si="10"/>
        <v>1069.1242922016741</v>
      </c>
      <c r="BA15" s="808">
        <f t="shared" si="10"/>
        <v>999.58330893988364</v>
      </c>
      <c r="BB15" s="808">
        <f t="shared" si="10"/>
        <v>933.43945461140027</v>
      </c>
      <c r="BC15" s="808">
        <f t="shared" si="10"/>
        <v>870.6913630463614</v>
      </c>
      <c r="BD15" s="808">
        <f t="shared" si="10"/>
        <v>811.30564052110526</v>
      </c>
      <c r="BE15" s="808">
        <f t="shared" si="10"/>
        <v>755.22312411831479</v>
      </c>
      <c r="BF15" s="808">
        <f t="shared" si="10"/>
        <v>702.36422416886467</v>
      </c>
      <c r="BG15" s="808">
        <f t="shared" si="10"/>
        <v>652.6334698859074</v>
      </c>
      <c r="BH15" s="808">
        <f t="shared" si="10"/>
        <v>605.92336278212167</v>
      </c>
      <c r="BI15" s="808">
        <f t="shared" si="10"/>
        <v>562.11762964047125</v>
      </c>
      <c r="BJ15" s="808">
        <f t="shared" si="10"/>
        <v>521.09395549399505</v>
      </c>
      <c r="BK15" s="808">
        <f t="shared" si="10"/>
        <v>482.72626708931205</v>
      </c>
      <c r="BL15" s="808">
        <f t="shared" si="10"/>
        <v>446.88662850912743</v>
      </c>
      <c r="BM15" s="808">
        <f t="shared" si="10"/>
        <v>413.4468028755611</v>
      </c>
      <c r="BN15" s="808">
        <f t="shared" si="10"/>
        <v>382.2795272282753</v>
      </c>
      <c r="BO15" s="808">
        <f t="shared" si="10"/>
        <v>353.25954166237437</v>
      </c>
      <c r="BP15" s="808">
        <f t="shared" si="10"/>
        <v>326.26440852611029</v>
      </c>
      <c r="BQ15" s="808">
        <f t="shared" si="10"/>
        <v>301.17515283348973</v>
      </c>
      <c r="BR15" s="808">
        <f t="shared" si="10"/>
        <v>277.876750967379</v>
      </c>
      <c r="BS15" s="808">
        <f t="shared" si="10"/>
        <v>256.25849116853641</v>
      </c>
      <c r="BT15" s="808">
        <f t="shared" si="10"/>
        <v>236.21422616658452</v>
      </c>
      <c r="BU15" s="808">
        <f t="shared" si="10"/>
        <v>217.64253555834233</v>
      </c>
      <c r="BV15" s="808">
        <f t="shared" si="10"/>
        <v>200.44681313121129</v>
      </c>
      <c r="BW15" s="808">
        <f t="shared" si="10"/>
        <v>184.5352922237193</v>
      </c>
      <c r="BX15" s="808">
        <f t="shared" si="10"/>
        <v>169.82102037585963</v>
      </c>
      <c r="BY15" s="808">
        <f t="shared" si="10"/>
        <v>156.22179291663093</v>
      </c>
      <c r="BZ15" s="808">
        <f t="shared" si="10"/>
        <v>143.66005373700372</v>
      </c>
      <c r="CA15" s="808">
        <f t="shared" si="10"/>
        <v>132.06277027849018</v>
      </c>
      <c r="CB15" s="808">
        <f t="shared" si="10"/>
        <v>121.36128870854935</v>
      </c>
      <c r="CC15" s="808">
        <f t="shared" si="10"/>
        <v>111.49117433478708</v>
      </c>
      <c r="CD15" s="808">
        <f t="shared" si="10"/>
        <v>102.39204151312281</v>
      </c>
      <c r="CE15" s="808">
        <f t="shared" si="10"/>
        <v>94.007376615663006</v>
      </c>
      <c r="CF15" s="808">
        <f t="shared" si="10"/>
        <v>86.284357028573751</v>
      </c>
      <c r="CG15" s="808">
        <f t="shared" si="10"/>
        <v>79.173668637014259</v>
      </c>
      <c r="CH15" s="808">
        <f t="shared" si="10"/>
        <v>72.629323812805964</v>
      </c>
      <c r="CI15" s="808">
        <f t="shared" si="10"/>
        <v>66.608481541837662</v>
      </c>
      <c r="CJ15" s="808">
        <f t="shared" si="10"/>
        <v>61.071271004212726</v>
      </c>
      <c r="CK15" s="808">
        <f t="shared" si="10"/>
        <v>55.980619643767547</v>
      </c>
      <c r="CL15" s="808">
        <f t="shared" si="10"/>
        <v>51.302086528625367</v>
      </c>
      <c r="CM15" s="808">
        <f t="shared" si="10"/>
        <v>47.003701605447361</v>
      </c>
      <c r="CN15" s="808">
        <f t="shared" si="10"/>
        <v>43.055811282226323</v>
      </c>
      <c r="CO15" s="808">
        <f t="shared" si="10"/>
        <v>39.430930633646611</v>
      </c>
      <c r="CP15" s="808">
        <f t="shared" si="10"/>
        <v>36.103602405538261</v>
      </c>
      <c r="CQ15" s="808">
        <f t="shared" si="10"/>
        <v>33.050262897574925</v>
      </c>
      <c r="CR15" s="808">
        <f t="shared" si="10"/>
        <v>30.24911472329682</v>
      </c>
      <c r="CS15" s="808">
        <f t="shared" ref="CS15:FD15" si="11">BP14+BQ14+BR14+BS14+BT14+BU14+BV14+BW14+BX14+BY14+BZ14+CA14+CB14+CC14+CD14+CE14+CF14+CG14+CH14+CI14+CJ14+CK14+CL14+CM14+CN14+CO14+CP14+CQ14+CR14+CS14</f>
        <v>27.680006381332856</v>
      </c>
      <c r="CT15" s="808">
        <f t="shared" si="11"/>
        <v>25.324318519213531</v>
      </c>
      <c r="CU15" s="808">
        <f t="shared" si="11"/>
        <v>23.164856729544926</v>
      </c>
      <c r="CV15" s="808">
        <f t="shared" si="11"/>
        <v>21.18575068593843</v>
      </c>
      <c r="CW15" s="808">
        <f t="shared" si="11"/>
        <v>19.372359401549964</v>
      </c>
      <c r="CX15" s="808">
        <f t="shared" si="11"/>
        <v>17.711182375159041</v>
      </c>
      <c r="CY15" s="808">
        <f t="shared" si="11"/>
        <v>16.189776377353365</v>
      </c>
      <c r="CZ15" s="808">
        <f t="shared" si="11"/>
        <v>14.796677621665946</v>
      </c>
      <c r="DA15" s="808">
        <f t="shared" si="11"/>
        <v>13.52132906165035</v>
      </c>
      <c r="DB15" s="808">
        <f t="shared" si="11"/>
        <v>12.35401255419684</v>
      </c>
      <c r="DC15" s="808">
        <f t="shared" si="11"/>
        <v>11.285785631304449</v>
      </c>
      <c r="DD15" s="808">
        <f t="shared" si="11"/>
        <v>10.308422626532742</v>
      </c>
      <c r="DE15" s="808">
        <f t="shared" si="11"/>
        <v>9.41435990803393</v>
      </c>
      <c r="DF15" s="808">
        <f t="shared" si="11"/>
        <v>8.5966449770489035</v>
      </c>
      <c r="DG15" s="808">
        <f t="shared" si="11"/>
        <v>7.8488891987302143</v>
      </c>
      <c r="DH15" s="808">
        <f t="shared" si="11"/>
        <v>7.1652239408705967</v>
      </c>
      <c r="DI15" s="808">
        <f t="shared" si="11"/>
        <v>6.5402599053481776</v>
      </c>
      <c r="DJ15" s="808">
        <f t="shared" si="11"/>
        <v>5.9690494466647257</v>
      </c>
      <c r="DK15" s="808">
        <f t="shared" si="11"/>
        <v>5.4470516816993326</v>
      </c>
      <c r="DL15" s="808">
        <f t="shared" si="11"/>
        <v>4.9701002045998353</v>
      </c>
      <c r="DM15" s="808">
        <f t="shared" si="11"/>
        <v>4.5343732304855857</v>
      </c>
      <c r="DN15" s="808">
        <f t="shared" si="11"/>
        <v>4.1363660012536361</v>
      </c>
      <c r="DO15" s="808">
        <f t="shared" si="11"/>
        <v>3.7728652961996141</v>
      </c>
      <c r="DP15" s="808">
        <f t="shared" si="11"/>
        <v>3.4409258993317087</v>
      </c>
      <c r="DQ15" s="808">
        <f t="shared" si="11"/>
        <v>3.1378488841310475</v>
      </c>
      <c r="DR15" s="808">
        <f t="shared" si="11"/>
        <v>2.8611615850639933</v>
      </c>
      <c r="DS15" s="808">
        <f t="shared" si="11"/>
        <v>2.6085991333602441</v>
      </c>
      <c r="DT15" s="808">
        <f t="shared" si="11"/>
        <v>2.3780874424207106</v>
      </c>
      <c r="DU15" s="808">
        <f t="shared" si="11"/>
        <v>2.1677275357028805</v>
      </c>
      <c r="DV15" s="808">
        <f t="shared" si="11"/>
        <v>1.9757811170455164</v>
      </c>
      <c r="DW15" s="808">
        <f t="shared" si="11"/>
        <v>1.8006572901400622</v>
      </c>
      <c r="DX15" s="808">
        <f t="shared" si="11"/>
        <v>1.6409003402372573</v>
      </c>
      <c r="DY15" s="808">
        <f t="shared" si="11"/>
        <v>1.4951784972011057</v>
      </c>
      <c r="DZ15" s="808">
        <f t="shared" si="11"/>
        <v>1.3622736046976234</v>
      </c>
      <c r="EA15" s="808">
        <f t="shared" si="11"/>
        <v>1.2410716256433016</v>
      </c>
      <c r="EB15" s="808">
        <f t="shared" si="11"/>
        <v>1.1305539190499163</v>
      </c>
      <c r="EC15" s="808">
        <f t="shared" si="11"/>
        <v>1.0297892281009693</v>
      </c>
      <c r="ED15" s="808">
        <f t="shared" si="11"/>
        <v>0.93792632369409867</v>
      </c>
      <c r="EE15" s="808">
        <f t="shared" si="11"/>
        <v>0.854187251796933</v>
      </c>
      <c r="EF15" s="808">
        <f t="shared" si="11"/>
        <v>0.7778611368050975</v>
      </c>
      <c r="EG15" s="808">
        <f t="shared" si="11"/>
        <v>0.70829849667427547</v>
      </c>
      <c r="EH15" s="808">
        <f t="shared" si="11"/>
        <v>0.64490602893721016</v>
      </c>
      <c r="EI15" s="808">
        <f t="shared" si="11"/>
        <v>0.58714182982486285</v>
      </c>
      <c r="EJ15" s="808">
        <f t="shared" si="11"/>
        <v>0.53451101160183867</v>
      </c>
      <c r="EK15" s="808">
        <f t="shared" si="11"/>
        <v>0.48656168591253185</v>
      </c>
      <c r="EL15" s="808">
        <f t="shared" si="11"/>
        <v>0.44288128342859978</v>
      </c>
      <c r="EM15" s="808">
        <f t="shared" si="11"/>
        <v>0.4030931824023285</v>
      </c>
      <c r="EN15" s="808">
        <f t="shared" si="11"/>
        <v>0.36685362087558698</v>
      </c>
      <c r="EO15" s="808">
        <f t="shared" si="11"/>
        <v>0.33384886928134799</v>
      </c>
      <c r="EP15" s="808">
        <f t="shared" si="11"/>
        <v>0.30379264201453698</v>
      </c>
      <c r="EQ15" s="808">
        <f t="shared" si="11"/>
        <v>0.27642372825114842</v>
      </c>
      <c r="ER15" s="808">
        <f t="shared" si="11"/>
        <v>0.25150382386846987</v>
      </c>
      <c r="ES15" s="808">
        <f t="shared" si="11"/>
        <v>0.22881554777372612</v>
      </c>
      <c r="ET15" s="808">
        <f t="shared" si="11"/>
        <v>0.20816062729180779</v>
      </c>
      <c r="EU15" s="808">
        <f t="shared" si="11"/>
        <v>0.18935823850283956</v>
      </c>
      <c r="EV15" s="808">
        <f t="shared" si="11"/>
        <v>0.17224348856452734</v>
      </c>
      <c r="EW15" s="808">
        <f t="shared" si="11"/>
        <v>0.15666602810941843</v>
      </c>
      <c r="EX15" s="808">
        <f t="shared" si="11"/>
        <v>0.14248878277988919</v>
      </c>
      <c r="EY15" s="808">
        <f t="shared" si="11"/>
        <v>0.12958679385990302</v>
      </c>
      <c r="EZ15" s="808">
        <f t="shared" si="11"/>
        <v>0.11784615878801279</v>
      </c>
      <c r="FA15" s="808">
        <f t="shared" si="11"/>
        <v>0.10716306309601045</v>
      </c>
      <c r="FB15" s="808">
        <f t="shared" si="11"/>
        <v>9.7442896016970038E-2</v>
      </c>
      <c r="FC15" s="808">
        <f t="shared" si="11"/>
        <v>8.8599442649786087E-2</v>
      </c>
      <c r="FD15" s="808">
        <f t="shared" si="11"/>
        <v>8.0554146158941645E-2</v>
      </c>
      <c r="FE15" s="808">
        <f t="shared" ref="FE15:GE15" si="12">EB14+EC14+ED14+EE14+EF14+EG14+EH14+EI14+EJ14+EK14+EL14+EM14+EN14+EO14+EP14+EQ14+ER14+ES14+ET14+EU14+EV14+EW14+EX14+EY14+EZ14+FA14+FB14+FC14+FD14+FE14</f>
        <v>7.3235434032122362E-2</v>
      </c>
      <c r="FF15" s="808">
        <f t="shared" si="12"/>
        <v>6.6578102918109408E-2</v>
      </c>
      <c r="FG15" s="808">
        <f t="shared" si="12"/>
        <v>6.0522757026561097E-2</v>
      </c>
      <c r="FH15" s="808">
        <f t="shared" si="12"/>
        <v>5.5015295492999446E-2</v>
      </c>
      <c r="FI15" s="808">
        <f t="shared" si="12"/>
        <v>5.0006444499498558E-2</v>
      </c>
      <c r="FJ15" s="808">
        <f t="shared" si="12"/>
        <v>4.5451330296950025E-2</v>
      </c>
      <c r="FK15" s="808">
        <f t="shared" si="12"/>
        <v>4.1309089600875086E-2</v>
      </c>
      <c r="FL15" s="808">
        <f t="shared" si="12"/>
        <v>3.7542514131899379E-2</v>
      </c>
      <c r="FM15" s="808">
        <f t="shared" si="12"/>
        <v>3.4117726346355619E-2</v>
      </c>
      <c r="FN15" s="808">
        <f t="shared" si="12"/>
        <v>3.100388365402653E-2</v>
      </c>
      <c r="FO15" s="808">
        <f t="shared" si="12"/>
        <v>2.8172908650621567E-2</v>
      </c>
      <c r="FP15" s="808">
        <f t="shared" si="12"/>
        <v>2.5599243103894487E-2</v>
      </c>
      <c r="FQ15" s="808">
        <f t="shared" si="12"/>
        <v>2.3259623625919212E-2</v>
      </c>
      <c r="FR15" s="808">
        <f t="shared" si="12"/>
        <v>2.1132877141392718E-2</v>
      </c>
      <c r="FS15" s="808">
        <f t="shared" si="12"/>
        <v>1.9199734424254995E-2</v>
      </c>
      <c r="FT15" s="808">
        <f t="shared" si="12"/>
        <v>1.7442660123633762E-2</v>
      </c>
      <c r="FU15" s="808">
        <f t="shared" si="12"/>
        <v>1.5845697836263092E-2</v>
      </c>
      <c r="FV15" s="808">
        <f t="shared" si="12"/>
        <v>1.4394328907129418E-2</v>
      </c>
      <c r="FW15" s="808">
        <f t="shared" si="12"/>
        <v>1.3075343754120831E-2</v>
      </c>
      <c r="FX15" s="808">
        <f t="shared" si="12"/>
        <v>1.1876724616775523E-2</v>
      </c>
      <c r="FY15" s="808">
        <f t="shared" si="12"/>
        <v>1.0787538724649937E-2</v>
      </c>
      <c r="FZ15" s="808">
        <f t="shared" si="12"/>
        <v>9.7978409681006157E-3</v>
      </c>
      <c r="GA15" s="808">
        <f t="shared" si="12"/>
        <v>8.8985852340772095E-3</v>
      </c>
      <c r="GB15" s="808">
        <f t="shared" si="12"/>
        <v>8.0815436424853601E-3</v>
      </c>
      <c r="GC15" s="808">
        <f t="shared" si="12"/>
        <v>7.3392329853724739E-3</v>
      </c>
      <c r="GD15" s="808">
        <f t="shared" si="12"/>
        <v>6.6648477321452262E-3</v>
      </c>
      <c r="GE15" s="808">
        <f t="shared" si="12"/>
        <v>6.0521990197300937E-3</v>
      </c>
    </row>
    <row r="16" spans="2:187" ht="16.5" thickBot="1">
      <c r="B16" s="692" t="s">
        <v>1625</v>
      </c>
      <c r="C16" s="1252">
        <f>C15</f>
        <v>0</v>
      </c>
      <c r="D16" s="1253">
        <f>C15+D15/1000</f>
        <v>2.7596639411622444E-2</v>
      </c>
      <c r="E16" s="1254">
        <f>E14/1000</f>
        <v>4.9811934137978506E-2</v>
      </c>
      <c r="F16" s="1255">
        <f t="shared" ref="F16:BQ16" si="13">F14/1000</f>
        <v>6.7432905839288404E-2</v>
      </c>
      <c r="G16" s="1255">
        <f t="shared" si="13"/>
        <v>8.1144263359943722E-2</v>
      </c>
      <c r="H16" s="1255">
        <f t="shared" si="13"/>
        <v>9.1540872102936502E-2</v>
      </c>
      <c r="I16" s="1255">
        <f t="shared" si="13"/>
        <v>9.9138764487480227E-2</v>
      </c>
      <c r="J16" s="1255">
        <f t="shared" si="13"/>
        <v>0.10438485744160941</v>
      </c>
      <c r="K16" s="1255">
        <f t="shared" si="13"/>
        <v>0.10766552438977427</v>
      </c>
      <c r="L16" s="1255">
        <f t="shared" si="13"/>
        <v>0.10931415273199267</v>
      </c>
      <c r="M16" s="1255">
        <f t="shared" si="13"/>
        <v>0.10961780315624822</v>
      </c>
      <c r="N16" s="1255">
        <f t="shared" si="13"/>
        <v>0.10882307408336543</v>
      </c>
      <c r="O16" s="1255">
        <f t="shared" si="13"/>
        <v>0.10714126293844069</v>
      </c>
      <c r="P16" s="1255">
        <f t="shared" si="13"/>
        <v>0.10475290561877128</v>
      </c>
      <c r="Q16" s="1255">
        <f t="shared" si="13"/>
        <v>0.10181176634562886</v>
      </c>
      <c r="R16" s="1255">
        <f t="shared" si="13"/>
        <v>9.8448341921710744E-2</v>
      </c>
      <c r="S16" s="1255">
        <f t="shared" si="13"/>
        <v>9.4772937156633541E-2</v>
      </c>
      <c r="T16" s="1255">
        <f t="shared" si="13"/>
        <v>9.0878361770353147E-2</v>
      </c>
      <c r="U16" s="1255">
        <f t="shared" si="13"/>
        <v>8.6842293350552172E-2</v>
      </c>
      <c r="V16" s="1255">
        <f t="shared" si="13"/>
        <v>8.2729345846032962E-2</v>
      </c>
      <c r="W16" s="1255">
        <f t="shared" si="13"/>
        <v>7.859287855373133E-2</v>
      </c>
      <c r="X16" s="1255">
        <f t="shared" si="13"/>
        <v>7.4476576539479616E-2</v>
      </c>
      <c r="Y16" s="1255">
        <f t="shared" si="13"/>
        <v>7.0415829866255622E-2</v>
      </c>
      <c r="Z16" s="1255">
        <f t="shared" si="13"/>
        <v>6.6438935838581861E-2</v>
      </c>
      <c r="AA16" s="1255">
        <f t="shared" si="13"/>
        <v>6.2568145663638414E-2</v>
      </c>
      <c r="AB16" s="1255">
        <f t="shared" si="13"/>
        <v>5.8820574438993398E-2</v>
      </c>
      <c r="AC16" s="1255">
        <f t="shared" si="13"/>
        <v>5.520899116843922E-2</v>
      </c>
      <c r="AD16" s="1255">
        <f t="shared" si="13"/>
        <v>5.1742503549882406E-2</v>
      </c>
      <c r="AE16" s="1255">
        <f t="shared" si="13"/>
        <v>4.8427150544649196E-2</v>
      </c>
      <c r="AF16" s="1255">
        <f t="shared" si="13"/>
        <v>4.5266414201065405E-2</v>
      </c>
      <c r="AG16" s="1255">
        <f t="shared" si="13"/>
        <v>4.2261660844615363E-2</v>
      </c>
      <c r="AH16" s="1255">
        <f t="shared" si="13"/>
        <v>3.9412520542674211E-2</v>
      </c>
      <c r="AI16" s="1255">
        <f t="shared" si="13"/>
        <v>3.6717212686207458E-2</v>
      </c>
      <c r="AJ16" s="1255">
        <f t="shared" si="13"/>
        <v>3.4172824588342927E-2</v>
      </c>
      <c r="AK16" s="1255">
        <f t="shared" si="13"/>
        <v>3.1775549166463718E-2</v>
      </c>
      <c r="AL16" s="1255">
        <f t="shared" si="13"/>
        <v>2.9520887038108019E-2</v>
      </c>
      <c r="AM16" s="1255">
        <f t="shared" si="13"/>
        <v>2.7403817710517989E-2</v>
      </c>
      <c r="AN16" s="1255">
        <f t="shared" si="13"/>
        <v>2.5418943969401999E-2</v>
      </c>
      <c r="AO16" s="1255">
        <f t="shared" si="13"/>
        <v>2.3560613065693008E-2</v>
      </c>
      <c r="AP16" s="1255">
        <f t="shared" si="13"/>
        <v>2.1823017852098149E-2</v>
      </c>
      <c r="AQ16" s="1255">
        <f t="shared" si="13"/>
        <v>2.0200280627198551E-2</v>
      </c>
      <c r="AR16" s="1255">
        <f t="shared" si="13"/>
        <v>1.8686522097697857E-2</v>
      </c>
      <c r="AS16" s="1255">
        <f t="shared" si="13"/>
        <v>1.7275917563737492E-2</v>
      </c>
      <c r="AT16" s="1255">
        <f t="shared" si="13"/>
        <v>1.5962742163208161E-2</v>
      </c>
      <c r="AU16" s="1255">
        <f t="shared" si="13"/>
        <v>1.4741406774441771E-2</v>
      </c>
      <c r="AV16" s="1255">
        <f t="shared" si="13"/>
        <v>1.360648596879583E-2</v>
      </c>
      <c r="AW16" s="1255">
        <f t="shared" si="13"/>
        <v>1.2552739222101305E-2</v>
      </c>
      <c r="AX16" s="1255">
        <f t="shared" si="13"/>
        <v>1.1575126433771352E-2</v>
      </c>
      <c r="AY16" s="1255">
        <f t="shared" si="13"/>
        <v>1.0668818661935637E-2</v>
      </c>
      <c r="AZ16" s="1255">
        <f t="shared" si="13"/>
        <v>9.8292048599468492E-3</v>
      </c>
      <c r="BA16" s="1255">
        <f t="shared" si="13"/>
        <v>9.0518952919408473E-3</v>
      </c>
      <c r="BB16" s="1255">
        <f t="shared" si="13"/>
        <v>8.3327222109961449E-3</v>
      </c>
      <c r="BC16" s="1255">
        <f t="shared" si="13"/>
        <v>7.6677383012166518E-3</v>
      </c>
      <c r="BD16" s="1255">
        <f t="shared" si="13"/>
        <v>7.0532133133258731E-3</v>
      </c>
      <c r="BE16" s="1255">
        <f t="shared" si="13"/>
        <v>6.4856292608478586E-3</v>
      </c>
      <c r="BF16" s="1255">
        <f t="shared" si="13"/>
        <v>5.9616744895432507E-3</v>
      </c>
      <c r="BG16" s="1255">
        <f t="shared" si="13"/>
        <v>5.4782368854821061E-3</v>
      </c>
      <c r="BH16" s="1255">
        <f t="shared" si="13"/>
        <v>5.0323964460966646E-3</v>
      </c>
      <c r="BI16" s="1255">
        <f t="shared" si="13"/>
        <v>4.6214174029987724E-3</v>
      </c>
      <c r="BJ16" s="1255">
        <f t="shared" si="13"/>
        <v>4.2427400545892594E-3</v>
      </c>
      <c r="BK16" s="1255">
        <f t="shared" si="13"/>
        <v>3.8939724399323465E-3</v>
      </c>
      <c r="BL16" s="1255">
        <f t="shared" si="13"/>
        <v>3.5728819624895915E-3</v>
      </c>
      <c r="BM16" s="1255">
        <f t="shared" si="13"/>
        <v>3.2773870526410669E-3</v>
      </c>
      <c r="BN16" s="1255">
        <f t="shared" si="13"/>
        <v>3.0055489410570888E-3</v>
      </c>
      <c r="BO16" s="1255">
        <f t="shared" si="13"/>
        <v>2.7555636005628164E-3</v>
      </c>
      <c r="BP16" s="1255">
        <f t="shared" si="13"/>
        <v>2.5257539018440031E-3</v>
      </c>
      <c r="BQ16" s="1255">
        <f t="shared" si="13"/>
        <v>2.3145620178975077E-3</v>
      </c>
      <c r="BR16" s="1255">
        <f t="shared" ref="BR16:EC16" si="14">BR14/1000</f>
        <v>2.1205421032911751E-3</v>
      </c>
      <c r="BS16" s="1255">
        <f t="shared" si="14"/>
        <v>1.9423532668504393E-3</v>
      </c>
      <c r="BT16" s="1255">
        <f t="shared" si="14"/>
        <v>1.7787528501462353E-3</v>
      </c>
      <c r="BU16" s="1255">
        <f t="shared" si="14"/>
        <v>1.6285900189563537E-3</v>
      </c>
      <c r="BV16" s="1255">
        <f t="shared" si="14"/>
        <v>1.4907996705667964E-3</v>
      </c>
      <c r="BW16" s="1255">
        <f t="shared" si="14"/>
        <v>1.3643966562454991E-3</v>
      </c>
      <c r="BX16" s="1255">
        <f t="shared" si="14"/>
        <v>1.2484703153485288E-3</v>
      </c>
      <c r="BY16" s="1255">
        <f t="shared" si="14"/>
        <v>1.1421793152130346E-3</v>
      </c>
      <c r="BZ16" s="1255">
        <f t="shared" si="14"/>
        <v>1.0447467891686792E-3</v>
      </c>
      <c r="CA16" s="1255">
        <f t="shared" si="14"/>
        <v>9.5545576358772931E-4</v>
      </c>
      <c r="CB16" s="1255">
        <f t="shared" si="14"/>
        <v>8.7364486383053014E-4</v>
      </c>
      <c r="CC16" s="1255">
        <f t="shared" si="14"/>
        <v>7.9870428817337862E-4</v>
      </c>
      <c r="CD16" s="1255">
        <f t="shared" si="14"/>
        <v>7.3007203828258306E-4</v>
      </c>
      <c r="CE16" s="1255">
        <f t="shared" si="14"/>
        <v>6.6723039448104439E-4</v>
      </c>
      <c r="CF16" s="1255">
        <f t="shared" si="14"/>
        <v>6.0970262390688183E-4</v>
      </c>
      <c r="CG16" s="1255">
        <f t="shared" si="14"/>
        <v>5.5704990965714551E-4</v>
      </c>
      <c r="CH16" s="1255">
        <f t="shared" si="14"/>
        <v>5.0886848911759299E-4</v>
      </c>
      <c r="CI16" s="1255">
        <f t="shared" si="14"/>
        <v>4.6478698987957503E-4</v>
      </c>
      <c r="CJ16" s="1255">
        <f t="shared" si="14"/>
        <v>4.244639519182965E-4</v>
      </c>
      <c r="CK16" s="1255">
        <f t="shared" si="14"/>
        <v>3.875855250369245E-4</v>
      </c>
      <c r="CL16" s="1255">
        <f t="shared" si="14"/>
        <v>3.5386333095449671E-4</v>
      </c>
      <c r="CM16" s="1255">
        <f t="shared" si="14"/>
        <v>3.2303247982076012E-4</v>
      </c>
      <c r="CN16" s="1255">
        <f t="shared" si="14"/>
        <v>2.948497313682159E-4</v>
      </c>
      <c r="CO16" s="1255">
        <f t="shared" si="14"/>
        <v>2.6909179135262178E-4</v>
      </c>
      <c r="CP16" s="1255">
        <f t="shared" si="14"/>
        <v>2.4555373438124941E-4</v>
      </c>
      <c r="CQ16" s="1255">
        <f t="shared" si="14"/>
        <v>2.2404754467774871E-4</v>
      </c>
      <c r="CR16" s="1255">
        <f t="shared" si="14"/>
        <v>2.0440076677896897E-4</v>
      </c>
      <c r="CS16" s="1255">
        <f t="shared" si="14"/>
        <v>1.8645525859885845E-4</v>
      </c>
      <c r="CT16" s="1255">
        <f t="shared" si="14"/>
        <v>1.7006603972467683E-4</v>
      </c>
      <c r="CU16" s="1255">
        <f t="shared" si="14"/>
        <v>1.5510022822890526E-4</v>
      </c>
      <c r="CV16" s="1255">
        <f t="shared" si="14"/>
        <v>1.4143605968467644E-4</v>
      </c>
      <c r="CW16" s="1255">
        <f t="shared" si="14"/>
        <v>1.2896198246197121E-4</v>
      </c>
      <c r="CX16" s="1255">
        <f t="shared" si="14"/>
        <v>1.1757582375531606E-4</v>
      </c>
      <c r="CY16" s="1255">
        <f t="shared" si="14"/>
        <v>1.0718402115067951E-4</v>
      </c>
      <c r="CZ16" s="1255">
        <f t="shared" si="14"/>
        <v>9.7700914879373163E-5</v>
      </c>
      <c r="DA16" s="1255">
        <f t="shared" si="14"/>
        <v>8.9048096229907891E-5</v>
      </c>
      <c r="DB16" s="1255">
        <f t="shared" si="14"/>
        <v>8.1153807895016281E-5</v>
      </c>
      <c r="DC16" s="1255">
        <f t="shared" si="14"/>
        <v>7.3952392320642999E-5</v>
      </c>
      <c r="DD16" s="1255">
        <f t="shared" si="14"/>
        <v>6.7383784396970515E-5</v>
      </c>
      <c r="DE16" s="1255">
        <f t="shared" si="14"/>
        <v>6.1393045088916053E-5</v>
      </c>
      <c r="DF16" s="1255">
        <f t="shared" si="14"/>
        <v>5.5929932845508507E-5</v>
      </c>
      <c r="DG16" s="1255">
        <f t="shared" si="14"/>
        <v>5.0948509854688919E-5</v>
      </c>
      <c r="DH16" s="1255">
        <f t="shared" si="14"/>
        <v>4.6406780422966529E-5</v>
      </c>
      <c r="DI16" s="1255">
        <f t="shared" si="14"/>
        <v>4.2266358958623871E-5</v>
      </c>
      <c r="DJ16" s="1255">
        <f t="shared" si="14"/>
        <v>3.8492165223432202E-5</v>
      </c>
      <c r="DK16" s="1255">
        <f t="shared" si="14"/>
        <v>3.5052144691752499E-5</v>
      </c>
      <c r="DL16" s="1255">
        <f t="shared" si="14"/>
        <v>3.1917012018095083E-5</v>
      </c>
      <c r="DM16" s="1255">
        <f t="shared" si="14"/>
        <v>2.9060015765324877E-5</v>
      </c>
      <c r="DN16" s="1255">
        <f t="shared" si="14"/>
        <v>2.6456722686347867E-5</v>
      </c>
      <c r="DO16" s="1255">
        <f t="shared" si="14"/>
        <v>2.4084819982902245E-5</v>
      </c>
      <c r="DP16" s="1255">
        <f t="shared" si="14"/>
        <v>2.1923934086591428E-5</v>
      </c>
      <c r="DQ16" s="1255">
        <f t="shared" si="14"/>
        <v>1.9955464620098754E-5</v>
      </c>
      <c r="DR16" s="1255">
        <f t="shared" si="14"/>
        <v>1.8162432301161485E-5</v>
      </c>
      <c r="DS16" s="1255">
        <f t="shared" si="14"/>
        <v>1.6529339648872176E-5</v>
      </c>
      <c r="DT16" s="1255">
        <f t="shared" si="14"/>
        <v>1.5042043441716366E-5</v>
      </c>
      <c r="DU16" s="1255">
        <f t="shared" si="14"/>
        <v>1.3687637959918848E-5</v>
      </c>
      <c r="DV16" s="1255">
        <f t="shared" si="14"/>
        <v>1.2454348121604029E-5</v>
      </c>
      <c r="DW16" s="1255">
        <f t="shared" si="14"/>
        <v>1.1331431693404121E-5</v>
      </c>
      <c r="DX16" s="1255">
        <f t="shared" si="14"/>
        <v>1.0309089821872197E-5</v>
      </c>
      <c r="DY16" s="1255">
        <f t="shared" si="14"/>
        <v>9.3783851927535742E-6</v>
      </c>
      <c r="DZ16" s="1255">
        <f t="shared" si="14"/>
        <v>8.5311671811939104E-6</v>
      </c>
      <c r="EA16" s="1255">
        <f t="shared" si="14"/>
        <v>7.7600034076497679E-6</v>
      </c>
      <c r="EB16" s="1255">
        <f t="shared" si="14"/>
        <v>7.058117161930509E-6</v>
      </c>
      <c r="EC16" s="1255">
        <f t="shared" si="14"/>
        <v>6.4193302017325356E-6</v>
      </c>
      <c r="ED16" s="1255">
        <f t="shared" ref="ED16:GE16" si="15">ED14/1000</f>
        <v>5.838010472502563E-6</v>
      </c>
      <c r="EE16" s="1255">
        <f t="shared" si="15"/>
        <v>5.3090243327422152E-6</v>
      </c>
      <c r="EF16" s="1255">
        <f t="shared" si="15"/>
        <v>4.8276929031809082E-6</v>
      </c>
      <c r="EG16" s="1255">
        <f t="shared" si="15"/>
        <v>4.3897521898209274E-6</v>
      </c>
      <c r="EH16" s="1255">
        <f t="shared" si="15"/>
        <v>3.9913166599052772E-6</v>
      </c>
      <c r="EI16" s="1255">
        <f t="shared" si="15"/>
        <v>3.6288459765686939E-6</v>
      </c>
      <c r="EJ16" s="1255">
        <f t="shared" si="15"/>
        <v>3.2991146224845204E-6</v>
      </c>
      <c r="EK16" s="1255">
        <f t="shared" si="15"/>
        <v>2.9991841653820043E-6</v>
      </c>
      <c r="EL16" s="1255">
        <f t="shared" si="15"/>
        <v>2.7263779390344852E-6</v>
      </c>
      <c r="EM16" s="1255">
        <f t="shared" si="15"/>
        <v>2.4782579323525706E-6</v>
      </c>
      <c r="EN16" s="1255">
        <f t="shared" si="15"/>
        <v>2.2526036966906814E-6</v>
      </c>
      <c r="EO16" s="1255">
        <f t="shared" si="15"/>
        <v>2.0473930975134345E-6</v>
      </c>
      <c r="EP16" s="1255">
        <f t="shared" si="15"/>
        <v>1.8607847512840852E-6</v>
      </c>
      <c r="EQ16" s="1255">
        <f t="shared" si="15"/>
        <v>1.6911020019362219E-6</v>
      </c>
      <c r="ER16" s="1255">
        <f t="shared" si="15"/>
        <v>1.5368183036692975E-6</v>
      </c>
      <c r="ES16" s="1255">
        <f t="shared" si="15"/>
        <v>1.3965438881585168E-6</v>
      </c>
      <c r="ET16" s="1255">
        <f t="shared" si="15"/>
        <v>1.2690136046730827E-6</v>
      </c>
      <c r="EU16" s="1255">
        <f t="shared" si="15"/>
        <v>1.1530758311305012E-6</v>
      </c>
      <c r="EV16" s="1255">
        <f t="shared" si="15"/>
        <v>1.0476823628492995E-6</v>
      </c>
      <c r="EW16" s="1255">
        <f t="shared" si="15"/>
        <v>9.5187919376324779E-7</v>
      </c>
      <c r="EX16" s="1255">
        <f t="shared" si="15"/>
        <v>8.6479811218714007E-7</v>
      </c>
      <c r="EY16" s="1255">
        <f t="shared" si="15"/>
        <v>7.8564903993266126E-7</v>
      </c>
      <c r="EZ16" s="1255">
        <f t="shared" si="15"/>
        <v>7.1371304971382712E-7</v>
      </c>
      <c r="FA16" s="1255">
        <f t="shared" si="15"/>
        <v>6.4833600140180558E-7</v>
      </c>
      <c r="FB16" s="1255">
        <f t="shared" si="15"/>
        <v>5.8892274283178615E-7</v>
      </c>
      <c r="FC16" s="1255">
        <f t="shared" si="15"/>
        <v>5.3493182556959471E-7</v>
      </c>
      <c r="FD16" s="1255">
        <f t="shared" si="15"/>
        <v>4.8587069034948586E-7</v>
      </c>
      <c r="FE16" s="1255">
        <f t="shared" si="15"/>
        <v>4.4129128083047725E-7</v>
      </c>
      <c r="FF16" s="1255">
        <f t="shared" si="15"/>
        <v>4.0078604791754054E-7</v>
      </c>
      <c r="FG16" s="1255">
        <f t="shared" si="15"/>
        <v>3.6398431018423186E-7</v>
      </c>
      <c r="FH16" s="1255">
        <f t="shared" si="15"/>
        <v>3.3054893894090216E-7</v>
      </c>
      <c r="FI16" s="1255">
        <f t="shared" si="15"/>
        <v>3.0017333924133293E-7</v>
      </c>
      <c r="FJ16" s="1255">
        <f t="shared" si="15"/>
        <v>2.7257870063237274E-7</v>
      </c>
      <c r="FK16" s="1255">
        <f t="shared" si="15"/>
        <v>2.4751149374599683E-7</v>
      </c>
      <c r="FL16" s="1255">
        <f t="shared" si="15"/>
        <v>2.2474119092957778E-7</v>
      </c>
      <c r="FM16" s="1255">
        <f t="shared" si="15"/>
        <v>2.0405819102493757E-7</v>
      </c>
      <c r="FN16" s="1255">
        <f t="shared" si="15"/>
        <v>1.8527193015542788E-7</v>
      </c>
      <c r="FO16" s="1255">
        <f t="shared" si="15"/>
        <v>1.6820916197704175E-7</v>
      </c>
      <c r="FP16" s="1255">
        <f t="shared" si="15"/>
        <v>1.5271239230740087E-7</v>
      </c>
      <c r="FQ16" s="1255">
        <f t="shared" si="15"/>
        <v>1.3863845437729574E-7</v>
      </c>
      <c r="FR16" s="1255">
        <f t="shared" si="15"/>
        <v>1.2585721216418885E-7</v>
      </c>
      <c r="FS16" s="1255">
        <f t="shared" si="15"/>
        <v>1.1425038037571365E-7</v>
      </c>
      <c r="FT16" s="1255">
        <f t="shared" si="15"/>
        <v>1.0371045066285527E-7</v>
      </c>
      <c r="FU16" s="1255">
        <f t="shared" si="15"/>
        <v>9.4139714565557668E-8</v>
      </c>
      <c r="FV16" s="1255">
        <f t="shared" si="15"/>
        <v>8.5449374535619345E-8</v>
      </c>
      <c r="FW16" s="1255">
        <f t="shared" si="15"/>
        <v>7.7558735149930144E-8</v>
      </c>
      <c r="FX16" s="1255">
        <f t="shared" si="15"/>
        <v>7.0394467327771113E-8</v>
      </c>
      <c r="FY16" s="1255">
        <f t="shared" si="15"/>
        <v>6.3889939004914064E-8</v>
      </c>
      <c r="FZ16" s="1255">
        <f t="shared" si="15"/>
        <v>5.7984606299979524E-8</v>
      </c>
      <c r="GA16" s="1255">
        <f t="shared" si="15"/>
        <v>5.262345973984176E-8</v>
      </c>
      <c r="GB16" s="1255">
        <f t="shared" si="15"/>
        <v>4.7756520595291673E-8</v>
      </c>
      <c r="GC16" s="1255">
        <f t="shared" si="15"/>
        <v>4.3338382819776992E-8</v>
      </c>
      <c r="GD16" s="1255">
        <f t="shared" si="15"/>
        <v>3.9327796486578666E-8</v>
      </c>
      <c r="GE16" s="1256">
        <f t="shared" si="15"/>
        <v>3.5687288986673502E-8</v>
      </c>
    </row>
    <row r="17" spans="2:187" s="1773" customFormat="1" ht="18.75" thickBot="1">
      <c r="B17" s="1774" t="s">
        <v>1626</v>
      </c>
      <c r="C17" s="1775"/>
      <c r="D17" s="1776">
        <f>((($C$11*$C$12*D8)*($C$9*$C$9)/($C$13*$C$13*$C$13))*($C$10/$C$18))/1000</f>
        <v>3.0577993807891907E-2</v>
      </c>
      <c r="E17" s="1777">
        <f>((($C$11*$C$12*E8)*($C$9*$C$9)/($C$13*$C$13*$C$13))*($C$10/$C$18))/1000</f>
        <v>6.1155987615783815E-2</v>
      </c>
      <c r="F17" s="1778">
        <f t="shared" ref="F17:N17" si="16">((($C$11*$C$12*F8)*($C$9*$C$9)/($C$13*$C$13*$C$13))*($C$10/$C$18))/1000</f>
        <v>9.1733981423675712E-2</v>
      </c>
      <c r="G17" s="1778">
        <f t="shared" si="16"/>
        <v>0.12231197523156763</v>
      </c>
      <c r="H17" s="1778">
        <f t="shared" si="16"/>
        <v>0.15288996903945951</v>
      </c>
      <c r="I17" s="1778">
        <f t="shared" si="16"/>
        <v>0.18346796284735142</v>
      </c>
      <c r="J17" s="1778">
        <f t="shared" si="16"/>
        <v>0.21404595665524331</v>
      </c>
      <c r="K17" s="1778">
        <f t="shared" si="16"/>
        <v>0.24462395046313526</v>
      </c>
      <c r="L17" s="1778">
        <f t="shared" si="16"/>
        <v>0.27520194427102712</v>
      </c>
      <c r="M17" s="1778">
        <f t="shared" si="16"/>
        <v>0.30577993807891901</v>
      </c>
      <c r="N17" s="1778">
        <f t="shared" si="16"/>
        <v>0.33635793188681096</v>
      </c>
      <c r="O17" s="1778">
        <f>((($C$11*$C$12*O8)*($C$9*$C$9)/($C$13*$C$13*$C$13))*($C$10/$C$18))/1000</f>
        <v>0.36693592569470285</v>
      </c>
      <c r="P17" s="1778">
        <f t="shared" ref="P17:AS17" si="17">((($C$11*$C$12*P8)*($C$9*$C$9)/($C$13*$C$13*$C$13))*($C$10/$C$18))/1000</f>
        <v>0.39751391950259479</v>
      </c>
      <c r="Q17" s="1778">
        <f t="shared" si="17"/>
        <v>0.42809191331048663</v>
      </c>
      <c r="R17" s="1778">
        <f t="shared" si="17"/>
        <v>0.45866990711837863</v>
      </c>
      <c r="S17" s="1778">
        <f t="shared" si="17"/>
        <v>0.48924790092627052</v>
      </c>
      <c r="T17" s="1778">
        <f t="shared" si="17"/>
        <v>0.51982589473416241</v>
      </c>
      <c r="U17" s="1778">
        <f t="shared" si="17"/>
        <v>0.55040388854205424</v>
      </c>
      <c r="V17" s="1778">
        <f t="shared" si="17"/>
        <v>0.58098188234994619</v>
      </c>
      <c r="W17" s="1778">
        <f t="shared" si="17"/>
        <v>0.61155987615783802</v>
      </c>
      <c r="X17" s="1778">
        <f t="shared" si="17"/>
        <v>0.64213786996572997</v>
      </c>
      <c r="Y17" s="1778">
        <f t="shared" si="17"/>
        <v>0.67271586377362191</v>
      </c>
      <c r="Z17" s="1778">
        <f t="shared" si="17"/>
        <v>0.70329385758151375</v>
      </c>
      <c r="AA17" s="1778">
        <f t="shared" si="17"/>
        <v>0.73387185138940569</v>
      </c>
      <c r="AB17" s="1778">
        <f t="shared" si="17"/>
        <v>0.76444984519729753</v>
      </c>
      <c r="AC17" s="1778">
        <f t="shared" si="17"/>
        <v>0.79502783900518958</v>
      </c>
      <c r="AD17" s="1778">
        <f t="shared" si="17"/>
        <v>0.82560583281308142</v>
      </c>
      <c r="AE17" s="1778">
        <f t="shared" si="17"/>
        <v>0.85618382662097325</v>
      </c>
      <c r="AF17" s="1778">
        <f t="shared" si="17"/>
        <v>0.88676182042886531</v>
      </c>
      <c r="AG17" s="1778">
        <f t="shared" si="17"/>
        <v>0.91733981423675726</v>
      </c>
      <c r="AH17" s="1778">
        <f t="shared" si="17"/>
        <v>0.94791780804464909</v>
      </c>
      <c r="AI17" s="1778">
        <f t="shared" si="17"/>
        <v>0.97849580185254104</v>
      </c>
      <c r="AJ17" s="1778">
        <f t="shared" si="17"/>
        <v>1.009073795660433</v>
      </c>
      <c r="AK17" s="1778">
        <f t="shared" si="17"/>
        <v>1.0396517894683248</v>
      </c>
      <c r="AL17" s="1778">
        <f t="shared" si="17"/>
        <v>1.0702297832762167</v>
      </c>
      <c r="AM17" s="1778">
        <f t="shared" si="17"/>
        <v>1.1008077770841085</v>
      </c>
      <c r="AN17" s="1778">
        <f t="shared" si="17"/>
        <v>1.1313857708920005</v>
      </c>
      <c r="AO17" s="1778">
        <f t="shared" si="17"/>
        <v>1.1619637646998924</v>
      </c>
      <c r="AP17" s="1778">
        <f t="shared" si="17"/>
        <v>1.1925417585077842</v>
      </c>
      <c r="AQ17" s="1778">
        <f t="shared" si="17"/>
        <v>1.223119752315676</v>
      </c>
      <c r="AR17" s="1778">
        <f t="shared" si="17"/>
        <v>1.2536977461235681</v>
      </c>
      <c r="AS17" s="1778">
        <f t="shared" si="17"/>
        <v>1.2842757399314599</v>
      </c>
      <c r="AT17" s="1778"/>
      <c r="AU17" s="1778"/>
      <c r="AV17" s="1778"/>
      <c r="AW17" s="1778"/>
      <c r="AX17" s="1778"/>
      <c r="AY17" s="1778"/>
      <c r="AZ17" s="1778"/>
      <c r="BA17" s="1778"/>
      <c r="BB17" s="1778"/>
      <c r="BC17" s="1778"/>
      <c r="BD17" s="1778"/>
      <c r="BE17" s="1778"/>
      <c r="BF17" s="1778"/>
      <c r="BG17" s="1778"/>
      <c r="BH17" s="1778"/>
      <c r="BI17" s="1778"/>
      <c r="BJ17" s="1778"/>
      <c r="BK17" s="1778"/>
      <c r="BL17" s="1778"/>
      <c r="BM17" s="1778"/>
      <c r="BN17" s="1778"/>
      <c r="BO17" s="1778"/>
      <c r="BP17" s="1778"/>
      <c r="BQ17" s="1778"/>
      <c r="BR17" s="1778"/>
      <c r="BS17" s="1778"/>
      <c r="BT17" s="1778"/>
      <c r="BU17" s="1778"/>
      <c r="BV17" s="1778"/>
      <c r="BW17" s="1778"/>
      <c r="BX17" s="1778"/>
      <c r="BY17" s="1778"/>
      <c r="BZ17" s="1778"/>
      <c r="CA17" s="1778"/>
      <c r="CB17" s="1778"/>
      <c r="CC17" s="1778"/>
      <c r="CD17" s="1778"/>
      <c r="CE17" s="1778"/>
      <c r="CF17" s="1778"/>
      <c r="CG17" s="1778"/>
      <c r="CH17" s="1778"/>
      <c r="CI17" s="1778"/>
      <c r="CJ17" s="1778"/>
      <c r="CK17" s="1778"/>
      <c r="CL17" s="1778"/>
      <c r="CM17" s="1778"/>
      <c r="CN17" s="1778"/>
      <c r="CO17" s="1778"/>
      <c r="CP17" s="1778"/>
      <c r="CQ17" s="1778"/>
      <c r="CR17" s="1778"/>
      <c r="CS17" s="1778"/>
      <c r="CT17" s="1778"/>
      <c r="CU17" s="1778"/>
      <c r="CV17" s="1778"/>
      <c r="CW17" s="1778"/>
      <c r="CX17" s="1778"/>
      <c r="CY17" s="1778"/>
      <c r="CZ17" s="1778"/>
      <c r="DA17" s="1779"/>
      <c r="DB17" s="1779"/>
      <c r="DC17" s="1779"/>
      <c r="DD17" s="1779"/>
      <c r="DE17" s="1779"/>
      <c r="DF17" s="1779"/>
      <c r="DG17" s="1779"/>
      <c r="DH17" s="1779"/>
      <c r="DI17" s="1779"/>
      <c r="DJ17" s="1779"/>
      <c r="DK17" s="1779"/>
      <c r="DL17" s="1779"/>
      <c r="DM17" s="1779"/>
      <c r="DN17" s="1779"/>
      <c r="DO17" s="1779"/>
      <c r="DP17" s="1779"/>
      <c r="DQ17" s="1779"/>
      <c r="DR17" s="1779"/>
      <c r="DS17" s="1779"/>
      <c r="DT17" s="1779"/>
      <c r="DU17" s="1779"/>
      <c r="DV17" s="1779"/>
      <c r="DW17" s="1779"/>
      <c r="DX17" s="1779"/>
      <c r="DY17" s="1779"/>
      <c r="DZ17" s="1779"/>
      <c r="EA17" s="1779"/>
      <c r="EB17" s="1779"/>
      <c r="EC17" s="1779"/>
      <c r="ED17" s="1779"/>
      <c r="EE17" s="1779"/>
      <c r="EF17" s="1779"/>
      <c r="EG17" s="1779"/>
      <c r="EH17" s="1779"/>
      <c r="EI17" s="1779"/>
      <c r="EJ17" s="1779"/>
      <c r="EK17" s="1779"/>
      <c r="EL17" s="1779"/>
      <c r="EM17" s="1779"/>
      <c r="EN17" s="1779"/>
      <c r="EO17" s="1779"/>
      <c r="EP17" s="1779"/>
      <c r="EQ17" s="1779"/>
      <c r="ER17" s="1779"/>
      <c r="ES17" s="1779"/>
      <c r="ET17" s="1779"/>
      <c r="EU17" s="1779"/>
      <c r="EV17" s="1779"/>
      <c r="EW17" s="1779"/>
      <c r="EX17" s="1779"/>
      <c r="EY17" s="1779"/>
      <c r="EZ17" s="1779"/>
      <c r="FA17" s="1779"/>
      <c r="FB17" s="1779"/>
      <c r="FC17" s="1779"/>
      <c r="FD17" s="1779"/>
      <c r="FE17" s="1779"/>
      <c r="FF17" s="1779"/>
      <c r="FG17" s="1779"/>
      <c r="FH17" s="1779"/>
      <c r="FI17" s="1779"/>
      <c r="FJ17" s="1779"/>
      <c r="FK17" s="1779"/>
      <c r="FL17" s="1779"/>
      <c r="FM17" s="1779"/>
      <c r="FN17" s="1779"/>
      <c r="FO17" s="1779"/>
      <c r="FP17" s="1779"/>
      <c r="FQ17" s="1779"/>
      <c r="FR17" s="1779"/>
      <c r="FS17" s="1779"/>
      <c r="FT17" s="1779"/>
      <c r="FU17" s="1779"/>
      <c r="FV17" s="1779"/>
      <c r="FW17" s="1779"/>
      <c r="FX17" s="1779"/>
      <c r="FY17" s="1779"/>
      <c r="FZ17" s="1779"/>
      <c r="GA17" s="1779"/>
      <c r="GB17" s="1779"/>
      <c r="GC17" s="1779"/>
      <c r="GD17" s="1779"/>
      <c r="GE17" s="1779"/>
    </row>
    <row r="18" spans="2:187" ht="13.5" thickBot="1">
      <c r="C18" s="809">
        <f>C10</f>
        <v>1</v>
      </c>
      <c r="D18" s="810" t="s">
        <v>728</v>
      </c>
    </row>
    <row r="19" spans="2:187" ht="16.5" thickBot="1">
      <c r="B19" s="811" t="s">
        <v>950</v>
      </c>
      <c r="C19" s="812">
        <v>2400</v>
      </c>
      <c r="D19" s="813" t="s">
        <v>220</v>
      </c>
      <c r="E19" s="814" t="s">
        <v>951</v>
      </c>
    </row>
    <row r="20" spans="2:187" ht="16.5" thickBot="1">
      <c r="B20" s="811" t="s">
        <v>952</v>
      </c>
      <c r="C20" s="809">
        <f>C19/1000</f>
        <v>2.4</v>
      </c>
      <c r="D20" s="813" t="s">
        <v>192</v>
      </c>
    </row>
    <row r="21" spans="2:187" ht="16.5" thickBot="1">
      <c r="B21" s="815"/>
    </row>
    <row r="22" spans="2:187" ht="37.5" customHeight="1" thickBot="1">
      <c r="B22" s="1250" t="s">
        <v>1267</v>
      </c>
      <c r="C22" s="1251">
        <f>(($C$11*$C$12*C8)/($C$13*$C$13*$C$13))*($C$10/$E$10)</f>
        <v>0</v>
      </c>
      <c r="D22" s="1251">
        <f t="shared" ref="D22:BO22" si="18">(($C$11*$C$12*D8)/($C$13*$C$13*$C$13))*($C$10/$E$10)</f>
        <v>0.36988912043223376</v>
      </c>
      <c r="E22" s="1251">
        <f t="shared" si="18"/>
        <v>0.73977824086446753</v>
      </c>
      <c r="F22" s="1251">
        <f t="shared" si="18"/>
        <v>1.1096673612967012</v>
      </c>
      <c r="G22" s="1251">
        <f t="shared" si="18"/>
        <v>1.4795564817289351</v>
      </c>
      <c r="H22" s="1251">
        <f t="shared" si="18"/>
        <v>1.8494456021611687</v>
      </c>
      <c r="I22" s="1251">
        <f t="shared" si="18"/>
        <v>2.2193347225934024</v>
      </c>
      <c r="J22" s="1251">
        <f t="shared" si="18"/>
        <v>2.589223843025636</v>
      </c>
      <c r="K22" s="1251">
        <f t="shared" si="18"/>
        <v>2.9591129634578701</v>
      </c>
      <c r="L22" s="1251">
        <f t="shared" si="18"/>
        <v>3.3290020838901038</v>
      </c>
      <c r="M22" s="1251">
        <f t="shared" si="18"/>
        <v>3.6988912043223374</v>
      </c>
      <c r="N22" s="1251">
        <f t="shared" si="18"/>
        <v>4.068780324754572</v>
      </c>
      <c r="O22" s="1251">
        <f t="shared" si="18"/>
        <v>4.4386694451868047</v>
      </c>
      <c r="P22" s="1251">
        <f t="shared" si="18"/>
        <v>4.8085585656190393</v>
      </c>
      <c r="Q22" s="1251">
        <f t="shared" si="18"/>
        <v>5.178447686051272</v>
      </c>
      <c r="R22" s="1251">
        <f t="shared" si="18"/>
        <v>5.5483368064835066</v>
      </c>
      <c r="S22" s="1251">
        <f t="shared" si="18"/>
        <v>5.9182259269157402</v>
      </c>
      <c r="T22" s="1251">
        <f t="shared" si="18"/>
        <v>6.2881150473479739</v>
      </c>
      <c r="U22" s="1251">
        <f t="shared" si="18"/>
        <v>6.6580041677802075</v>
      </c>
      <c r="V22" s="1251">
        <f t="shared" si="18"/>
        <v>7.0278932882124412</v>
      </c>
      <c r="W22" s="1251">
        <f t="shared" si="18"/>
        <v>7.3977824086446748</v>
      </c>
      <c r="X22" s="1251">
        <f t="shared" si="18"/>
        <v>7.7676715290769085</v>
      </c>
      <c r="Y22" s="1251">
        <f t="shared" si="18"/>
        <v>8.1375606495091439</v>
      </c>
      <c r="Z22" s="1251">
        <f t="shared" si="18"/>
        <v>8.5074497699413758</v>
      </c>
      <c r="AA22" s="1251">
        <f t="shared" si="18"/>
        <v>8.8773388903736095</v>
      </c>
      <c r="AB22" s="1251">
        <f t="shared" si="18"/>
        <v>9.2472280108058431</v>
      </c>
      <c r="AC22" s="1251">
        <f t="shared" si="18"/>
        <v>9.6171171312380785</v>
      </c>
      <c r="AD22" s="1251">
        <f t="shared" si="18"/>
        <v>9.9870062516703122</v>
      </c>
      <c r="AE22" s="1251">
        <f t="shared" si="18"/>
        <v>10.356895372102544</v>
      </c>
      <c r="AF22" s="1251">
        <f t="shared" si="18"/>
        <v>10.72678449253478</v>
      </c>
      <c r="AG22" s="1251">
        <f t="shared" si="18"/>
        <v>11.096673612967013</v>
      </c>
      <c r="AH22" s="1251">
        <f t="shared" si="18"/>
        <v>11.466562733399245</v>
      </c>
      <c r="AI22" s="1251">
        <f t="shared" si="18"/>
        <v>11.83645185383148</v>
      </c>
      <c r="AJ22" s="1251">
        <f t="shared" si="18"/>
        <v>12.206340974263712</v>
      </c>
      <c r="AK22" s="1251">
        <f t="shared" si="18"/>
        <v>12.576230094695948</v>
      </c>
      <c r="AL22" s="1251">
        <f t="shared" si="18"/>
        <v>12.946119215128181</v>
      </c>
      <c r="AM22" s="1251">
        <f t="shared" si="18"/>
        <v>13.316008335560415</v>
      </c>
      <c r="AN22" s="1251">
        <f t="shared" si="18"/>
        <v>13.685897455992651</v>
      </c>
      <c r="AO22" s="1251">
        <f t="shared" si="18"/>
        <v>14.055786576424882</v>
      </c>
      <c r="AP22" s="1251">
        <f t="shared" si="18"/>
        <v>14.425675696857114</v>
      </c>
      <c r="AQ22" s="1251">
        <f t="shared" si="18"/>
        <v>14.79556481728935</v>
      </c>
      <c r="AR22" s="1251">
        <f t="shared" si="18"/>
        <v>15.165453937721585</v>
      </c>
      <c r="AS22" s="1251">
        <f t="shared" si="18"/>
        <v>15.535343058153817</v>
      </c>
      <c r="AT22" s="1251">
        <f t="shared" si="18"/>
        <v>15.905232178586051</v>
      </c>
      <c r="AU22" s="1251">
        <f t="shared" si="18"/>
        <v>16.275121299018288</v>
      </c>
      <c r="AV22" s="1251">
        <f t="shared" si="18"/>
        <v>16.645010419450522</v>
      </c>
      <c r="AW22" s="1251">
        <f t="shared" si="18"/>
        <v>17.014899539882752</v>
      </c>
      <c r="AX22" s="1251">
        <f t="shared" si="18"/>
        <v>17.384788660314989</v>
      </c>
      <c r="AY22" s="1251">
        <f t="shared" si="18"/>
        <v>17.754677780747219</v>
      </c>
      <c r="AZ22" s="1251">
        <f t="shared" si="18"/>
        <v>18.124566901179456</v>
      </c>
      <c r="BA22" s="1251">
        <f t="shared" si="18"/>
        <v>18.494456021611686</v>
      </c>
      <c r="BB22" s="1251">
        <f t="shared" si="18"/>
        <v>18.86434514204392</v>
      </c>
      <c r="BC22" s="1251">
        <f t="shared" si="18"/>
        <v>19.234234262476157</v>
      </c>
      <c r="BD22" s="1251">
        <f t="shared" si="18"/>
        <v>19.604123382908391</v>
      </c>
      <c r="BE22" s="1251">
        <f t="shared" si="18"/>
        <v>19.974012503340624</v>
      </c>
      <c r="BF22" s="1251">
        <f t="shared" si="18"/>
        <v>20.343901623772854</v>
      </c>
      <c r="BG22" s="1251">
        <f t="shared" si="18"/>
        <v>20.713790744205088</v>
      </c>
      <c r="BH22" s="1251">
        <f t="shared" si="18"/>
        <v>21.083679864637322</v>
      </c>
      <c r="BI22" s="1251">
        <f t="shared" si="18"/>
        <v>21.453568985069559</v>
      </c>
      <c r="BJ22" s="1251">
        <f t="shared" si="18"/>
        <v>21.823458105501793</v>
      </c>
      <c r="BK22" s="1251">
        <f t="shared" si="18"/>
        <v>22.193347225934026</v>
      </c>
      <c r="BL22" s="1251">
        <f t="shared" si="18"/>
        <v>22.563236346366256</v>
      </c>
      <c r="BM22" s="1251">
        <f t="shared" si="18"/>
        <v>22.93312546679849</v>
      </c>
      <c r="BN22" s="1251">
        <f t="shared" si="18"/>
        <v>23.303014587230727</v>
      </c>
      <c r="BO22" s="1251">
        <f t="shared" si="18"/>
        <v>23.672903707662961</v>
      </c>
      <c r="BP22" s="1251">
        <f t="shared" ref="BP22:EA22" si="19">(($C$11*$C$12*BP8)/($C$13*$C$13*$C$13))*($C$10/$E$10)</f>
        <v>24.042792828095195</v>
      </c>
      <c r="BQ22" s="1251">
        <f t="shared" si="19"/>
        <v>24.412681948527425</v>
      </c>
      <c r="BR22" s="1251">
        <f t="shared" si="19"/>
        <v>24.782571068959662</v>
      </c>
      <c r="BS22" s="1251">
        <f t="shared" si="19"/>
        <v>25.152460189391896</v>
      </c>
      <c r="BT22" s="1251">
        <f t="shared" si="19"/>
        <v>25.522349309824129</v>
      </c>
      <c r="BU22" s="1251">
        <f t="shared" si="19"/>
        <v>25.892238430256363</v>
      </c>
      <c r="BV22" s="1251">
        <f t="shared" si="19"/>
        <v>26.262127550688597</v>
      </c>
      <c r="BW22" s="1251">
        <f t="shared" si="19"/>
        <v>26.63201667112083</v>
      </c>
      <c r="BX22" s="1251">
        <f t="shared" si="19"/>
        <v>27.00190579155306</v>
      </c>
      <c r="BY22" s="1251">
        <f t="shared" si="19"/>
        <v>27.371794911985301</v>
      </c>
      <c r="BZ22" s="1251">
        <f t="shared" si="19"/>
        <v>27.741684032417531</v>
      </c>
      <c r="CA22" s="1251">
        <f t="shared" si="19"/>
        <v>28.111573152849765</v>
      </c>
      <c r="CB22" s="1251">
        <f t="shared" si="19"/>
        <v>28.481462273282002</v>
      </c>
      <c r="CC22" s="1251">
        <f t="shared" si="19"/>
        <v>28.851351393714229</v>
      </c>
      <c r="CD22" s="1251">
        <f t="shared" si="19"/>
        <v>29.221240514146469</v>
      </c>
      <c r="CE22" s="1251">
        <f t="shared" si="19"/>
        <v>29.591129634578699</v>
      </c>
      <c r="CF22" s="1251">
        <f t="shared" si="19"/>
        <v>29.961018755010933</v>
      </c>
      <c r="CG22" s="1251">
        <f t="shared" si="19"/>
        <v>30.33090787544317</v>
      </c>
      <c r="CH22" s="1251">
        <f t="shared" si="19"/>
        <v>30.700796995875397</v>
      </c>
      <c r="CI22" s="1251">
        <f t="shared" si="19"/>
        <v>31.070686116307634</v>
      </c>
      <c r="CJ22" s="1251">
        <f t="shared" si="19"/>
        <v>31.440575236739868</v>
      </c>
      <c r="CK22" s="1251">
        <f t="shared" si="19"/>
        <v>31.810464357172101</v>
      </c>
      <c r="CL22" s="1251">
        <f t="shared" si="19"/>
        <v>32.180353477604335</v>
      </c>
      <c r="CM22" s="1251">
        <f t="shared" si="19"/>
        <v>32.550242598036576</v>
      </c>
      <c r="CN22" s="1251">
        <f t="shared" si="19"/>
        <v>32.920131718468802</v>
      </c>
      <c r="CO22" s="1251">
        <f t="shared" si="19"/>
        <v>33.290020838901043</v>
      </c>
      <c r="CP22" s="1251">
        <f t="shared" si="19"/>
        <v>33.65990995933327</v>
      </c>
      <c r="CQ22" s="1251">
        <f t="shared" si="19"/>
        <v>34.029799079765503</v>
      </c>
      <c r="CR22" s="1251">
        <f t="shared" si="19"/>
        <v>34.399688200197744</v>
      </c>
      <c r="CS22" s="1251">
        <f t="shared" si="19"/>
        <v>34.769577320629978</v>
      </c>
      <c r="CT22" s="1251">
        <f t="shared" si="19"/>
        <v>35.139466441062204</v>
      </c>
      <c r="CU22" s="1251">
        <f t="shared" si="19"/>
        <v>35.509355561494438</v>
      </c>
      <c r="CV22" s="1251">
        <f t="shared" si="19"/>
        <v>35.879244681926671</v>
      </c>
      <c r="CW22" s="1251">
        <f t="shared" si="19"/>
        <v>36.249133802358912</v>
      </c>
      <c r="CX22" s="1251">
        <f t="shared" si="19"/>
        <v>36.619022922791146</v>
      </c>
      <c r="CY22" s="1251">
        <f t="shared" si="19"/>
        <v>36.988912043223372</v>
      </c>
      <c r="CZ22" s="1251">
        <f t="shared" si="19"/>
        <v>37.358801163655613</v>
      </c>
      <c r="DA22" s="1251">
        <f t="shared" si="19"/>
        <v>37.72869028408784</v>
      </c>
      <c r="DB22" s="1251">
        <f t="shared" si="19"/>
        <v>38.098579404520081</v>
      </c>
      <c r="DC22" s="1251">
        <f t="shared" si="19"/>
        <v>38.468468524952314</v>
      </c>
      <c r="DD22" s="1251">
        <f t="shared" si="19"/>
        <v>38.838357645384541</v>
      </c>
      <c r="DE22" s="1251">
        <f t="shared" si="19"/>
        <v>39.208246765816781</v>
      </c>
      <c r="DF22" s="1251">
        <f t="shared" si="19"/>
        <v>39.578135886249008</v>
      </c>
      <c r="DG22" s="1251">
        <f t="shared" si="19"/>
        <v>39.948025006681249</v>
      </c>
      <c r="DH22" s="1251">
        <f t="shared" si="19"/>
        <v>40.317914127113482</v>
      </c>
      <c r="DI22" s="1251">
        <f t="shared" si="19"/>
        <v>40.687803247545709</v>
      </c>
      <c r="DJ22" s="1251">
        <f t="shared" si="19"/>
        <v>41.05769236797795</v>
      </c>
      <c r="DK22" s="1251">
        <f t="shared" si="19"/>
        <v>41.427581488410176</v>
      </c>
      <c r="DL22" s="1251">
        <f t="shared" si="19"/>
        <v>41.797470608842417</v>
      </c>
      <c r="DM22" s="1251">
        <f t="shared" si="19"/>
        <v>42.167359729274644</v>
      </c>
      <c r="DN22" s="1251">
        <f t="shared" si="19"/>
        <v>42.537248849706884</v>
      </c>
      <c r="DO22" s="1251">
        <f t="shared" si="19"/>
        <v>42.907137970139118</v>
      </c>
      <c r="DP22" s="1251">
        <f t="shared" si="19"/>
        <v>43.277027090571345</v>
      </c>
      <c r="DQ22" s="1251">
        <f t="shared" si="19"/>
        <v>43.646916211003585</v>
      </c>
      <c r="DR22" s="1251">
        <f t="shared" si="19"/>
        <v>44.016805331435812</v>
      </c>
      <c r="DS22" s="1251">
        <f t="shared" si="19"/>
        <v>44.386694451868053</v>
      </c>
      <c r="DT22" s="1251">
        <f t="shared" si="19"/>
        <v>44.756583572300286</v>
      </c>
      <c r="DU22" s="1251">
        <f t="shared" si="19"/>
        <v>45.126472692732513</v>
      </c>
      <c r="DV22" s="1251">
        <f t="shared" si="19"/>
        <v>45.496361813164754</v>
      </c>
      <c r="DW22" s="1251">
        <f t="shared" si="19"/>
        <v>45.86625093359698</v>
      </c>
      <c r="DX22" s="1251">
        <f t="shared" si="19"/>
        <v>46.236140054029221</v>
      </c>
      <c r="DY22" s="1251">
        <f t="shared" si="19"/>
        <v>46.606029174461455</v>
      </c>
      <c r="DZ22" s="1251">
        <f t="shared" si="19"/>
        <v>46.975918294893681</v>
      </c>
      <c r="EA22" s="1251">
        <f t="shared" si="19"/>
        <v>47.345807415325922</v>
      </c>
      <c r="EB22" s="1251">
        <f t="shared" ref="EB22:GE22" si="20">(($C$11*$C$12*EB8)/($C$13*$C$13*$C$13))*($C$10/$E$10)</f>
        <v>47.715696535758156</v>
      </c>
      <c r="EC22" s="1251">
        <f t="shared" si="20"/>
        <v>48.085585656190389</v>
      </c>
      <c r="ED22" s="1251">
        <f t="shared" si="20"/>
        <v>48.455474776622623</v>
      </c>
      <c r="EE22" s="1251">
        <f t="shared" si="20"/>
        <v>48.825363897054849</v>
      </c>
      <c r="EF22" s="1251">
        <f t="shared" si="20"/>
        <v>49.19525301748709</v>
      </c>
      <c r="EG22" s="1251">
        <f t="shared" si="20"/>
        <v>49.565142137919324</v>
      </c>
      <c r="EH22" s="1251">
        <f t="shared" si="20"/>
        <v>49.935031258351557</v>
      </c>
      <c r="EI22" s="1251">
        <f t="shared" si="20"/>
        <v>50.304920378783791</v>
      </c>
      <c r="EJ22" s="1251">
        <f t="shared" si="20"/>
        <v>50.674809499216018</v>
      </c>
      <c r="EK22" s="1251">
        <f t="shared" si="20"/>
        <v>51.044698619648258</v>
      </c>
      <c r="EL22" s="1251">
        <f t="shared" si="20"/>
        <v>51.414587740080492</v>
      </c>
      <c r="EM22" s="1251">
        <f t="shared" si="20"/>
        <v>51.784476860512726</v>
      </c>
      <c r="EN22" s="1251">
        <f t="shared" si="20"/>
        <v>52.154365980944952</v>
      </c>
      <c r="EO22" s="1251">
        <f t="shared" si="20"/>
        <v>52.524255101377193</v>
      </c>
      <c r="EP22" s="1251">
        <f t="shared" si="20"/>
        <v>52.894144221809427</v>
      </c>
      <c r="EQ22" s="1251">
        <f t="shared" si="20"/>
        <v>53.26403334224166</v>
      </c>
      <c r="ER22" s="1251">
        <f t="shared" si="20"/>
        <v>53.633922462673894</v>
      </c>
      <c r="ES22" s="1251">
        <f t="shared" si="20"/>
        <v>54.003811583106121</v>
      </c>
      <c r="ET22" s="1251">
        <f t="shared" si="20"/>
        <v>54.373700703538361</v>
      </c>
      <c r="EU22" s="1251">
        <f t="shared" si="20"/>
        <v>54.743589823970602</v>
      </c>
      <c r="EV22" s="1251">
        <f t="shared" si="20"/>
        <v>55.113478944402836</v>
      </c>
      <c r="EW22" s="1251">
        <f t="shared" si="20"/>
        <v>55.483368064835062</v>
      </c>
      <c r="EX22" s="1251">
        <f t="shared" si="20"/>
        <v>55.853257185267289</v>
      </c>
      <c r="EY22" s="1251">
        <f t="shared" si="20"/>
        <v>56.22314630569953</v>
      </c>
      <c r="EZ22" s="1251">
        <f t="shared" si="20"/>
        <v>56.59303542613177</v>
      </c>
      <c r="FA22" s="1251">
        <f t="shared" si="20"/>
        <v>56.962924546564004</v>
      </c>
      <c r="FB22" s="1251">
        <f t="shared" si="20"/>
        <v>57.33281366699623</v>
      </c>
      <c r="FC22" s="1251">
        <f t="shared" si="20"/>
        <v>57.702702787428457</v>
      </c>
      <c r="FD22" s="1251">
        <f t="shared" si="20"/>
        <v>58.072591907860698</v>
      </c>
      <c r="FE22" s="1251">
        <f t="shared" si="20"/>
        <v>58.442481028292939</v>
      </c>
      <c r="FF22" s="1251">
        <f t="shared" si="20"/>
        <v>58.812370148725172</v>
      </c>
      <c r="FG22" s="1251">
        <f t="shared" si="20"/>
        <v>59.182259269157399</v>
      </c>
      <c r="FH22" s="1251">
        <f t="shared" si="20"/>
        <v>59.552148389589625</v>
      </c>
      <c r="FI22" s="1251">
        <f t="shared" si="20"/>
        <v>59.922037510021866</v>
      </c>
      <c r="FJ22" s="1251">
        <f t="shared" si="20"/>
        <v>60.291926630454107</v>
      </c>
      <c r="FK22" s="1251">
        <f t="shared" si="20"/>
        <v>60.66181575088634</v>
      </c>
      <c r="FL22" s="1251">
        <f t="shared" si="20"/>
        <v>61.031704871318567</v>
      </c>
      <c r="FM22" s="1251">
        <f t="shared" si="20"/>
        <v>61.401593991750794</v>
      </c>
      <c r="FN22" s="1251">
        <f t="shared" si="20"/>
        <v>61.771483112183034</v>
      </c>
      <c r="FO22" s="1251">
        <f t="shared" si="20"/>
        <v>62.141372232615268</v>
      </c>
      <c r="FP22" s="1251">
        <f t="shared" si="20"/>
        <v>62.511261353047509</v>
      </c>
      <c r="FQ22" s="1251">
        <f t="shared" si="20"/>
        <v>62.881150473479735</v>
      </c>
      <c r="FR22" s="1251">
        <f t="shared" si="20"/>
        <v>63.251039593911962</v>
      </c>
      <c r="FS22" s="1251">
        <f t="shared" si="20"/>
        <v>63.620928714344203</v>
      </c>
      <c r="FT22" s="1251">
        <f t="shared" si="20"/>
        <v>63.990817834776436</v>
      </c>
      <c r="FU22" s="1251">
        <f t="shared" si="20"/>
        <v>64.36070695520867</v>
      </c>
      <c r="FV22" s="1251">
        <f t="shared" si="20"/>
        <v>64.730596075640918</v>
      </c>
      <c r="FW22" s="1251">
        <f t="shared" si="20"/>
        <v>65.100485196073151</v>
      </c>
      <c r="FX22" s="1251">
        <f t="shared" si="20"/>
        <v>65.470374316505371</v>
      </c>
      <c r="FY22" s="1251">
        <f t="shared" si="20"/>
        <v>65.840263436937605</v>
      </c>
      <c r="FZ22" s="1251">
        <f t="shared" si="20"/>
        <v>66.210152557369838</v>
      </c>
      <c r="GA22" s="1251">
        <f t="shared" si="20"/>
        <v>66.580041677802086</v>
      </c>
      <c r="GB22" s="1251">
        <f t="shared" si="20"/>
        <v>66.94993079823432</v>
      </c>
      <c r="GC22" s="1251">
        <f t="shared" si="20"/>
        <v>67.319819918666539</v>
      </c>
      <c r="GD22" s="1251">
        <f t="shared" si="20"/>
        <v>67.689709039098787</v>
      </c>
      <c r="GE22" s="1251">
        <f t="shared" si="20"/>
        <v>68.059598159531006</v>
      </c>
    </row>
    <row r="23" spans="2:187" ht="27" thickBot="1">
      <c r="B23" s="816" t="s">
        <v>953</v>
      </c>
      <c r="C23" s="1249"/>
      <c r="D23" s="817"/>
    </row>
    <row r="24" spans="2:187" ht="15.75">
      <c r="B24" s="818" t="s">
        <v>926</v>
      </c>
      <c r="C24" s="819" t="s">
        <v>927</v>
      </c>
      <c r="D24" s="509"/>
    </row>
    <row r="25" spans="2:187">
      <c r="B25" s="489" t="s">
        <v>954</v>
      </c>
      <c r="C25" s="768">
        <v>27.5</v>
      </c>
      <c r="D25" s="439"/>
    </row>
    <row r="26" spans="2:187">
      <c r="B26" s="489" t="s">
        <v>955</v>
      </c>
      <c r="C26" s="820">
        <v>18</v>
      </c>
      <c r="D26" s="439"/>
    </row>
    <row r="27" spans="2:187">
      <c r="B27" s="489" t="s">
        <v>956</v>
      </c>
      <c r="C27" s="768">
        <v>800</v>
      </c>
      <c r="D27" s="439"/>
    </row>
    <row r="28" spans="2:187" ht="15.75">
      <c r="B28" s="821" t="s">
        <v>957</v>
      </c>
      <c r="C28" s="822">
        <f>(C25-C26)/C25*100</f>
        <v>34.545454545454547</v>
      </c>
      <c r="D28" s="823" t="s">
        <v>942</v>
      </c>
      <c r="J28" s="1873" t="s">
        <v>1713</v>
      </c>
    </row>
    <row r="29" spans="2:187" ht="16.5" thickBot="1">
      <c r="B29" s="824" t="s">
        <v>958</v>
      </c>
      <c r="C29" s="825">
        <f>((C25-C26)/C25)*100*100/C27</f>
        <v>4.3181818181818183</v>
      </c>
      <c r="D29" s="826" t="s">
        <v>942</v>
      </c>
      <c r="J29" s="1874"/>
    </row>
    <row r="30" spans="2:187" ht="15" thickBot="1">
      <c r="J30" s="1875" t="s">
        <v>1694</v>
      </c>
    </row>
    <row r="31" spans="2:187" ht="14.25">
      <c r="B31" s="722" t="s">
        <v>885</v>
      </c>
      <c r="C31" s="827">
        <v>1.4</v>
      </c>
      <c r="D31" s="828" t="s">
        <v>357</v>
      </c>
      <c r="E31" s="742" t="s">
        <v>573</v>
      </c>
      <c r="J31" s="1875" t="s">
        <v>1695</v>
      </c>
    </row>
    <row r="32" spans="2:187" ht="14.25">
      <c r="B32" s="611" t="s">
        <v>887</v>
      </c>
      <c r="C32" s="696">
        <v>800</v>
      </c>
      <c r="D32" s="760" t="s">
        <v>357</v>
      </c>
      <c r="E32" s="742" t="s">
        <v>573</v>
      </c>
      <c r="J32" s="1875" t="s">
        <v>1696</v>
      </c>
    </row>
    <row r="33" spans="2:10" ht="14.25">
      <c r="B33" s="611" t="s">
        <v>877</v>
      </c>
      <c r="C33" s="696">
        <v>30</v>
      </c>
      <c r="D33" s="760" t="s">
        <v>732</v>
      </c>
      <c r="E33" s="572" t="s">
        <v>573</v>
      </c>
      <c r="J33" s="1875" t="s">
        <v>1697</v>
      </c>
    </row>
    <row r="34" spans="2:10" ht="14.25">
      <c r="B34" s="611" t="s">
        <v>890</v>
      </c>
      <c r="C34" s="696">
        <v>1</v>
      </c>
      <c r="D34" s="829" t="s">
        <v>728</v>
      </c>
      <c r="E34" s="742" t="s">
        <v>573</v>
      </c>
      <c r="F34" s="720">
        <v>1.2</v>
      </c>
      <c r="G34" s="721" t="s">
        <v>728</v>
      </c>
      <c r="J34" s="1875" t="s">
        <v>1698</v>
      </c>
    </row>
    <row r="35" spans="2:10" ht="15" thickBot="1">
      <c r="B35" s="830" t="s">
        <v>891</v>
      </c>
      <c r="C35" s="831">
        <v>4.0000000000000001E-3</v>
      </c>
      <c r="D35" s="796" t="s">
        <v>959</v>
      </c>
      <c r="E35" s="742" t="s">
        <v>573</v>
      </c>
      <c r="F35" s="438"/>
      <c r="J35" s="1875" t="s">
        <v>1699</v>
      </c>
    </row>
    <row r="36" spans="2:10" ht="14.25">
      <c r="B36" s="832" t="s">
        <v>894</v>
      </c>
      <c r="C36" s="833">
        <f>C31*PI()</f>
        <v>4.3982297150257104</v>
      </c>
      <c r="D36" s="834" t="s">
        <v>357</v>
      </c>
      <c r="E36" s="438"/>
      <c r="F36" s="438"/>
      <c r="J36" s="1875" t="s">
        <v>1700</v>
      </c>
    </row>
    <row r="37" spans="2:10" ht="15" thickBot="1">
      <c r="B37" s="725" t="s">
        <v>895</v>
      </c>
      <c r="C37" s="728">
        <f>(C31*C31)*PI()/4</f>
        <v>1.5393804002589984</v>
      </c>
      <c r="D37" s="727" t="s">
        <v>896</v>
      </c>
      <c r="E37" s="438"/>
      <c r="F37" s="438"/>
      <c r="J37" s="1875" t="s">
        <v>1701</v>
      </c>
    </row>
    <row r="38" spans="2:10" ht="16.5" thickBot="1">
      <c r="B38" s="731" t="s">
        <v>897</v>
      </c>
      <c r="C38" s="732">
        <f>(((C35*C36*C32)*(C33*C33)/(C37*C37*C37))*(C34/F34))</f>
        <v>2893.6852590183953</v>
      </c>
      <c r="D38" s="733" t="s">
        <v>220</v>
      </c>
      <c r="E38" s="734"/>
      <c r="F38" s="734"/>
      <c r="J38" s="1875" t="s">
        <v>1702</v>
      </c>
    </row>
    <row r="39" spans="2:10" ht="16.5" thickBot="1">
      <c r="B39" s="731" t="s">
        <v>960</v>
      </c>
      <c r="C39" s="732">
        <f>C38/1000</f>
        <v>2.8936852590183952</v>
      </c>
      <c r="D39" s="733" t="s">
        <v>192</v>
      </c>
      <c r="E39" s="734"/>
      <c r="F39" s="734"/>
      <c r="J39" s="1876"/>
    </row>
    <row r="40" spans="2:10" ht="33.75" customHeight="1" thickBot="1">
      <c r="B40" s="835" t="s">
        <v>898</v>
      </c>
      <c r="C40" s="836">
        <f>((C35*C36*C32)/(C37*C37*C37))*(C34/F34)</f>
        <v>3.2152058433537718</v>
      </c>
      <c r="D40" s="837" t="s">
        <v>961</v>
      </c>
      <c r="E40" s="838" t="s">
        <v>898</v>
      </c>
      <c r="F40" s="839"/>
      <c r="J40" s="1876"/>
    </row>
    <row r="41" spans="2:10" ht="15" thickBot="1">
      <c r="J41" s="1873" t="s">
        <v>1714</v>
      </c>
    </row>
    <row r="42" spans="2:10" ht="27" thickBot="1">
      <c r="B42" s="3017" t="s">
        <v>962</v>
      </c>
      <c r="C42" s="3018"/>
      <c r="D42" s="3019"/>
      <c r="J42" s="1874"/>
    </row>
    <row r="43" spans="2:10" ht="15.75">
      <c r="B43" s="818" t="s">
        <v>926</v>
      </c>
      <c r="C43" s="819" t="s">
        <v>927</v>
      </c>
      <c r="D43" s="509"/>
      <c r="J43" s="1875" t="s">
        <v>1703</v>
      </c>
    </row>
    <row r="44" spans="2:10" ht="14.25">
      <c r="B44" s="489" t="s">
        <v>954</v>
      </c>
      <c r="C44" s="840">
        <v>170</v>
      </c>
      <c r="D44" s="760" t="s">
        <v>732</v>
      </c>
      <c r="J44" s="1875" t="s">
        <v>1704</v>
      </c>
    </row>
    <row r="45" spans="2:10" ht="14.25">
      <c r="B45" s="489" t="s">
        <v>955</v>
      </c>
      <c r="C45" s="840">
        <v>3.9</v>
      </c>
      <c r="D45" s="841" t="s">
        <v>192</v>
      </c>
      <c r="J45" s="1875" t="s">
        <v>1705</v>
      </c>
    </row>
    <row r="46" spans="2:10" ht="15" thickBot="1">
      <c r="B46" s="842" t="s">
        <v>963</v>
      </c>
      <c r="C46" s="843">
        <v>80</v>
      </c>
      <c r="D46" s="844" t="s">
        <v>211</v>
      </c>
      <c r="J46" s="1875" t="s">
        <v>1706</v>
      </c>
    </row>
    <row r="47" spans="2:10" ht="16.5" thickBot="1">
      <c r="B47" s="845" t="s">
        <v>964</v>
      </c>
      <c r="C47" s="846">
        <f>(C44*C45)*(100/C46)</f>
        <v>828.75</v>
      </c>
      <c r="D47" s="847" t="s">
        <v>218</v>
      </c>
      <c r="J47" s="1875" t="s">
        <v>1707</v>
      </c>
    </row>
    <row r="48" spans="2:10" ht="14.25">
      <c r="J48" s="1875" t="s">
        <v>1708</v>
      </c>
    </row>
    <row r="49" spans="2:10" ht="15" thickBot="1">
      <c r="J49" s="1875"/>
    </row>
    <row r="50" spans="2:10" ht="15" thickBot="1">
      <c r="B50" s="3020" t="s">
        <v>965</v>
      </c>
      <c r="C50" s="3021"/>
      <c r="D50" s="3022"/>
      <c r="J50" s="1875"/>
    </row>
    <row r="51" spans="2:10" ht="14.25">
      <c r="B51" s="848" t="s">
        <v>966</v>
      </c>
      <c r="C51" s="849">
        <v>3.7000000000000002E-3</v>
      </c>
      <c r="D51" s="850" t="s">
        <v>947</v>
      </c>
      <c r="J51" s="1875" t="s">
        <v>1709</v>
      </c>
    </row>
    <row r="52" spans="2:10" ht="14.25">
      <c r="B52" s="851" t="s">
        <v>967</v>
      </c>
      <c r="C52" s="852">
        <v>2.7499999999999998E-3</v>
      </c>
      <c r="D52" s="782" t="s">
        <v>947</v>
      </c>
      <c r="J52" s="1875" t="s">
        <v>1710</v>
      </c>
    </row>
    <row r="53" spans="2:10" ht="14.25">
      <c r="B53" s="743" t="s">
        <v>968</v>
      </c>
      <c r="C53" s="853">
        <v>2E-3</v>
      </c>
      <c r="D53" s="782" t="s">
        <v>947</v>
      </c>
      <c r="J53" s="1875" t="s">
        <v>1711</v>
      </c>
    </row>
    <row r="54" spans="2:10" ht="14.25">
      <c r="B54" s="743" t="s">
        <v>969</v>
      </c>
      <c r="C54" s="646">
        <v>1.5E-3</v>
      </c>
      <c r="D54" s="782" t="s">
        <v>947</v>
      </c>
      <c r="J54" s="1875" t="s">
        <v>1712</v>
      </c>
    </row>
    <row r="55" spans="2:10">
      <c r="B55" s="743" t="s">
        <v>970</v>
      </c>
      <c r="C55" s="646">
        <v>2E-3</v>
      </c>
      <c r="D55" s="782" t="s">
        <v>947</v>
      </c>
    </row>
    <row r="56" spans="2:10">
      <c r="B56" s="611"/>
      <c r="C56" s="646"/>
      <c r="D56" s="442"/>
    </row>
    <row r="57" spans="2:10">
      <c r="B57" s="1293"/>
      <c r="C57" s="652"/>
      <c r="D57" s="1294"/>
    </row>
    <row r="58" spans="2:10">
      <c r="B58" s="1293"/>
      <c r="C58" s="652"/>
      <c r="D58" s="1294"/>
    </row>
    <row r="59" spans="2:10" ht="13.5" thickBot="1">
      <c r="B59" s="618"/>
      <c r="C59" s="854"/>
      <c r="D59" s="855"/>
    </row>
  </sheetData>
  <mergeCells count="3">
    <mergeCell ref="B42:D42"/>
    <mergeCell ref="B50:D50"/>
    <mergeCell ref="E1:G1"/>
  </mergeCells>
  <conditionalFormatting sqref="C14:GE14">
    <cfRule type="cellIs" dxfId="19" priority="5" stopIfTrue="1" operator="greaterThan">
      <formula>$C$19</formula>
    </cfRule>
  </conditionalFormatting>
  <conditionalFormatting sqref="C16:GE17">
    <cfRule type="cellIs" dxfId="18" priority="4" stopIfTrue="1" operator="greaterThan">
      <formula>$C$20</formula>
    </cfRule>
  </conditionalFormatting>
  <conditionalFormatting sqref="E9:GE9">
    <cfRule type="cellIs" dxfId="17" priority="3" operator="lessThan">
      <formula>11.34</formula>
    </cfRule>
  </conditionalFormatting>
  <conditionalFormatting sqref="H9:GE9">
    <cfRule type="cellIs" dxfId="16" priority="2" operator="lessThan">
      <formula>11.2</formula>
    </cfRule>
  </conditionalFormatting>
  <conditionalFormatting sqref="A9:XFD9">
    <cfRule type="cellIs" dxfId="15" priority="1" operator="lessThan">
      <formula>11.2</formula>
    </cfRule>
  </conditionalFormatting>
  <hyperlinks>
    <hyperlink ref="E1" location="INDEX!A1" display="INDEX!A1"/>
  </hyperlinks>
  <pageMargins left="0.7" right="0.7" top="0.75" bottom="0.75" header="0.3" footer="0.3"/>
  <pageSetup paperSize="9" orientation="portrait" r:id="rId1"/>
  <drawing r:id="rId2"/>
  <legacyDrawing r:id="rId3"/>
  <oleObjects>
    <mc:AlternateContent xmlns:mc="http://schemas.openxmlformats.org/markup-compatibility/2006">
      <mc:Choice Requires="x14">
        <oleObject progId="Equation.3" shapeId="14337" r:id="rId4">
          <objectPr defaultSize="0" autoPict="0" r:id="rId5">
            <anchor moveWithCells="1" sizeWithCells="1">
              <from>
                <xdr:col>4</xdr:col>
                <xdr:colOff>419100</xdr:colOff>
                <xdr:row>39</xdr:row>
                <xdr:rowOff>9525</xdr:rowOff>
              </from>
              <to>
                <xdr:col>6</xdr:col>
                <xdr:colOff>38100</xdr:colOff>
                <xdr:row>39</xdr:row>
                <xdr:rowOff>419100</xdr:rowOff>
              </to>
            </anchor>
          </objectPr>
        </oleObject>
      </mc:Choice>
      <mc:Fallback>
        <oleObject progId="Equation.3" shapeId="14337" r:id="rId4"/>
      </mc:Fallback>
    </mc:AlternateContent>
    <mc:AlternateContent xmlns:mc="http://schemas.openxmlformats.org/markup-compatibility/2006">
      <mc:Choice Requires="x14">
        <oleObject progId="Equation.3" shapeId="14340" r:id="rId6">
          <objectPr defaultSize="0" autoPict="0" r:id="rId5">
            <anchor moveWithCells="1" sizeWithCells="1">
              <from>
                <xdr:col>1</xdr:col>
                <xdr:colOff>1581150</xdr:colOff>
                <xdr:row>21</xdr:row>
                <xdr:rowOff>38100</xdr:rowOff>
              </from>
              <to>
                <xdr:col>2</xdr:col>
                <xdr:colOff>0</xdr:colOff>
                <xdr:row>21</xdr:row>
                <xdr:rowOff>447675</xdr:rowOff>
              </to>
            </anchor>
          </objectPr>
        </oleObject>
      </mc:Choice>
      <mc:Fallback>
        <oleObject progId="Equation.3" shapeId="14340" r:id="rId6"/>
      </mc:Fallback>
    </mc:AlternateContent>
  </oleObjec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sheetPr>
  <dimension ref="B1:N43"/>
  <sheetViews>
    <sheetView showGridLines="0" zoomScaleNormal="100" workbookViewId="0">
      <selection activeCell="C1" sqref="C1:E1"/>
    </sheetView>
  </sheetViews>
  <sheetFormatPr defaultRowHeight="12.75"/>
  <cols>
    <col min="1" max="1" width="3.140625" style="435" customWidth="1"/>
    <col min="2" max="2" width="39.5703125" style="435" customWidth="1"/>
    <col min="3" max="3" width="12.85546875" style="435" customWidth="1"/>
    <col min="4" max="4" width="12.28515625" style="435" customWidth="1"/>
    <col min="5" max="5" width="9.140625" style="435"/>
    <col min="6" max="6" width="4.140625" style="435" customWidth="1"/>
    <col min="7" max="7" width="38.140625" style="435" bestFit="1" customWidth="1"/>
    <col min="8" max="8" width="13.140625" style="435" customWidth="1"/>
    <col min="9" max="9" width="9.28515625" style="435" bestFit="1" customWidth="1"/>
    <col min="10" max="10" width="6.42578125" style="435" bestFit="1" customWidth="1"/>
    <col min="11" max="11" width="3.85546875" style="435" customWidth="1"/>
    <col min="12" max="12" width="31" style="435" bestFit="1" customWidth="1"/>
    <col min="13" max="232" width="9.140625" style="435"/>
    <col min="233" max="233" width="3.140625" style="435" customWidth="1"/>
    <col min="234" max="234" width="39.5703125" style="435" customWidth="1"/>
    <col min="235" max="235" width="12.85546875" style="435" customWidth="1"/>
    <col min="236" max="236" width="10" style="435" bestFit="1" customWidth="1"/>
    <col min="237" max="237" width="9.140625" style="435"/>
    <col min="238" max="238" width="9" style="435" customWidth="1"/>
    <col min="239" max="239" width="38.140625" style="435" bestFit="1" customWidth="1"/>
    <col min="240" max="240" width="13.140625" style="435" customWidth="1"/>
    <col min="241" max="241" width="9.28515625" style="435" bestFit="1" customWidth="1"/>
    <col min="242" max="242" width="6.42578125" style="435" bestFit="1" customWidth="1"/>
    <col min="243" max="488" width="9.140625" style="435"/>
    <col min="489" max="489" width="3.140625" style="435" customWidth="1"/>
    <col min="490" max="490" width="39.5703125" style="435" customWidth="1"/>
    <col min="491" max="491" width="12.85546875" style="435" customWidth="1"/>
    <col min="492" max="492" width="10" style="435" bestFit="1" customWidth="1"/>
    <col min="493" max="493" width="9.140625" style="435"/>
    <col min="494" max="494" width="9" style="435" customWidth="1"/>
    <col min="495" max="495" width="38.140625" style="435" bestFit="1" customWidth="1"/>
    <col min="496" max="496" width="13.140625" style="435" customWidth="1"/>
    <col min="497" max="497" width="9.28515625" style="435" bestFit="1" customWidth="1"/>
    <col min="498" max="498" width="6.42578125" style="435" bestFit="1" customWidth="1"/>
    <col min="499" max="744" width="9.140625" style="435"/>
    <col min="745" max="745" width="3.140625" style="435" customWidth="1"/>
    <col min="746" max="746" width="39.5703125" style="435" customWidth="1"/>
    <col min="747" max="747" width="12.85546875" style="435" customWidth="1"/>
    <col min="748" max="748" width="10" style="435" bestFit="1" customWidth="1"/>
    <col min="749" max="749" width="9.140625" style="435"/>
    <col min="750" max="750" width="9" style="435" customWidth="1"/>
    <col min="751" max="751" width="38.140625" style="435" bestFit="1" customWidth="1"/>
    <col min="752" max="752" width="13.140625" style="435" customWidth="1"/>
    <col min="753" max="753" width="9.28515625" style="435" bestFit="1" customWidth="1"/>
    <col min="754" max="754" width="6.42578125" style="435" bestFit="1" customWidth="1"/>
    <col min="755" max="1000" width="9.140625" style="435"/>
    <col min="1001" max="1001" width="3.140625" style="435" customWidth="1"/>
    <col min="1002" max="1002" width="39.5703125" style="435" customWidth="1"/>
    <col min="1003" max="1003" width="12.85546875" style="435" customWidth="1"/>
    <col min="1004" max="1004" width="10" style="435" bestFit="1" customWidth="1"/>
    <col min="1005" max="1005" width="9.140625" style="435"/>
    <col min="1006" max="1006" width="9" style="435" customWidth="1"/>
    <col min="1007" max="1007" width="38.140625" style="435" bestFit="1" customWidth="1"/>
    <col min="1008" max="1008" width="13.140625" style="435" customWidth="1"/>
    <col min="1009" max="1009" width="9.28515625" style="435" bestFit="1" customWidth="1"/>
    <col min="1010" max="1010" width="6.42578125" style="435" bestFit="1" customWidth="1"/>
    <col min="1011" max="1256" width="9.140625" style="435"/>
    <col min="1257" max="1257" width="3.140625" style="435" customWidth="1"/>
    <col min="1258" max="1258" width="39.5703125" style="435" customWidth="1"/>
    <col min="1259" max="1259" width="12.85546875" style="435" customWidth="1"/>
    <col min="1260" max="1260" width="10" style="435" bestFit="1" customWidth="1"/>
    <col min="1261" max="1261" width="9.140625" style="435"/>
    <col min="1262" max="1262" width="9" style="435" customWidth="1"/>
    <col min="1263" max="1263" width="38.140625" style="435" bestFit="1" customWidth="1"/>
    <col min="1264" max="1264" width="13.140625" style="435" customWidth="1"/>
    <col min="1265" max="1265" width="9.28515625" style="435" bestFit="1" customWidth="1"/>
    <col min="1266" max="1266" width="6.42578125" style="435" bestFit="1" customWidth="1"/>
    <col min="1267" max="1512" width="9.140625" style="435"/>
    <col min="1513" max="1513" width="3.140625" style="435" customWidth="1"/>
    <col min="1514" max="1514" width="39.5703125" style="435" customWidth="1"/>
    <col min="1515" max="1515" width="12.85546875" style="435" customWidth="1"/>
    <col min="1516" max="1516" width="10" style="435" bestFit="1" customWidth="1"/>
    <col min="1517" max="1517" width="9.140625" style="435"/>
    <col min="1518" max="1518" width="9" style="435" customWidth="1"/>
    <col min="1519" max="1519" width="38.140625" style="435" bestFit="1" customWidth="1"/>
    <col min="1520" max="1520" width="13.140625" style="435" customWidth="1"/>
    <col min="1521" max="1521" width="9.28515625" style="435" bestFit="1" customWidth="1"/>
    <col min="1522" max="1522" width="6.42578125" style="435" bestFit="1" customWidth="1"/>
    <col min="1523" max="1768" width="9.140625" style="435"/>
    <col min="1769" max="1769" width="3.140625" style="435" customWidth="1"/>
    <col min="1770" max="1770" width="39.5703125" style="435" customWidth="1"/>
    <col min="1771" max="1771" width="12.85546875" style="435" customWidth="1"/>
    <col min="1772" max="1772" width="10" style="435" bestFit="1" customWidth="1"/>
    <col min="1773" max="1773" width="9.140625" style="435"/>
    <col min="1774" max="1774" width="9" style="435" customWidth="1"/>
    <col min="1775" max="1775" width="38.140625" style="435" bestFit="1" customWidth="1"/>
    <col min="1776" max="1776" width="13.140625" style="435" customWidth="1"/>
    <col min="1777" max="1777" width="9.28515625" style="435" bestFit="1" customWidth="1"/>
    <col min="1778" max="1778" width="6.42578125" style="435" bestFit="1" customWidth="1"/>
    <col min="1779" max="2024" width="9.140625" style="435"/>
    <col min="2025" max="2025" width="3.140625" style="435" customWidth="1"/>
    <col min="2026" max="2026" width="39.5703125" style="435" customWidth="1"/>
    <col min="2027" max="2027" width="12.85546875" style="435" customWidth="1"/>
    <col min="2028" max="2028" width="10" style="435" bestFit="1" customWidth="1"/>
    <col min="2029" max="2029" width="9.140625" style="435"/>
    <col min="2030" max="2030" width="9" style="435" customWidth="1"/>
    <col min="2031" max="2031" width="38.140625" style="435" bestFit="1" customWidth="1"/>
    <col min="2032" max="2032" width="13.140625" style="435" customWidth="1"/>
    <col min="2033" max="2033" width="9.28515625" style="435" bestFit="1" customWidth="1"/>
    <col min="2034" max="2034" width="6.42578125" style="435" bestFit="1" customWidth="1"/>
    <col min="2035" max="2280" width="9.140625" style="435"/>
    <col min="2281" max="2281" width="3.140625" style="435" customWidth="1"/>
    <col min="2282" max="2282" width="39.5703125" style="435" customWidth="1"/>
    <col min="2283" max="2283" width="12.85546875" style="435" customWidth="1"/>
    <col min="2284" max="2284" width="10" style="435" bestFit="1" customWidth="1"/>
    <col min="2285" max="2285" width="9.140625" style="435"/>
    <col min="2286" max="2286" width="9" style="435" customWidth="1"/>
    <col min="2287" max="2287" width="38.140625" style="435" bestFit="1" customWidth="1"/>
    <col min="2288" max="2288" width="13.140625" style="435" customWidth="1"/>
    <col min="2289" max="2289" width="9.28515625" style="435" bestFit="1" customWidth="1"/>
    <col min="2290" max="2290" width="6.42578125" style="435" bestFit="1" customWidth="1"/>
    <col min="2291" max="2536" width="9.140625" style="435"/>
    <col min="2537" max="2537" width="3.140625" style="435" customWidth="1"/>
    <col min="2538" max="2538" width="39.5703125" style="435" customWidth="1"/>
    <col min="2539" max="2539" width="12.85546875" style="435" customWidth="1"/>
    <col min="2540" max="2540" width="10" style="435" bestFit="1" customWidth="1"/>
    <col min="2541" max="2541" width="9.140625" style="435"/>
    <col min="2542" max="2542" width="9" style="435" customWidth="1"/>
    <col min="2543" max="2543" width="38.140625" style="435" bestFit="1" customWidth="1"/>
    <col min="2544" max="2544" width="13.140625" style="435" customWidth="1"/>
    <col min="2545" max="2545" width="9.28515625" style="435" bestFit="1" customWidth="1"/>
    <col min="2546" max="2546" width="6.42578125" style="435" bestFit="1" customWidth="1"/>
    <col min="2547" max="2792" width="9.140625" style="435"/>
    <col min="2793" max="2793" width="3.140625" style="435" customWidth="1"/>
    <col min="2794" max="2794" width="39.5703125" style="435" customWidth="1"/>
    <col min="2795" max="2795" width="12.85546875" style="435" customWidth="1"/>
    <col min="2796" max="2796" width="10" style="435" bestFit="1" customWidth="1"/>
    <col min="2797" max="2797" width="9.140625" style="435"/>
    <col min="2798" max="2798" width="9" style="435" customWidth="1"/>
    <col min="2799" max="2799" width="38.140625" style="435" bestFit="1" customWidth="1"/>
    <col min="2800" max="2800" width="13.140625" style="435" customWidth="1"/>
    <col min="2801" max="2801" width="9.28515625" style="435" bestFit="1" customWidth="1"/>
    <col min="2802" max="2802" width="6.42578125" style="435" bestFit="1" customWidth="1"/>
    <col min="2803" max="3048" width="9.140625" style="435"/>
    <col min="3049" max="3049" width="3.140625" style="435" customWidth="1"/>
    <col min="3050" max="3050" width="39.5703125" style="435" customWidth="1"/>
    <col min="3051" max="3051" width="12.85546875" style="435" customWidth="1"/>
    <col min="3052" max="3052" width="10" style="435" bestFit="1" customWidth="1"/>
    <col min="3053" max="3053" width="9.140625" style="435"/>
    <col min="3054" max="3054" width="9" style="435" customWidth="1"/>
    <col min="3055" max="3055" width="38.140625" style="435" bestFit="1" customWidth="1"/>
    <col min="3056" max="3056" width="13.140625" style="435" customWidth="1"/>
    <col min="3057" max="3057" width="9.28515625" style="435" bestFit="1" customWidth="1"/>
    <col min="3058" max="3058" width="6.42578125" style="435" bestFit="1" customWidth="1"/>
    <col min="3059" max="3304" width="9.140625" style="435"/>
    <col min="3305" max="3305" width="3.140625" style="435" customWidth="1"/>
    <col min="3306" max="3306" width="39.5703125" style="435" customWidth="1"/>
    <col min="3307" max="3307" width="12.85546875" style="435" customWidth="1"/>
    <col min="3308" max="3308" width="10" style="435" bestFit="1" customWidth="1"/>
    <col min="3309" max="3309" width="9.140625" style="435"/>
    <col min="3310" max="3310" width="9" style="435" customWidth="1"/>
    <col min="3311" max="3311" width="38.140625" style="435" bestFit="1" customWidth="1"/>
    <col min="3312" max="3312" width="13.140625" style="435" customWidth="1"/>
    <col min="3313" max="3313" width="9.28515625" style="435" bestFit="1" customWidth="1"/>
    <col min="3314" max="3314" width="6.42578125" style="435" bestFit="1" customWidth="1"/>
    <col min="3315" max="3560" width="9.140625" style="435"/>
    <col min="3561" max="3561" width="3.140625" style="435" customWidth="1"/>
    <col min="3562" max="3562" width="39.5703125" style="435" customWidth="1"/>
    <col min="3563" max="3563" width="12.85546875" style="435" customWidth="1"/>
    <col min="3564" max="3564" width="10" style="435" bestFit="1" customWidth="1"/>
    <col min="3565" max="3565" width="9.140625" style="435"/>
    <col min="3566" max="3566" width="9" style="435" customWidth="1"/>
    <col min="3567" max="3567" width="38.140625" style="435" bestFit="1" customWidth="1"/>
    <col min="3568" max="3568" width="13.140625" style="435" customWidth="1"/>
    <col min="3569" max="3569" width="9.28515625" style="435" bestFit="1" customWidth="1"/>
    <col min="3570" max="3570" width="6.42578125" style="435" bestFit="1" customWidth="1"/>
    <col min="3571" max="3816" width="9.140625" style="435"/>
    <col min="3817" max="3817" width="3.140625" style="435" customWidth="1"/>
    <col min="3818" max="3818" width="39.5703125" style="435" customWidth="1"/>
    <col min="3819" max="3819" width="12.85546875" style="435" customWidth="1"/>
    <col min="3820" max="3820" width="10" style="435" bestFit="1" customWidth="1"/>
    <col min="3821" max="3821" width="9.140625" style="435"/>
    <col min="3822" max="3822" width="9" style="435" customWidth="1"/>
    <col min="3823" max="3823" width="38.140625" style="435" bestFit="1" customWidth="1"/>
    <col min="3824" max="3824" width="13.140625" style="435" customWidth="1"/>
    <col min="3825" max="3825" width="9.28515625" style="435" bestFit="1" customWidth="1"/>
    <col min="3826" max="3826" width="6.42578125" style="435" bestFit="1" customWidth="1"/>
    <col min="3827" max="4072" width="9.140625" style="435"/>
    <col min="4073" max="4073" width="3.140625" style="435" customWidth="1"/>
    <col min="4074" max="4074" width="39.5703125" style="435" customWidth="1"/>
    <col min="4075" max="4075" width="12.85546875" style="435" customWidth="1"/>
    <col min="4076" max="4076" width="10" style="435" bestFit="1" customWidth="1"/>
    <col min="4077" max="4077" width="9.140625" style="435"/>
    <col min="4078" max="4078" width="9" style="435" customWidth="1"/>
    <col min="4079" max="4079" width="38.140625" style="435" bestFit="1" customWidth="1"/>
    <col min="4080" max="4080" width="13.140625" style="435" customWidth="1"/>
    <col min="4081" max="4081" width="9.28515625" style="435" bestFit="1" customWidth="1"/>
    <col min="4082" max="4082" width="6.42578125" style="435" bestFit="1" customWidth="1"/>
    <col min="4083" max="4328" width="9.140625" style="435"/>
    <col min="4329" max="4329" width="3.140625" style="435" customWidth="1"/>
    <col min="4330" max="4330" width="39.5703125" style="435" customWidth="1"/>
    <col min="4331" max="4331" width="12.85546875" style="435" customWidth="1"/>
    <col min="4332" max="4332" width="10" style="435" bestFit="1" customWidth="1"/>
    <col min="4333" max="4333" width="9.140625" style="435"/>
    <col min="4334" max="4334" width="9" style="435" customWidth="1"/>
    <col min="4335" max="4335" width="38.140625" style="435" bestFit="1" customWidth="1"/>
    <col min="4336" max="4336" width="13.140625" style="435" customWidth="1"/>
    <col min="4337" max="4337" width="9.28515625" style="435" bestFit="1" customWidth="1"/>
    <col min="4338" max="4338" width="6.42578125" style="435" bestFit="1" customWidth="1"/>
    <col min="4339" max="4584" width="9.140625" style="435"/>
    <col min="4585" max="4585" width="3.140625" style="435" customWidth="1"/>
    <col min="4586" max="4586" width="39.5703125" style="435" customWidth="1"/>
    <col min="4587" max="4587" width="12.85546875" style="435" customWidth="1"/>
    <col min="4588" max="4588" width="10" style="435" bestFit="1" customWidth="1"/>
    <col min="4589" max="4589" width="9.140625" style="435"/>
    <col min="4590" max="4590" width="9" style="435" customWidth="1"/>
    <col min="4591" max="4591" width="38.140625" style="435" bestFit="1" customWidth="1"/>
    <col min="4592" max="4592" width="13.140625" style="435" customWidth="1"/>
    <col min="4593" max="4593" width="9.28515625" style="435" bestFit="1" customWidth="1"/>
    <col min="4594" max="4594" width="6.42578125" style="435" bestFit="1" customWidth="1"/>
    <col min="4595" max="4840" width="9.140625" style="435"/>
    <col min="4841" max="4841" width="3.140625" style="435" customWidth="1"/>
    <col min="4842" max="4842" width="39.5703125" style="435" customWidth="1"/>
    <col min="4843" max="4843" width="12.85546875" style="435" customWidth="1"/>
    <col min="4844" max="4844" width="10" style="435" bestFit="1" customWidth="1"/>
    <col min="4845" max="4845" width="9.140625" style="435"/>
    <col min="4846" max="4846" width="9" style="435" customWidth="1"/>
    <col min="4847" max="4847" width="38.140625" style="435" bestFit="1" customWidth="1"/>
    <col min="4848" max="4848" width="13.140625" style="435" customWidth="1"/>
    <col min="4849" max="4849" width="9.28515625" style="435" bestFit="1" customWidth="1"/>
    <col min="4850" max="4850" width="6.42578125" style="435" bestFit="1" customWidth="1"/>
    <col min="4851" max="5096" width="9.140625" style="435"/>
    <col min="5097" max="5097" width="3.140625" style="435" customWidth="1"/>
    <col min="5098" max="5098" width="39.5703125" style="435" customWidth="1"/>
    <col min="5099" max="5099" width="12.85546875" style="435" customWidth="1"/>
    <col min="5100" max="5100" width="10" style="435" bestFit="1" customWidth="1"/>
    <col min="5101" max="5101" width="9.140625" style="435"/>
    <col min="5102" max="5102" width="9" style="435" customWidth="1"/>
    <col min="5103" max="5103" width="38.140625" style="435" bestFit="1" customWidth="1"/>
    <col min="5104" max="5104" width="13.140625" style="435" customWidth="1"/>
    <col min="5105" max="5105" width="9.28515625" style="435" bestFit="1" customWidth="1"/>
    <col min="5106" max="5106" width="6.42578125" style="435" bestFit="1" customWidth="1"/>
    <col min="5107" max="5352" width="9.140625" style="435"/>
    <col min="5353" max="5353" width="3.140625" style="435" customWidth="1"/>
    <col min="5354" max="5354" width="39.5703125" style="435" customWidth="1"/>
    <col min="5355" max="5355" width="12.85546875" style="435" customWidth="1"/>
    <col min="5356" max="5356" width="10" style="435" bestFit="1" customWidth="1"/>
    <col min="5357" max="5357" width="9.140625" style="435"/>
    <col min="5358" max="5358" width="9" style="435" customWidth="1"/>
    <col min="5359" max="5359" width="38.140625" style="435" bestFit="1" customWidth="1"/>
    <col min="5360" max="5360" width="13.140625" style="435" customWidth="1"/>
    <col min="5361" max="5361" width="9.28515625" style="435" bestFit="1" customWidth="1"/>
    <col min="5362" max="5362" width="6.42578125" style="435" bestFit="1" customWidth="1"/>
    <col min="5363" max="5608" width="9.140625" style="435"/>
    <col min="5609" max="5609" width="3.140625" style="435" customWidth="1"/>
    <col min="5610" max="5610" width="39.5703125" style="435" customWidth="1"/>
    <col min="5611" max="5611" width="12.85546875" style="435" customWidth="1"/>
    <col min="5612" max="5612" width="10" style="435" bestFit="1" customWidth="1"/>
    <col min="5613" max="5613" width="9.140625" style="435"/>
    <col min="5614" max="5614" width="9" style="435" customWidth="1"/>
    <col min="5615" max="5615" width="38.140625" style="435" bestFit="1" customWidth="1"/>
    <col min="5616" max="5616" width="13.140625" style="435" customWidth="1"/>
    <col min="5617" max="5617" width="9.28515625" style="435" bestFit="1" customWidth="1"/>
    <col min="5618" max="5618" width="6.42578125" style="435" bestFit="1" customWidth="1"/>
    <col min="5619" max="5864" width="9.140625" style="435"/>
    <col min="5865" max="5865" width="3.140625" style="435" customWidth="1"/>
    <col min="5866" max="5866" width="39.5703125" style="435" customWidth="1"/>
    <col min="5867" max="5867" width="12.85546875" style="435" customWidth="1"/>
    <col min="5868" max="5868" width="10" style="435" bestFit="1" customWidth="1"/>
    <col min="5869" max="5869" width="9.140625" style="435"/>
    <col min="5870" max="5870" width="9" style="435" customWidth="1"/>
    <col min="5871" max="5871" width="38.140625" style="435" bestFit="1" customWidth="1"/>
    <col min="5872" max="5872" width="13.140625" style="435" customWidth="1"/>
    <col min="5873" max="5873" width="9.28515625" style="435" bestFit="1" customWidth="1"/>
    <col min="5874" max="5874" width="6.42578125" style="435" bestFit="1" customWidth="1"/>
    <col min="5875" max="6120" width="9.140625" style="435"/>
    <col min="6121" max="6121" width="3.140625" style="435" customWidth="1"/>
    <col min="6122" max="6122" width="39.5703125" style="435" customWidth="1"/>
    <col min="6123" max="6123" width="12.85546875" style="435" customWidth="1"/>
    <col min="6124" max="6124" width="10" style="435" bestFit="1" customWidth="1"/>
    <col min="6125" max="6125" width="9.140625" style="435"/>
    <col min="6126" max="6126" width="9" style="435" customWidth="1"/>
    <col min="6127" max="6127" width="38.140625" style="435" bestFit="1" customWidth="1"/>
    <col min="6128" max="6128" width="13.140625" style="435" customWidth="1"/>
    <col min="6129" max="6129" width="9.28515625" style="435" bestFit="1" customWidth="1"/>
    <col min="6130" max="6130" width="6.42578125" style="435" bestFit="1" customWidth="1"/>
    <col min="6131" max="6376" width="9.140625" style="435"/>
    <col min="6377" max="6377" width="3.140625" style="435" customWidth="1"/>
    <col min="6378" max="6378" width="39.5703125" style="435" customWidth="1"/>
    <col min="6379" max="6379" width="12.85546875" style="435" customWidth="1"/>
    <col min="6380" max="6380" width="10" style="435" bestFit="1" customWidth="1"/>
    <col min="6381" max="6381" width="9.140625" style="435"/>
    <col min="6382" max="6382" width="9" style="435" customWidth="1"/>
    <col min="6383" max="6383" width="38.140625" style="435" bestFit="1" customWidth="1"/>
    <col min="6384" max="6384" width="13.140625" style="435" customWidth="1"/>
    <col min="6385" max="6385" width="9.28515625" style="435" bestFit="1" customWidth="1"/>
    <col min="6386" max="6386" width="6.42578125" style="435" bestFit="1" customWidth="1"/>
    <col min="6387" max="6632" width="9.140625" style="435"/>
    <col min="6633" max="6633" width="3.140625" style="435" customWidth="1"/>
    <col min="6634" max="6634" width="39.5703125" style="435" customWidth="1"/>
    <col min="6635" max="6635" width="12.85546875" style="435" customWidth="1"/>
    <col min="6636" max="6636" width="10" style="435" bestFit="1" customWidth="1"/>
    <col min="6637" max="6637" width="9.140625" style="435"/>
    <col min="6638" max="6638" width="9" style="435" customWidth="1"/>
    <col min="6639" max="6639" width="38.140625" style="435" bestFit="1" customWidth="1"/>
    <col min="6640" max="6640" width="13.140625" style="435" customWidth="1"/>
    <col min="6641" max="6641" width="9.28515625" style="435" bestFit="1" customWidth="1"/>
    <col min="6642" max="6642" width="6.42578125" style="435" bestFit="1" customWidth="1"/>
    <col min="6643" max="6888" width="9.140625" style="435"/>
    <col min="6889" max="6889" width="3.140625" style="435" customWidth="1"/>
    <col min="6890" max="6890" width="39.5703125" style="435" customWidth="1"/>
    <col min="6891" max="6891" width="12.85546875" style="435" customWidth="1"/>
    <col min="6892" max="6892" width="10" style="435" bestFit="1" customWidth="1"/>
    <col min="6893" max="6893" width="9.140625" style="435"/>
    <col min="6894" max="6894" width="9" style="435" customWidth="1"/>
    <col min="6895" max="6895" width="38.140625" style="435" bestFit="1" customWidth="1"/>
    <col min="6896" max="6896" width="13.140625" style="435" customWidth="1"/>
    <col min="6897" max="6897" width="9.28515625" style="435" bestFit="1" customWidth="1"/>
    <col min="6898" max="6898" width="6.42578125" style="435" bestFit="1" customWidth="1"/>
    <col min="6899" max="7144" width="9.140625" style="435"/>
    <col min="7145" max="7145" width="3.140625" style="435" customWidth="1"/>
    <col min="7146" max="7146" width="39.5703125" style="435" customWidth="1"/>
    <col min="7147" max="7147" width="12.85546875" style="435" customWidth="1"/>
    <col min="7148" max="7148" width="10" style="435" bestFit="1" customWidth="1"/>
    <col min="7149" max="7149" width="9.140625" style="435"/>
    <col min="7150" max="7150" width="9" style="435" customWidth="1"/>
    <col min="7151" max="7151" width="38.140625" style="435" bestFit="1" customWidth="1"/>
    <col min="7152" max="7152" width="13.140625" style="435" customWidth="1"/>
    <col min="7153" max="7153" width="9.28515625" style="435" bestFit="1" customWidth="1"/>
    <col min="7154" max="7154" width="6.42578125" style="435" bestFit="1" customWidth="1"/>
    <col min="7155" max="7400" width="9.140625" style="435"/>
    <col min="7401" max="7401" width="3.140625" style="435" customWidth="1"/>
    <col min="7402" max="7402" width="39.5703125" style="435" customWidth="1"/>
    <col min="7403" max="7403" width="12.85546875" style="435" customWidth="1"/>
    <col min="7404" max="7404" width="10" style="435" bestFit="1" customWidth="1"/>
    <col min="7405" max="7405" width="9.140625" style="435"/>
    <col min="7406" max="7406" width="9" style="435" customWidth="1"/>
    <col min="7407" max="7407" width="38.140625" style="435" bestFit="1" customWidth="1"/>
    <col min="7408" max="7408" width="13.140625" style="435" customWidth="1"/>
    <col min="7409" max="7409" width="9.28515625" style="435" bestFit="1" customWidth="1"/>
    <col min="7410" max="7410" width="6.42578125" style="435" bestFit="1" customWidth="1"/>
    <col min="7411" max="7656" width="9.140625" style="435"/>
    <col min="7657" max="7657" width="3.140625" style="435" customWidth="1"/>
    <col min="7658" max="7658" width="39.5703125" style="435" customWidth="1"/>
    <col min="7659" max="7659" width="12.85546875" style="435" customWidth="1"/>
    <col min="7660" max="7660" width="10" style="435" bestFit="1" customWidth="1"/>
    <col min="7661" max="7661" width="9.140625" style="435"/>
    <col min="7662" max="7662" width="9" style="435" customWidth="1"/>
    <col min="7663" max="7663" width="38.140625" style="435" bestFit="1" customWidth="1"/>
    <col min="7664" max="7664" width="13.140625" style="435" customWidth="1"/>
    <col min="7665" max="7665" width="9.28515625" style="435" bestFit="1" customWidth="1"/>
    <col min="7666" max="7666" width="6.42578125" style="435" bestFit="1" customWidth="1"/>
    <col min="7667" max="7912" width="9.140625" style="435"/>
    <col min="7913" max="7913" width="3.140625" style="435" customWidth="1"/>
    <col min="7914" max="7914" width="39.5703125" style="435" customWidth="1"/>
    <col min="7915" max="7915" width="12.85546875" style="435" customWidth="1"/>
    <col min="7916" max="7916" width="10" style="435" bestFit="1" customWidth="1"/>
    <col min="7917" max="7917" width="9.140625" style="435"/>
    <col min="7918" max="7918" width="9" style="435" customWidth="1"/>
    <col min="7919" max="7919" width="38.140625" style="435" bestFit="1" customWidth="1"/>
    <col min="7920" max="7920" width="13.140625" style="435" customWidth="1"/>
    <col min="7921" max="7921" width="9.28515625" style="435" bestFit="1" customWidth="1"/>
    <col min="7922" max="7922" width="6.42578125" style="435" bestFit="1" customWidth="1"/>
    <col min="7923" max="8168" width="9.140625" style="435"/>
    <col min="8169" max="8169" width="3.140625" style="435" customWidth="1"/>
    <col min="8170" max="8170" width="39.5703125" style="435" customWidth="1"/>
    <col min="8171" max="8171" width="12.85546875" style="435" customWidth="1"/>
    <col min="8172" max="8172" width="10" style="435" bestFit="1" customWidth="1"/>
    <col min="8173" max="8173" width="9.140625" style="435"/>
    <col min="8174" max="8174" width="9" style="435" customWidth="1"/>
    <col min="8175" max="8175" width="38.140625" style="435" bestFit="1" customWidth="1"/>
    <col min="8176" max="8176" width="13.140625" style="435" customWidth="1"/>
    <col min="8177" max="8177" width="9.28515625" style="435" bestFit="1" customWidth="1"/>
    <col min="8178" max="8178" width="6.42578125" style="435" bestFit="1" customWidth="1"/>
    <col min="8179" max="8424" width="9.140625" style="435"/>
    <col min="8425" max="8425" width="3.140625" style="435" customWidth="1"/>
    <col min="8426" max="8426" width="39.5703125" style="435" customWidth="1"/>
    <col min="8427" max="8427" width="12.85546875" style="435" customWidth="1"/>
    <col min="8428" max="8428" width="10" style="435" bestFit="1" customWidth="1"/>
    <col min="8429" max="8429" width="9.140625" style="435"/>
    <col min="8430" max="8430" width="9" style="435" customWidth="1"/>
    <col min="8431" max="8431" width="38.140625" style="435" bestFit="1" customWidth="1"/>
    <col min="8432" max="8432" width="13.140625" style="435" customWidth="1"/>
    <col min="8433" max="8433" width="9.28515625" style="435" bestFit="1" customWidth="1"/>
    <col min="8434" max="8434" width="6.42578125" style="435" bestFit="1" customWidth="1"/>
    <col min="8435" max="8680" width="9.140625" style="435"/>
    <col min="8681" max="8681" width="3.140625" style="435" customWidth="1"/>
    <col min="8682" max="8682" width="39.5703125" style="435" customWidth="1"/>
    <col min="8683" max="8683" width="12.85546875" style="435" customWidth="1"/>
    <col min="8684" max="8684" width="10" style="435" bestFit="1" customWidth="1"/>
    <col min="8685" max="8685" width="9.140625" style="435"/>
    <col min="8686" max="8686" width="9" style="435" customWidth="1"/>
    <col min="8687" max="8687" width="38.140625" style="435" bestFit="1" customWidth="1"/>
    <col min="8688" max="8688" width="13.140625" style="435" customWidth="1"/>
    <col min="8689" max="8689" width="9.28515625" style="435" bestFit="1" customWidth="1"/>
    <col min="8690" max="8690" width="6.42578125" style="435" bestFit="1" customWidth="1"/>
    <col min="8691" max="8936" width="9.140625" style="435"/>
    <col min="8937" max="8937" width="3.140625" style="435" customWidth="1"/>
    <col min="8938" max="8938" width="39.5703125" style="435" customWidth="1"/>
    <col min="8939" max="8939" width="12.85546875" style="435" customWidth="1"/>
    <col min="8940" max="8940" width="10" style="435" bestFit="1" customWidth="1"/>
    <col min="8941" max="8941" width="9.140625" style="435"/>
    <col min="8942" max="8942" width="9" style="435" customWidth="1"/>
    <col min="8943" max="8943" width="38.140625" style="435" bestFit="1" customWidth="1"/>
    <col min="8944" max="8944" width="13.140625" style="435" customWidth="1"/>
    <col min="8945" max="8945" width="9.28515625" style="435" bestFit="1" customWidth="1"/>
    <col min="8946" max="8946" width="6.42578125" style="435" bestFit="1" customWidth="1"/>
    <col min="8947" max="9192" width="9.140625" style="435"/>
    <col min="9193" max="9193" width="3.140625" style="435" customWidth="1"/>
    <col min="9194" max="9194" width="39.5703125" style="435" customWidth="1"/>
    <col min="9195" max="9195" width="12.85546875" style="435" customWidth="1"/>
    <col min="9196" max="9196" width="10" style="435" bestFit="1" customWidth="1"/>
    <col min="9197" max="9197" width="9.140625" style="435"/>
    <col min="9198" max="9198" width="9" style="435" customWidth="1"/>
    <col min="9199" max="9199" width="38.140625" style="435" bestFit="1" customWidth="1"/>
    <col min="9200" max="9200" width="13.140625" style="435" customWidth="1"/>
    <col min="9201" max="9201" width="9.28515625" style="435" bestFit="1" customWidth="1"/>
    <col min="9202" max="9202" width="6.42578125" style="435" bestFit="1" customWidth="1"/>
    <col min="9203" max="9448" width="9.140625" style="435"/>
    <col min="9449" max="9449" width="3.140625" style="435" customWidth="1"/>
    <col min="9450" max="9450" width="39.5703125" style="435" customWidth="1"/>
    <col min="9451" max="9451" width="12.85546875" style="435" customWidth="1"/>
    <col min="9452" max="9452" width="10" style="435" bestFit="1" customWidth="1"/>
    <col min="9453" max="9453" width="9.140625" style="435"/>
    <col min="9454" max="9454" width="9" style="435" customWidth="1"/>
    <col min="9455" max="9455" width="38.140625" style="435" bestFit="1" customWidth="1"/>
    <col min="9456" max="9456" width="13.140625" style="435" customWidth="1"/>
    <col min="9457" max="9457" width="9.28515625" style="435" bestFit="1" customWidth="1"/>
    <col min="9458" max="9458" width="6.42578125" style="435" bestFit="1" customWidth="1"/>
    <col min="9459" max="9704" width="9.140625" style="435"/>
    <col min="9705" max="9705" width="3.140625" style="435" customWidth="1"/>
    <col min="9706" max="9706" width="39.5703125" style="435" customWidth="1"/>
    <col min="9707" max="9707" width="12.85546875" style="435" customWidth="1"/>
    <col min="9708" max="9708" width="10" style="435" bestFit="1" customWidth="1"/>
    <col min="9709" max="9709" width="9.140625" style="435"/>
    <col min="9710" max="9710" width="9" style="435" customWidth="1"/>
    <col min="9711" max="9711" width="38.140625" style="435" bestFit="1" customWidth="1"/>
    <col min="9712" max="9712" width="13.140625" style="435" customWidth="1"/>
    <col min="9713" max="9713" width="9.28515625" style="435" bestFit="1" customWidth="1"/>
    <col min="9714" max="9714" width="6.42578125" style="435" bestFit="1" customWidth="1"/>
    <col min="9715" max="9960" width="9.140625" style="435"/>
    <col min="9961" max="9961" width="3.140625" style="435" customWidth="1"/>
    <col min="9962" max="9962" width="39.5703125" style="435" customWidth="1"/>
    <col min="9963" max="9963" width="12.85546875" style="435" customWidth="1"/>
    <col min="9964" max="9964" width="10" style="435" bestFit="1" customWidth="1"/>
    <col min="9965" max="9965" width="9.140625" style="435"/>
    <col min="9966" max="9966" width="9" style="435" customWidth="1"/>
    <col min="9967" max="9967" width="38.140625" style="435" bestFit="1" customWidth="1"/>
    <col min="9968" max="9968" width="13.140625" style="435" customWidth="1"/>
    <col min="9969" max="9969" width="9.28515625" style="435" bestFit="1" customWidth="1"/>
    <col min="9970" max="9970" width="6.42578125" style="435" bestFit="1" customWidth="1"/>
    <col min="9971" max="10216" width="9.140625" style="435"/>
    <col min="10217" max="10217" width="3.140625" style="435" customWidth="1"/>
    <col min="10218" max="10218" width="39.5703125" style="435" customWidth="1"/>
    <col min="10219" max="10219" width="12.85546875" style="435" customWidth="1"/>
    <col min="10220" max="10220" width="10" style="435" bestFit="1" customWidth="1"/>
    <col min="10221" max="10221" width="9.140625" style="435"/>
    <col min="10222" max="10222" width="9" style="435" customWidth="1"/>
    <col min="10223" max="10223" width="38.140625" style="435" bestFit="1" customWidth="1"/>
    <col min="10224" max="10224" width="13.140625" style="435" customWidth="1"/>
    <col min="10225" max="10225" width="9.28515625" style="435" bestFit="1" customWidth="1"/>
    <col min="10226" max="10226" width="6.42578125" style="435" bestFit="1" customWidth="1"/>
    <col min="10227" max="10472" width="9.140625" style="435"/>
    <col min="10473" max="10473" width="3.140625" style="435" customWidth="1"/>
    <col min="10474" max="10474" width="39.5703125" style="435" customWidth="1"/>
    <col min="10475" max="10475" width="12.85546875" style="435" customWidth="1"/>
    <col min="10476" max="10476" width="10" style="435" bestFit="1" customWidth="1"/>
    <col min="10477" max="10477" width="9.140625" style="435"/>
    <col min="10478" max="10478" width="9" style="435" customWidth="1"/>
    <col min="10479" max="10479" width="38.140625" style="435" bestFit="1" customWidth="1"/>
    <col min="10480" max="10480" width="13.140625" style="435" customWidth="1"/>
    <col min="10481" max="10481" width="9.28515625" style="435" bestFit="1" customWidth="1"/>
    <col min="10482" max="10482" width="6.42578125" style="435" bestFit="1" customWidth="1"/>
    <col min="10483" max="10728" width="9.140625" style="435"/>
    <col min="10729" max="10729" width="3.140625" style="435" customWidth="1"/>
    <col min="10730" max="10730" width="39.5703125" style="435" customWidth="1"/>
    <col min="10731" max="10731" width="12.85546875" style="435" customWidth="1"/>
    <col min="10732" max="10732" width="10" style="435" bestFit="1" customWidth="1"/>
    <col min="10733" max="10733" width="9.140625" style="435"/>
    <col min="10734" max="10734" width="9" style="435" customWidth="1"/>
    <col min="10735" max="10735" width="38.140625" style="435" bestFit="1" customWidth="1"/>
    <col min="10736" max="10736" width="13.140625" style="435" customWidth="1"/>
    <col min="10737" max="10737" width="9.28515625" style="435" bestFit="1" customWidth="1"/>
    <col min="10738" max="10738" width="6.42578125" style="435" bestFit="1" customWidth="1"/>
    <col min="10739" max="10984" width="9.140625" style="435"/>
    <col min="10985" max="10985" width="3.140625" style="435" customWidth="1"/>
    <col min="10986" max="10986" width="39.5703125" style="435" customWidth="1"/>
    <col min="10987" max="10987" width="12.85546875" style="435" customWidth="1"/>
    <col min="10988" max="10988" width="10" style="435" bestFit="1" customWidth="1"/>
    <col min="10989" max="10989" width="9.140625" style="435"/>
    <col min="10990" max="10990" width="9" style="435" customWidth="1"/>
    <col min="10991" max="10991" width="38.140625" style="435" bestFit="1" customWidth="1"/>
    <col min="10992" max="10992" width="13.140625" style="435" customWidth="1"/>
    <col min="10993" max="10993" width="9.28515625" style="435" bestFit="1" customWidth="1"/>
    <col min="10994" max="10994" width="6.42578125" style="435" bestFit="1" customWidth="1"/>
    <col min="10995" max="11240" width="9.140625" style="435"/>
    <col min="11241" max="11241" width="3.140625" style="435" customWidth="1"/>
    <col min="11242" max="11242" width="39.5703125" style="435" customWidth="1"/>
    <col min="11243" max="11243" width="12.85546875" style="435" customWidth="1"/>
    <col min="11244" max="11244" width="10" style="435" bestFit="1" customWidth="1"/>
    <col min="11245" max="11245" width="9.140625" style="435"/>
    <col min="11246" max="11246" width="9" style="435" customWidth="1"/>
    <col min="11247" max="11247" width="38.140625" style="435" bestFit="1" customWidth="1"/>
    <col min="11248" max="11248" width="13.140625" style="435" customWidth="1"/>
    <col min="11249" max="11249" width="9.28515625" style="435" bestFit="1" customWidth="1"/>
    <col min="11250" max="11250" width="6.42578125" style="435" bestFit="1" customWidth="1"/>
    <col min="11251" max="11496" width="9.140625" style="435"/>
    <col min="11497" max="11497" width="3.140625" style="435" customWidth="1"/>
    <col min="11498" max="11498" width="39.5703125" style="435" customWidth="1"/>
    <col min="11499" max="11499" width="12.85546875" style="435" customWidth="1"/>
    <col min="11500" max="11500" width="10" style="435" bestFit="1" customWidth="1"/>
    <col min="11501" max="11501" width="9.140625" style="435"/>
    <col min="11502" max="11502" width="9" style="435" customWidth="1"/>
    <col min="11503" max="11503" width="38.140625" style="435" bestFit="1" customWidth="1"/>
    <col min="11504" max="11504" width="13.140625" style="435" customWidth="1"/>
    <col min="11505" max="11505" width="9.28515625" style="435" bestFit="1" customWidth="1"/>
    <col min="11506" max="11506" width="6.42578125" style="435" bestFit="1" customWidth="1"/>
    <col min="11507" max="11752" width="9.140625" style="435"/>
    <col min="11753" max="11753" width="3.140625" style="435" customWidth="1"/>
    <col min="11754" max="11754" width="39.5703125" style="435" customWidth="1"/>
    <col min="11755" max="11755" width="12.85546875" style="435" customWidth="1"/>
    <col min="11756" max="11756" width="10" style="435" bestFit="1" customWidth="1"/>
    <col min="11757" max="11757" width="9.140625" style="435"/>
    <col min="11758" max="11758" width="9" style="435" customWidth="1"/>
    <col min="11759" max="11759" width="38.140625" style="435" bestFit="1" customWidth="1"/>
    <col min="11760" max="11760" width="13.140625" style="435" customWidth="1"/>
    <col min="11761" max="11761" width="9.28515625" style="435" bestFit="1" customWidth="1"/>
    <col min="11762" max="11762" width="6.42578125" style="435" bestFit="1" customWidth="1"/>
    <col min="11763" max="12008" width="9.140625" style="435"/>
    <col min="12009" max="12009" width="3.140625" style="435" customWidth="1"/>
    <col min="12010" max="12010" width="39.5703125" style="435" customWidth="1"/>
    <col min="12011" max="12011" width="12.85546875" style="435" customWidth="1"/>
    <col min="12012" max="12012" width="10" style="435" bestFit="1" customWidth="1"/>
    <col min="12013" max="12013" width="9.140625" style="435"/>
    <col min="12014" max="12014" width="9" style="435" customWidth="1"/>
    <col min="12015" max="12015" width="38.140625" style="435" bestFit="1" customWidth="1"/>
    <col min="12016" max="12016" width="13.140625" style="435" customWidth="1"/>
    <col min="12017" max="12017" width="9.28515625" style="435" bestFit="1" customWidth="1"/>
    <col min="12018" max="12018" width="6.42578125" style="435" bestFit="1" customWidth="1"/>
    <col min="12019" max="12264" width="9.140625" style="435"/>
    <col min="12265" max="12265" width="3.140625" style="435" customWidth="1"/>
    <col min="12266" max="12266" width="39.5703125" style="435" customWidth="1"/>
    <col min="12267" max="12267" width="12.85546875" style="435" customWidth="1"/>
    <col min="12268" max="12268" width="10" style="435" bestFit="1" customWidth="1"/>
    <col min="12269" max="12269" width="9.140625" style="435"/>
    <col min="12270" max="12270" width="9" style="435" customWidth="1"/>
    <col min="12271" max="12271" width="38.140625" style="435" bestFit="1" customWidth="1"/>
    <col min="12272" max="12272" width="13.140625" style="435" customWidth="1"/>
    <col min="12273" max="12273" width="9.28515625" style="435" bestFit="1" customWidth="1"/>
    <col min="12274" max="12274" width="6.42578125" style="435" bestFit="1" customWidth="1"/>
    <col min="12275" max="12520" width="9.140625" style="435"/>
    <col min="12521" max="12521" width="3.140625" style="435" customWidth="1"/>
    <col min="12522" max="12522" width="39.5703125" style="435" customWidth="1"/>
    <col min="12523" max="12523" width="12.85546875" style="435" customWidth="1"/>
    <col min="12524" max="12524" width="10" style="435" bestFit="1" customWidth="1"/>
    <col min="12525" max="12525" width="9.140625" style="435"/>
    <col min="12526" max="12526" width="9" style="435" customWidth="1"/>
    <col min="12527" max="12527" width="38.140625" style="435" bestFit="1" customWidth="1"/>
    <col min="12528" max="12528" width="13.140625" style="435" customWidth="1"/>
    <col min="12529" max="12529" width="9.28515625" style="435" bestFit="1" customWidth="1"/>
    <col min="12530" max="12530" width="6.42578125" style="435" bestFit="1" customWidth="1"/>
    <col min="12531" max="12776" width="9.140625" style="435"/>
    <col min="12777" max="12777" width="3.140625" style="435" customWidth="1"/>
    <col min="12778" max="12778" width="39.5703125" style="435" customWidth="1"/>
    <col min="12779" max="12779" width="12.85546875" style="435" customWidth="1"/>
    <col min="12780" max="12780" width="10" style="435" bestFit="1" customWidth="1"/>
    <col min="12781" max="12781" width="9.140625" style="435"/>
    <col min="12782" max="12782" width="9" style="435" customWidth="1"/>
    <col min="12783" max="12783" width="38.140625" style="435" bestFit="1" customWidth="1"/>
    <col min="12784" max="12784" width="13.140625" style="435" customWidth="1"/>
    <col min="12785" max="12785" width="9.28515625" style="435" bestFit="1" customWidth="1"/>
    <col min="12786" max="12786" width="6.42578125" style="435" bestFit="1" customWidth="1"/>
    <col min="12787" max="13032" width="9.140625" style="435"/>
    <col min="13033" max="13033" width="3.140625" style="435" customWidth="1"/>
    <col min="13034" max="13034" width="39.5703125" style="435" customWidth="1"/>
    <col min="13035" max="13035" width="12.85546875" style="435" customWidth="1"/>
    <col min="13036" max="13036" width="10" style="435" bestFit="1" customWidth="1"/>
    <col min="13037" max="13037" width="9.140625" style="435"/>
    <col min="13038" max="13038" width="9" style="435" customWidth="1"/>
    <col min="13039" max="13039" width="38.140625" style="435" bestFit="1" customWidth="1"/>
    <col min="13040" max="13040" width="13.140625" style="435" customWidth="1"/>
    <col min="13041" max="13041" width="9.28515625" style="435" bestFit="1" customWidth="1"/>
    <col min="13042" max="13042" width="6.42578125" style="435" bestFit="1" customWidth="1"/>
    <col min="13043" max="13288" width="9.140625" style="435"/>
    <col min="13289" max="13289" width="3.140625" style="435" customWidth="1"/>
    <col min="13290" max="13290" width="39.5703125" style="435" customWidth="1"/>
    <col min="13291" max="13291" width="12.85546875" style="435" customWidth="1"/>
    <col min="13292" max="13292" width="10" style="435" bestFit="1" customWidth="1"/>
    <col min="13293" max="13293" width="9.140625" style="435"/>
    <col min="13294" max="13294" width="9" style="435" customWidth="1"/>
    <col min="13295" max="13295" width="38.140625" style="435" bestFit="1" customWidth="1"/>
    <col min="13296" max="13296" width="13.140625" style="435" customWidth="1"/>
    <col min="13297" max="13297" width="9.28515625" style="435" bestFit="1" customWidth="1"/>
    <col min="13298" max="13298" width="6.42578125" style="435" bestFit="1" customWidth="1"/>
    <col min="13299" max="13544" width="9.140625" style="435"/>
    <col min="13545" max="13545" width="3.140625" style="435" customWidth="1"/>
    <col min="13546" max="13546" width="39.5703125" style="435" customWidth="1"/>
    <col min="13547" max="13547" width="12.85546875" style="435" customWidth="1"/>
    <col min="13548" max="13548" width="10" style="435" bestFit="1" customWidth="1"/>
    <col min="13549" max="13549" width="9.140625" style="435"/>
    <col min="13550" max="13550" width="9" style="435" customWidth="1"/>
    <col min="13551" max="13551" width="38.140625" style="435" bestFit="1" customWidth="1"/>
    <col min="13552" max="13552" width="13.140625" style="435" customWidth="1"/>
    <col min="13553" max="13553" width="9.28515625" style="435" bestFit="1" customWidth="1"/>
    <col min="13554" max="13554" width="6.42578125" style="435" bestFit="1" customWidth="1"/>
    <col min="13555" max="13800" width="9.140625" style="435"/>
    <col min="13801" max="13801" width="3.140625" style="435" customWidth="1"/>
    <col min="13802" max="13802" width="39.5703125" style="435" customWidth="1"/>
    <col min="13803" max="13803" width="12.85546875" style="435" customWidth="1"/>
    <col min="13804" max="13804" width="10" style="435" bestFit="1" customWidth="1"/>
    <col min="13805" max="13805" width="9.140625" style="435"/>
    <col min="13806" max="13806" width="9" style="435" customWidth="1"/>
    <col min="13807" max="13807" width="38.140625" style="435" bestFit="1" customWidth="1"/>
    <col min="13808" max="13808" width="13.140625" style="435" customWidth="1"/>
    <col min="13809" max="13809" width="9.28515625" style="435" bestFit="1" customWidth="1"/>
    <col min="13810" max="13810" width="6.42578125" style="435" bestFit="1" customWidth="1"/>
    <col min="13811" max="14056" width="9.140625" style="435"/>
    <col min="14057" max="14057" width="3.140625" style="435" customWidth="1"/>
    <col min="14058" max="14058" width="39.5703125" style="435" customWidth="1"/>
    <col min="14059" max="14059" width="12.85546875" style="435" customWidth="1"/>
    <col min="14060" max="14060" width="10" style="435" bestFit="1" customWidth="1"/>
    <col min="14061" max="14061" width="9.140625" style="435"/>
    <col min="14062" max="14062" width="9" style="435" customWidth="1"/>
    <col min="14063" max="14063" width="38.140625" style="435" bestFit="1" customWidth="1"/>
    <col min="14064" max="14064" width="13.140625" style="435" customWidth="1"/>
    <col min="14065" max="14065" width="9.28515625" style="435" bestFit="1" customWidth="1"/>
    <col min="14066" max="14066" width="6.42578125" style="435" bestFit="1" customWidth="1"/>
    <col min="14067" max="14312" width="9.140625" style="435"/>
    <col min="14313" max="14313" width="3.140625" style="435" customWidth="1"/>
    <col min="14314" max="14314" width="39.5703125" style="435" customWidth="1"/>
    <col min="14315" max="14315" width="12.85546875" style="435" customWidth="1"/>
    <col min="14316" max="14316" width="10" style="435" bestFit="1" customWidth="1"/>
    <col min="14317" max="14317" width="9.140625" style="435"/>
    <col min="14318" max="14318" width="9" style="435" customWidth="1"/>
    <col min="14319" max="14319" width="38.140625" style="435" bestFit="1" customWidth="1"/>
    <col min="14320" max="14320" width="13.140625" style="435" customWidth="1"/>
    <col min="14321" max="14321" width="9.28515625" style="435" bestFit="1" customWidth="1"/>
    <col min="14322" max="14322" width="6.42578125" style="435" bestFit="1" customWidth="1"/>
    <col min="14323" max="14568" width="9.140625" style="435"/>
    <col min="14569" max="14569" width="3.140625" style="435" customWidth="1"/>
    <col min="14570" max="14570" width="39.5703125" style="435" customWidth="1"/>
    <col min="14571" max="14571" width="12.85546875" style="435" customWidth="1"/>
    <col min="14572" max="14572" width="10" style="435" bestFit="1" customWidth="1"/>
    <col min="14573" max="14573" width="9.140625" style="435"/>
    <col min="14574" max="14574" width="9" style="435" customWidth="1"/>
    <col min="14575" max="14575" width="38.140625" style="435" bestFit="1" customWidth="1"/>
    <col min="14576" max="14576" width="13.140625" style="435" customWidth="1"/>
    <col min="14577" max="14577" width="9.28515625" style="435" bestFit="1" customWidth="1"/>
    <col min="14578" max="14578" width="6.42578125" style="435" bestFit="1" customWidth="1"/>
    <col min="14579" max="14824" width="9.140625" style="435"/>
    <col min="14825" max="14825" width="3.140625" style="435" customWidth="1"/>
    <col min="14826" max="14826" width="39.5703125" style="435" customWidth="1"/>
    <col min="14827" max="14827" width="12.85546875" style="435" customWidth="1"/>
    <col min="14828" max="14828" width="10" style="435" bestFit="1" customWidth="1"/>
    <col min="14829" max="14829" width="9.140625" style="435"/>
    <col min="14830" max="14830" width="9" style="435" customWidth="1"/>
    <col min="14831" max="14831" width="38.140625" style="435" bestFit="1" customWidth="1"/>
    <col min="14832" max="14832" width="13.140625" style="435" customWidth="1"/>
    <col min="14833" max="14833" width="9.28515625" style="435" bestFit="1" customWidth="1"/>
    <col min="14834" max="14834" width="6.42578125" style="435" bestFit="1" customWidth="1"/>
    <col min="14835" max="15080" width="9.140625" style="435"/>
    <col min="15081" max="15081" width="3.140625" style="435" customWidth="1"/>
    <col min="15082" max="15082" width="39.5703125" style="435" customWidth="1"/>
    <col min="15083" max="15083" width="12.85546875" style="435" customWidth="1"/>
    <col min="15084" max="15084" width="10" style="435" bestFit="1" customWidth="1"/>
    <col min="15085" max="15085" width="9.140625" style="435"/>
    <col min="15086" max="15086" width="9" style="435" customWidth="1"/>
    <col min="15087" max="15087" width="38.140625" style="435" bestFit="1" customWidth="1"/>
    <col min="15088" max="15088" width="13.140625" style="435" customWidth="1"/>
    <col min="15089" max="15089" width="9.28515625" style="435" bestFit="1" customWidth="1"/>
    <col min="15090" max="15090" width="6.42578125" style="435" bestFit="1" customWidth="1"/>
    <col min="15091" max="15336" width="9.140625" style="435"/>
    <col min="15337" max="15337" width="3.140625" style="435" customWidth="1"/>
    <col min="15338" max="15338" width="39.5703125" style="435" customWidth="1"/>
    <col min="15339" max="15339" width="12.85546875" style="435" customWidth="1"/>
    <col min="15340" max="15340" width="10" style="435" bestFit="1" customWidth="1"/>
    <col min="15341" max="15341" width="9.140625" style="435"/>
    <col min="15342" max="15342" width="9" style="435" customWidth="1"/>
    <col min="15343" max="15343" width="38.140625" style="435" bestFit="1" customWidth="1"/>
    <col min="15344" max="15344" width="13.140625" style="435" customWidth="1"/>
    <col min="15345" max="15345" width="9.28515625" style="435" bestFit="1" customWidth="1"/>
    <col min="15346" max="15346" width="6.42578125" style="435" bestFit="1" customWidth="1"/>
    <col min="15347" max="15592" width="9.140625" style="435"/>
    <col min="15593" max="15593" width="3.140625" style="435" customWidth="1"/>
    <col min="15594" max="15594" width="39.5703125" style="435" customWidth="1"/>
    <col min="15595" max="15595" width="12.85546875" style="435" customWidth="1"/>
    <col min="15596" max="15596" width="10" style="435" bestFit="1" customWidth="1"/>
    <col min="15597" max="15597" width="9.140625" style="435"/>
    <col min="15598" max="15598" width="9" style="435" customWidth="1"/>
    <col min="15599" max="15599" width="38.140625" style="435" bestFit="1" customWidth="1"/>
    <col min="15600" max="15600" width="13.140625" style="435" customWidth="1"/>
    <col min="15601" max="15601" width="9.28515625" style="435" bestFit="1" customWidth="1"/>
    <col min="15602" max="15602" width="6.42578125" style="435" bestFit="1" customWidth="1"/>
    <col min="15603" max="15848" width="9.140625" style="435"/>
    <col min="15849" max="15849" width="3.140625" style="435" customWidth="1"/>
    <col min="15850" max="15850" width="39.5703125" style="435" customWidth="1"/>
    <col min="15851" max="15851" width="12.85546875" style="435" customWidth="1"/>
    <col min="15852" max="15852" width="10" style="435" bestFit="1" customWidth="1"/>
    <col min="15853" max="15853" width="9.140625" style="435"/>
    <col min="15854" max="15854" width="9" style="435" customWidth="1"/>
    <col min="15855" max="15855" width="38.140625" style="435" bestFit="1" customWidth="1"/>
    <col min="15856" max="15856" width="13.140625" style="435" customWidth="1"/>
    <col min="15857" max="15857" width="9.28515625" style="435" bestFit="1" customWidth="1"/>
    <col min="15858" max="15858" width="6.42578125" style="435" bestFit="1" customWidth="1"/>
    <col min="15859" max="16104" width="9.140625" style="435"/>
    <col min="16105" max="16105" width="3.140625" style="435" customWidth="1"/>
    <col min="16106" max="16106" width="39.5703125" style="435" customWidth="1"/>
    <col min="16107" max="16107" width="12.85546875" style="435" customWidth="1"/>
    <col min="16108" max="16108" width="10" style="435" bestFit="1" customWidth="1"/>
    <col min="16109" max="16109" width="9.140625" style="435"/>
    <col min="16110" max="16110" width="9" style="435" customWidth="1"/>
    <col min="16111" max="16111" width="38.140625" style="435" bestFit="1" customWidth="1"/>
    <col min="16112" max="16112" width="13.140625" style="435" customWidth="1"/>
    <col min="16113" max="16113" width="9.28515625" style="435" bestFit="1" customWidth="1"/>
    <col min="16114" max="16114" width="6.42578125" style="435" bestFit="1" customWidth="1"/>
    <col min="16115" max="16384" width="9.140625" style="435"/>
  </cols>
  <sheetData>
    <row r="1" spans="2:14" ht="24" thickBot="1">
      <c r="C1" s="2997" t="s">
        <v>1749</v>
      </c>
      <c r="D1" s="2998"/>
      <c r="E1" s="2779"/>
    </row>
    <row r="2" spans="2:14" ht="26.25" customHeight="1" thickTop="1" thickBot="1">
      <c r="B2" s="3029" t="s">
        <v>953</v>
      </c>
      <c r="C2" s="3030"/>
      <c r="D2" s="3031"/>
      <c r="E2" s="1750"/>
      <c r="F2" s="1750"/>
      <c r="G2" s="2940" t="s">
        <v>2143</v>
      </c>
      <c r="H2" s="2941"/>
      <c r="I2" s="2942"/>
      <c r="J2" s="1750"/>
      <c r="K2" s="1750"/>
      <c r="L2" s="3029" t="s">
        <v>1874</v>
      </c>
      <c r="M2" s="3030"/>
      <c r="N2" s="3031"/>
    </row>
    <row r="3" spans="2:14" ht="15.75">
      <c r="B3" s="2745" t="s">
        <v>926</v>
      </c>
      <c r="C3" s="819" t="s">
        <v>927</v>
      </c>
      <c r="D3" s="2647"/>
      <c r="G3" s="2943" t="s">
        <v>926</v>
      </c>
      <c r="H3" s="2944"/>
      <c r="I3" s="2945"/>
      <c r="L3" s="3038" t="s">
        <v>926</v>
      </c>
      <c r="M3" s="2944"/>
      <c r="N3" s="3039"/>
    </row>
    <row r="4" spans="2:14" ht="12.75" customHeight="1">
      <c r="B4" s="2617" t="s">
        <v>954</v>
      </c>
      <c r="C4" s="768">
        <v>8</v>
      </c>
      <c r="D4" s="2620"/>
      <c r="E4" s="2617"/>
      <c r="F4" s="439"/>
      <c r="G4" s="842" t="s">
        <v>1413</v>
      </c>
      <c r="H4" s="768">
        <v>8.3000000000000007</v>
      </c>
      <c r="I4" s="841" t="s">
        <v>732</v>
      </c>
      <c r="L4" s="2724" t="s">
        <v>2144</v>
      </c>
      <c r="M4" s="768">
        <v>19.8</v>
      </c>
      <c r="N4" s="2725" t="s">
        <v>889</v>
      </c>
    </row>
    <row r="5" spans="2:14" ht="15.75" customHeight="1">
      <c r="B5" s="2617" t="s">
        <v>955</v>
      </c>
      <c r="C5" s="770">
        <v>2</v>
      </c>
      <c r="D5" s="2620"/>
      <c r="E5" s="2751">
        <f>C6+0.0001</f>
        <v>100.1001</v>
      </c>
      <c r="F5" s="439"/>
      <c r="G5" s="842" t="s">
        <v>2141</v>
      </c>
      <c r="H5" s="768">
        <v>10</v>
      </c>
      <c r="I5" s="565" t="s">
        <v>942</v>
      </c>
      <c r="L5" s="2724" t="s">
        <v>1875</v>
      </c>
      <c r="M5" s="768">
        <v>1400</v>
      </c>
      <c r="N5" s="2726" t="s">
        <v>286</v>
      </c>
    </row>
    <row r="6" spans="2:14" ht="13.5" thickBot="1">
      <c r="B6" s="2617" t="s">
        <v>956</v>
      </c>
      <c r="C6" s="1349">
        <v>100.1</v>
      </c>
      <c r="D6" s="2620"/>
      <c r="E6" s="2751">
        <f>C6-0.0001</f>
        <v>100.09989999999999</v>
      </c>
      <c r="F6" s="439"/>
      <c r="G6" s="842" t="s">
        <v>2142</v>
      </c>
      <c r="H6" s="1244">
        <f>(H5*H7)/100</f>
        <v>50</v>
      </c>
      <c r="I6" s="841" t="s">
        <v>942</v>
      </c>
      <c r="L6" s="2724" t="s">
        <v>1876</v>
      </c>
      <c r="M6" s="1832">
        <f>M5/1000</f>
        <v>1.4</v>
      </c>
      <c r="N6" s="2725" t="s">
        <v>357</v>
      </c>
    </row>
    <row r="7" spans="2:14" s="736" customFormat="1" ht="15" customHeight="1" thickBot="1">
      <c r="B7" s="2746" t="s">
        <v>957</v>
      </c>
      <c r="C7" s="1594">
        <f>IF(E6&lt;100,(C4-C5)/C4*100,0)</f>
        <v>0</v>
      </c>
      <c r="D7" s="2747" t="s">
        <v>942</v>
      </c>
      <c r="E7" s="2622"/>
      <c r="F7" s="735"/>
      <c r="G7" s="842" t="s">
        <v>971</v>
      </c>
      <c r="H7" s="1349">
        <v>500</v>
      </c>
      <c r="I7" s="841" t="s">
        <v>357</v>
      </c>
      <c r="J7" s="435"/>
      <c r="K7" s="435"/>
      <c r="L7" s="2724" t="s">
        <v>1878</v>
      </c>
      <c r="M7" s="2054">
        <f>PI()*(M6*M6)/4</f>
        <v>1.5393804002589984</v>
      </c>
      <c r="N7" s="2725" t="s">
        <v>896</v>
      </c>
    </row>
    <row r="8" spans="2:14" s="736" customFormat="1" ht="16.5" thickBot="1">
      <c r="B8" s="2748" t="s">
        <v>958</v>
      </c>
      <c r="C8" s="2749">
        <f>IF(E5&gt;100,(C4-C5)/C4*100*100/E5,0)</f>
        <v>74.925000074924995</v>
      </c>
      <c r="D8" s="2750" t="s">
        <v>942</v>
      </c>
      <c r="G8" s="1595" t="s">
        <v>1412</v>
      </c>
      <c r="H8" s="1743">
        <f>H4-(H4*(H6/100))</f>
        <v>4.1500000000000004</v>
      </c>
      <c r="I8" s="1596" t="s">
        <v>972</v>
      </c>
      <c r="J8" s="435"/>
      <c r="K8" s="435"/>
      <c r="L8" s="2727" t="s">
        <v>1877</v>
      </c>
      <c r="M8" s="2058">
        <f>M4*M7</f>
        <v>30.479731925128167</v>
      </c>
      <c r="N8" s="2728" t="s">
        <v>972</v>
      </c>
    </row>
    <row r="9" spans="2:14" s="736" customFormat="1" ht="14.25" customHeight="1" thickTop="1" thickBot="1">
      <c r="B9" s="435"/>
      <c r="C9" s="435"/>
      <c r="D9" s="435"/>
      <c r="L9" s="2622"/>
      <c r="M9" s="734"/>
      <c r="N9" s="2623"/>
    </row>
    <row r="10" spans="2:14" ht="24.75" thickTop="1" thickBot="1">
      <c r="B10" s="2610"/>
      <c r="C10" s="2612"/>
      <c r="D10" s="2612"/>
      <c r="E10" s="2637"/>
      <c r="F10" s="2612"/>
      <c r="G10" s="2614"/>
      <c r="H10" s="2612"/>
      <c r="I10" s="2612"/>
      <c r="J10" s="2637"/>
      <c r="L10" s="3040" t="s">
        <v>1882</v>
      </c>
      <c r="M10" s="2941"/>
      <c r="N10" s="3041"/>
    </row>
    <row r="11" spans="2:14" ht="15.75">
      <c r="B11" s="2617"/>
      <c r="C11" s="438"/>
      <c r="D11" s="856" t="s">
        <v>927</v>
      </c>
      <c r="E11" s="2620"/>
      <c r="F11" s="438"/>
      <c r="G11" s="489"/>
      <c r="H11" s="438"/>
      <c r="I11" s="856" t="s">
        <v>927</v>
      </c>
      <c r="J11" s="2620"/>
      <c r="L11" s="3038" t="s">
        <v>926</v>
      </c>
      <c r="M11" s="2944"/>
      <c r="N11" s="3039"/>
    </row>
    <row r="12" spans="2:14">
      <c r="B12" s="2711" t="s">
        <v>973</v>
      </c>
      <c r="C12" s="646" t="s">
        <v>974</v>
      </c>
      <c r="D12" s="858">
        <v>40</v>
      </c>
      <c r="E12" s="2712" t="s">
        <v>732</v>
      </c>
      <c r="F12" s="438"/>
      <c r="G12" s="857" t="s">
        <v>973</v>
      </c>
      <c r="H12" s="646" t="s">
        <v>974</v>
      </c>
      <c r="I12" s="858">
        <v>100</v>
      </c>
      <c r="J12" s="2712" t="s">
        <v>732</v>
      </c>
      <c r="L12" s="2724" t="s">
        <v>1005</v>
      </c>
      <c r="M12" s="768">
        <v>3.5</v>
      </c>
      <c r="N12" s="2725" t="s">
        <v>889</v>
      </c>
    </row>
    <row r="13" spans="2:14">
      <c r="B13" s="2713" t="s">
        <v>975</v>
      </c>
      <c r="C13" s="646" t="s">
        <v>976</v>
      </c>
      <c r="D13" s="858">
        <v>1.8</v>
      </c>
      <c r="E13" s="2712" t="s">
        <v>357</v>
      </c>
      <c r="F13" s="438"/>
      <c r="G13" s="859" t="s">
        <v>977</v>
      </c>
      <c r="H13" s="646" t="s">
        <v>976</v>
      </c>
      <c r="I13" s="858">
        <v>3</v>
      </c>
      <c r="J13" s="2712" t="s">
        <v>357</v>
      </c>
      <c r="L13" s="2724" t="s">
        <v>1880</v>
      </c>
      <c r="M13" s="768">
        <v>3.5</v>
      </c>
      <c r="N13" s="2725" t="s">
        <v>357</v>
      </c>
    </row>
    <row r="14" spans="2:14">
      <c r="B14" s="2617"/>
      <c r="C14" s="646" t="s">
        <v>978</v>
      </c>
      <c r="D14" s="1553">
        <v>275</v>
      </c>
      <c r="E14" s="2714" t="s">
        <v>357</v>
      </c>
      <c r="F14" s="438"/>
      <c r="G14" s="489"/>
      <c r="H14" s="646" t="s">
        <v>978</v>
      </c>
      <c r="I14" s="858">
        <v>180</v>
      </c>
      <c r="J14" s="2712" t="s">
        <v>357</v>
      </c>
      <c r="L14" s="2724" t="s">
        <v>1879</v>
      </c>
      <c r="M14" s="768">
        <v>3.5</v>
      </c>
      <c r="N14" s="2725" t="s">
        <v>357</v>
      </c>
    </row>
    <row r="15" spans="2:14" ht="15.75" customHeight="1" thickBot="1">
      <c r="B15" s="2617"/>
      <c r="C15" s="646" t="s">
        <v>979</v>
      </c>
      <c r="D15" s="1553">
        <v>3.7000000000000002E-3</v>
      </c>
      <c r="E15" s="2714" t="s">
        <v>959</v>
      </c>
      <c r="F15" s="438"/>
      <c r="G15" s="489"/>
      <c r="H15" s="646" t="s">
        <v>979</v>
      </c>
      <c r="I15" s="1553">
        <v>4.0000000000000001E-3</v>
      </c>
      <c r="J15" s="2714" t="s">
        <v>959</v>
      </c>
      <c r="L15" s="2729" t="s">
        <v>1881</v>
      </c>
      <c r="M15" s="2057">
        <f>M13*M14</f>
        <v>12.25</v>
      </c>
      <c r="N15" s="2725" t="s">
        <v>896</v>
      </c>
    </row>
    <row r="16" spans="2:14" ht="16.5" thickBot="1">
      <c r="B16" s="2617"/>
      <c r="C16" s="646" t="s">
        <v>361</v>
      </c>
      <c r="D16" s="860">
        <f>PI()*(D13)</f>
        <v>5.6548667764616276</v>
      </c>
      <c r="E16" s="2715" t="s">
        <v>357</v>
      </c>
      <c r="F16" s="438"/>
      <c r="G16" s="489"/>
      <c r="H16" s="646" t="s">
        <v>361</v>
      </c>
      <c r="I16" s="860">
        <f>PI()*(I13)</f>
        <v>9.4247779607693793</v>
      </c>
      <c r="J16" s="2715" t="s">
        <v>357</v>
      </c>
      <c r="L16" s="2730" t="s">
        <v>1877</v>
      </c>
      <c r="M16" s="2731">
        <f>M15*M12</f>
        <v>42.875</v>
      </c>
      <c r="N16" s="2732" t="s">
        <v>972</v>
      </c>
    </row>
    <row r="17" spans="2:10" ht="14.25" thickTop="1" thickBot="1">
      <c r="B17" s="2617"/>
      <c r="C17" s="652" t="s">
        <v>362</v>
      </c>
      <c r="D17" s="1350">
        <f>PI()*(D13*D13)/4</f>
        <v>2.5446900494077327</v>
      </c>
      <c r="E17" s="2716" t="s">
        <v>896</v>
      </c>
      <c r="F17" s="438"/>
      <c r="G17" s="489"/>
      <c r="H17" s="652" t="s">
        <v>362</v>
      </c>
      <c r="I17" s="1350">
        <f>PI()*(I13*I13)/4</f>
        <v>7.0685834705770345</v>
      </c>
      <c r="J17" s="2716" t="s">
        <v>896</v>
      </c>
    </row>
    <row r="18" spans="2:10" ht="13.5" thickBot="1">
      <c r="B18" s="3032" t="s">
        <v>980</v>
      </c>
      <c r="C18" s="3033"/>
      <c r="D18" s="1597">
        <f>(D15*D16*D14*(D12*D12))/(D17*D17*D17)</f>
        <v>558.69155098215322</v>
      </c>
      <c r="E18" s="2717" t="s">
        <v>220</v>
      </c>
      <c r="F18" s="438"/>
      <c r="G18" s="3034" t="s">
        <v>980</v>
      </c>
      <c r="H18" s="3035"/>
      <c r="I18" s="1598">
        <f>(I15*I16*I14*(I12*I12))/(I17*I17*I17)</f>
        <v>192.13498527732199</v>
      </c>
      <c r="J18" s="2722" t="s">
        <v>220</v>
      </c>
    </row>
    <row r="19" spans="2:10" ht="13.5" thickBot="1">
      <c r="B19" s="2617"/>
      <c r="C19" s="438"/>
      <c r="D19" s="1870">
        <f>D12/D17</f>
        <v>15.719006725125464</v>
      </c>
      <c r="E19" s="2718" t="s">
        <v>889</v>
      </c>
      <c r="F19" s="438"/>
      <c r="G19" s="3036" t="s">
        <v>1380</v>
      </c>
      <c r="H19" s="3037"/>
      <c r="I19" s="1599">
        <f>I12/I17</f>
        <v>14.147106052612919</v>
      </c>
      <c r="J19" s="2723" t="s">
        <v>889</v>
      </c>
    </row>
    <row r="20" spans="2:10" ht="19.5" customHeight="1" thickBot="1">
      <c r="B20" s="2617"/>
      <c r="C20" s="438"/>
      <c r="D20" s="438"/>
      <c r="E20" s="2620"/>
      <c r="F20" s="438"/>
      <c r="G20" s="438"/>
      <c r="H20" s="438"/>
      <c r="I20" s="438"/>
      <c r="J20" s="2620"/>
    </row>
    <row r="21" spans="2:10">
      <c r="B21" s="2646"/>
      <c r="C21" s="507"/>
      <c r="D21" s="507"/>
      <c r="E21" s="2647"/>
      <c r="F21" s="438"/>
      <c r="G21" s="557"/>
      <c r="H21" s="507"/>
      <c r="I21" s="507"/>
      <c r="J21" s="2647"/>
    </row>
    <row r="22" spans="2:10" ht="15.75">
      <c r="B22" s="2617"/>
      <c r="C22" s="438"/>
      <c r="D22" s="856" t="s">
        <v>927</v>
      </c>
      <c r="E22" s="2620"/>
      <c r="F22" s="438"/>
      <c r="G22" s="489"/>
      <c r="H22" s="438"/>
      <c r="I22" s="856" t="s">
        <v>927</v>
      </c>
      <c r="J22" s="2620"/>
    </row>
    <row r="23" spans="2:10" ht="24" customHeight="1">
      <c r="B23" s="2711" t="s">
        <v>973</v>
      </c>
      <c r="C23" s="646" t="s">
        <v>974</v>
      </c>
      <c r="D23" s="858">
        <v>510</v>
      </c>
      <c r="E23" s="2712" t="s">
        <v>732</v>
      </c>
      <c r="F23" s="438"/>
      <c r="G23" s="2648" t="s">
        <v>973</v>
      </c>
      <c r="H23" s="646" t="s">
        <v>974</v>
      </c>
      <c r="I23" s="858">
        <v>10</v>
      </c>
      <c r="J23" s="2712" t="s">
        <v>732</v>
      </c>
    </row>
    <row r="24" spans="2:10">
      <c r="B24" s="2713" t="s">
        <v>981</v>
      </c>
      <c r="C24" s="646" t="s">
        <v>982</v>
      </c>
      <c r="D24" s="858">
        <v>5.44</v>
      </c>
      <c r="E24" s="2712" t="s">
        <v>357</v>
      </c>
      <c r="F24" s="438"/>
      <c r="G24" s="859" t="s">
        <v>983</v>
      </c>
      <c r="H24" s="646" t="s">
        <v>982</v>
      </c>
      <c r="I24" s="858">
        <v>0.5</v>
      </c>
      <c r="J24" s="2712" t="s">
        <v>357</v>
      </c>
    </row>
    <row r="25" spans="2:10">
      <c r="B25" s="2719"/>
      <c r="C25" s="646" t="s">
        <v>984</v>
      </c>
      <c r="D25" s="858">
        <v>5</v>
      </c>
      <c r="E25" s="2712" t="s">
        <v>357</v>
      </c>
      <c r="F25" s="438"/>
      <c r="G25" s="861"/>
      <c r="H25" s="646" t="s">
        <v>984</v>
      </c>
      <c r="I25" s="858">
        <v>1.62</v>
      </c>
      <c r="J25" s="2712" t="s">
        <v>357</v>
      </c>
    </row>
    <row r="26" spans="2:10" ht="12.75" customHeight="1">
      <c r="B26" s="2617"/>
      <c r="C26" s="646" t="s">
        <v>978</v>
      </c>
      <c r="D26" s="858">
        <v>407</v>
      </c>
      <c r="E26" s="2712" t="s">
        <v>357</v>
      </c>
      <c r="F26" s="438"/>
      <c r="G26" s="489"/>
      <c r="H26" s="646" t="s">
        <v>978</v>
      </c>
      <c r="I26" s="858">
        <v>76</v>
      </c>
      <c r="J26" s="2712" t="s">
        <v>357</v>
      </c>
    </row>
    <row r="27" spans="2:10" ht="15" customHeight="1">
      <c r="B27" s="2617"/>
      <c r="C27" s="646" t="s">
        <v>979</v>
      </c>
      <c r="D27" s="1553">
        <v>1.0999999999999999E-2</v>
      </c>
      <c r="E27" s="2714" t="s">
        <v>959</v>
      </c>
      <c r="F27" s="438"/>
      <c r="G27" s="489"/>
      <c r="H27" s="646" t="s">
        <v>979</v>
      </c>
      <c r="I27" s="1553">
        <v>2.3999999999999998E-3</v>
      </c>
      <c r="J27" s="2714" t="s">
        <v>959</v>
      </c>
    </row>
    <row r="28" spans="2:10">
      <c r="B28" s="2617"/>
      <c r="C28" s="646" t="s">
        <v>361</v>
      </c>
      <c r="D28" s="862">
        <f>(2*D24)+(2*D25)</f>
        <v>20.880000000000003</v>
      </c>
      <c r="E28" s="2715" t="s">
        <v>357</v>
      </c>
      <c r="F28" s="438"/>
      <c r="G28" s="489"/>
      <c r="H28" s="646" t="s">
        <v>361</v>
      </c>
      <c r="I28" s="862">
        <f>(2*I24)+(2*I25)</f>
        <v>4.24</v>
      </c>
      <c r="J28" s="2715" t="s">
        <v>357</v>
      </c>
    </row>
    <row r="29" spans="2:10" ht="13.5" thickBot="1">
      <c r="B29" s="2617"/>
      <c r="C29" s="652" t="s">
        <v>362</v>
      </c>
      <c r="D29" s="1351">
        <f>D24*D25</f>
        <v>27.200000000000003</v>
      </c>
      <c r="E29" s="2716" t="s">
        <v>896</v>
      </c>
      <c r="F29" s="438"/>
      <c r="G29" s="489"/>
      <c r="H29" s="652" t="s">
        <v>362</v>
      </c>
      <c r="I29" s="1350">
        <f>I24*I25</f>
        <v>0.81</v>
      </c>
      <c r="J29" s="2716" t="s">
        <v>896</v>
      </c>
    </row>
    <row r="30" spans="2:10" ht="13.5" thickBot="1">
      <c r="B30" s="3026" t="s">
        <v>980</v>
      </c>
      <c r="C30" s="3027"/>
      <c r="D30" s="2720">
        <f>(D27*D28*D26*(D23*D23))/(D29*D29*D29)</f>
        <v>1208.2344898897059</v>
      </c>
      <c r="E30" s="2721" t="s">
        <v>220</v>
      </c>
      <c r="F30" s="2629"/>
      <c r="G30" s="3028" t="s">
        <v>980</v>
      </c>
      <c r="H30" s="3027"/>
      <c r="I30" s="2720">
        <f>(I27*I28*I26*(I23*I23))/(I29*I29*I29)</f>
        <v>145.52433854369531</v>
      </c>
      <c r="J30" s="2721" t="s">
        <v>220</v>
      </c>
    </row>
    <row r="31" spans="2:10" ht="13.5" thickTop="1"/>
    <row r="32" spans="2:10" ht="13.5" thickBot="1"/>
    <row r="33" spans="2:4" ht="17.25" thickTop="1" thickBot="1">
      <c r="B33" s="3023" t="s">
        <v>965</v>
      </c>
      <c r="C33" s="3024"/>
      <c r="D33" s="3025"/>
    </row>
    <row r="34" spans="2:4">
      <c r="B34" s="2733" t="s">
        <v>966</v>
      </c>
      <c r="C34" s="2734">
        <v>3.7000000000000002E-3</v>
      </c>
      <c r="D34" s="2735" t="s">
        <v>947</v>
      </c>
    </row>
    <row r="35" spans="2:4">
      <c r="B35" s="2736" t="s">
        <v>967</v>
      </c>
      <c r="C35" s="852">
        <v>2.7499999999999998E-3</v>
      </c>
      <c r="D35" s="2737" t="s">
        <v>947</v>
      </c>
    </row>
    <row r="36" spans="2:4">
      <c r="B36" s="2738" t="s">
        <v>968</v>
      </c>
      <c r="C36" s="853">
        <v>2E-3</v>
      </c>
      <c r="D36" s="2737" t="s">
        <v>947</v>
      </c>
    </row>
    <row r="37" spans="2:4">
      <c r="B37" s="2738" t="s">
        <v>969</v>
      </c>
      <c r="C37" s="651">
        <v>1.5E-3</v>
      </c>
      <c r="D37" s="2737" t="s">
        <v>947</v>
      </c>
    </row>
    <row r="38" spans="2:4">
      <c r="B38" s="2738" t="s">
        <v>970</v>
      </c>
      <c r="C38" s="651">
        <v>2E-3</v>
      </c>
      <c r="D38" s="2737" t="s">
        <v>947</v>
      </c>
    </row>
    <row r="39" spans="2:4">
      <c r="B39" s="2638"/>
      <c r="C39" s="651"/>
      <c r="D39" s="2739"/>
    </row>
    <row r="40" spans="2:4">
      <c r="B40" s="2740"/>
      <c r="C40" s="1554"/>
      <c r="D40" s="2741"/>
    </row>
    <row r="41" spans="2:4">
      <c r="B41" s="2740"/>
      <c r="C41" s="1554"/>
      <c r="D41" s="2741"/>
    </row>
    <row r="42" spans="2:4" ht="13.5" thickBot="1">
      <c r="B42" s="2742"/>
      <c r="C42" s="2743"/>
      <c r="D42" s="2744"/>
    </row>
    <row r="43" spans="2:4" ht="13.5" thickTop="1"/>
  </sheetData>
  <sheetProtection formatCells="0" formatColumns="0" formatRows="0" insertColumns="0" insertRows="0" sort="0" autoFilter="0"/>
  <mergeCells count="14">
    <mergeCell ref="L2:N2"/>
    <mergeCell ref="L3:N3"/>
    <mergeCell ref="L10:N10"/>
    <mergeCell ref="L11:N11"/>
    <mergeCell ref="C1:E1"/>
    <mergeCell ref="B33:D33"/>
    <mergeCell ref="B30:C30"/>
    <mergeCell ref="G30:H30"/>
    <mergeCell ref="B2:D2"/>
    <mergeCell ref="G2:I2"/>
    <mergeCell ref="G3:I3"/>
    <mergeCell ref="B18:C18"/>
    <mergeCell ref="G18:H18"/>
    <mergeCell ref="G19:H19"/>
  </mergeCells>
  <conditionalFormatting sqref="I19">
    <cfRule type="cellIs" dxfId="14" priority="22" operator="greaterThan">
      <formula>15</formula>
    </cfRule>
  </conditionalFormatting>
  <conditionalFormatting sqref="C7">
    <cfRule type="cellIs" dxfId="13" priority="21" operator="equal">
      <formula>0</formula>
    </cfRule>
  </conditionalFormatting>
  <conditionalFormatting sqref="C8">
    <cfRule type="cellIs" dxfId="12" priority="20" operator="equal">
      <formula>0</formula>
    </cfRule>
  </conditionalFormatting>
  <hyperlinks>
    <hyperlink ref="C1" location="INDEX!A1" display="INDEX!A1"/>
  </hyperlinks>
  <pageMargins left="0" right="0" top="0" bottom="0" header="0" footer="0"/>
  <pageSetup paperSize="9" scale="200"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43"/>
  </sheetPr>
  <dimension ref="A1:L43"/>
  <sheetViews>
    <sheetView showGridLines="0" zoomScaleNormal="100" workbookViewId="0">
      <selection activeCell="C9" sqref="C9"/>
    </sheetView>
  </sheetViews>
  <sheetFormatPr defaultRowHeight="12.75"/>
  <cols>
    <col min="1" max="1" width="3.85546875" style="435" customWidth="1"/>
    <col min="2" max="2" width="46.85546875" style="435" bestFit="1" customWidth="1"/>
    <col min="3" max="3" width="11" style="435" bestFit="1" customWidth="1"/>
    <col min="4" max="4" width="9.140625" style="435"/>
    <col min="5" max="5" width="3.85546875" style="435" customWidth="1"/>
    <col min="6" max="6" width="11" style="435" customWidth="1"/>
    <col min="7" max="242" width="9.140625" style="435"/>
    <col min="243" max="243" width="3.140625" style="435" customWidth="1"/>
    <col min="244" max="244" width="39.5703125" style="435" customWidth="1"/>
    <col min="245" max="245" width="12.85546875" style="435" customWidth="1"/>
    <col min="246" max="246" width="10" style="435" bestFit="1" customWidth="1"/>
    <col min="247" max="247" width="9.140625" style="435"/>
    <col min="248" max="248" width="9" style="435" customWidth="1"/>
    <col min="249" max="249" width="38.140625" style="435" bestFit="1" customWidth="1"/>
    <col min="250" max="250" width="13.140625" style="435" customWidth="1"/>
    <col min="251" max="251" width="9.28515625" style="435" bestFit="1" customWidth="1"/>
    <col min="252" max="252" width="6.42578125" style="435" bestFit="1" customWidth="1"/>
    <col min="253" max="498" width="9.140625" style="435"/>
    <col min="499" max="499" width="3.140625" style="435" customWidth="1"/>
    <col min="500" max="500" width="39.5703125" style="435" customWidth="1"/>
    <col min="501" max="501" width="12.85546875" style="435" customWidth="1"/>
    <col min="502" max="502" width="10" style="435" bestFit="1" customWidth="1"/>
    <col min="503" max="503" width="9.140625" style="435"/>
    <col min="504" max="504" width="9" style="435" customWidth="1"/>
    <col min="505" max="505" width="38.140625" style="435" bestFit="1" customWidth="1"/>
    <col min="506" max="506" width="13.140625" style="435" customWidth="1"/>
    <col min="507" max="507" width="9.28515625" style="435" bestFit="1" customWidth="1"/>
    <col min="508" max="508" width="6.42578125" style="435" bestFit="1" customWidth="1"/>
    <col min="509" max="754" width="9.140625" style="435"/>
    <col min="755" max="755" width="3.140625" style="435" customWidth="1"/>
    <col min="756" max="756" width="39.5703125" style="435" customWidth="1"/>
    <col min="757" max="757" width="12.85546875" style="435" customWidth="1"/>
    <col min="758" max="758" width="10" style="435" bestFit="1" customWidth="1"/>
    <col min="759" max="759" width="9.140625" style="435"/>
    <col min="760" max="760" width="9" style="435" customWidth="1"/>
    <col min="761" max="761" width="38.140625" style="435" bestFit="1" customWidth="1"/>
    <col min="762" max="762" width="13.140625" style="435" customWidth="1"/>
    <col min="763" max="763" width="9.28515625" style="435" bestFit="1" customWidth="1"/>
    <col min="764" max="764" width="6.42578125" style="435" bestFit="1" customWidth="1"/>
    <col min="765" max="1010" width="9.140625" style="435"/>
    <col min="1011" max="1011" width="3.140625" style="435" customWidth="1"/>
    <col min="1012" max="1012" width="39.5703125" style="435" customWidth="1"/>
    <col min="1013" max="1013" width="12.85546875" style="435" customWidth="1"/>
    <col min="1014" max="1014" width="10" style="435" bestFit="1" customWidth="1"/>
    <col min="1015" max="1015" width="9.140625" style="435"/>
    <col min="1016" max="1016" width="9" style="435" customWidth="1"/>
    <col min="1017" max="1017" width="38.140625" style="435" bestFit="1" customWidth="1"/>
    <col min="1018" max="1018" width="13.140625" style="435" customWidth="1"/>
    <col min="1019" max="1019" width="9.28515625" style="435" bestFit="1" customWidth="1"/>
    <col min="1020" max="1020" width="6.42578125" style="435" bestFit="1" customWidth="1"/>
    <col min="1021" max="1266" width="9.140625" style="435"/>
    <col min="1267" max="1267" width="3.140625" style="435" customWidth="1"/>
    <col min="1268" max="1268" width="39.5703125" style="435" customWidth="1"/>
    <col min="1269" max="1269" width="12.85546875" style="435" customWidth="1"/>
    <col min="1270" max="1270" width="10" style="435" bestFit="1" customWidth="1"/>
    <col min="1271" max="1271" width="9.140625" style="435"/>
    <col min="1272" max="1272" width="9" style="435" customWidth="1"/>
    <col min="1273" max="1273" width="38.140625" style="435" bestFit="1" customWidth="1"/>
    <col min="1274" max="1274" width="13.140625" style="435" customWidth="1"/>
    <col min="1275" max="1275" width="9.28515625" style="435" bestFit="1" customWidth="1"/>
    <col min="1276" max="1276" width="6.42578125" style="435" bestFit="1" customWidth="1"/>
    <col min="1277" max="1522" width="9.140625" style="435"/>
    <col min="1523" max="1523" width="3.140625" style="435" customWidth="1"/>
    <col min="1524" max="1524" width="39.5703125" style="435" customWidth="1"/>
    <col min="1525" max="1525" width="12.85546875" style="435" customWidth="1"/>
    <col min="1526" max="1526" width="10" style="435" bestFit="1" customWidth="1"/>
    <col min="1527" max="1527" width="9.140625" style="435"/>
    <col min="1528" max="1528" width="9" style="435" customWidth="1"/>
    <col min="1529" max="1529" width="38.140625" style="435" bestFit="1" customWidth="1"/>
    <col min="1530" max="1530" width="13.140625" style="435" customWidth="1"/>
    <col min="1531" max="1531" width="9.28515625" style="435" bestFit="1" customWidth="1"/>
    <col min="1532" max="1532" width="6.42578125" style="435" bestFit="1" customWidth="1"/>
    <col min="1533" max="1778" width="9.140625" style="435"/>
    <col min="1779" max="1779" width="3.140625" style="435" customWidth="1"/>
    <col min="1780" max="1780" width="39.5703125" style="435" customWidth="1"/>
    <col min="1781" max="1781" width="12.85546875" style="435" customWidth="1"/>
    <col min="1782" max="1782" width="10" style="435" bestFit="1" customWidth="1"/>
    <col min="1783" max="1783" width="9.140625" style="435"/>
    <col min="1784" max="1784" width="9" style="435" customWidth="1"/>
    <col min="1785" max="1785" width="38.140625" style="435" bestFit="1" customWidth="1"/>
    <col min="1786" max="1786" width="13.140625" style="435" customWidth="1"/>
    <col min="1787" max="1787" width="9.28515625" style="435" bestFit="1" customWidth="1"/>
    <col min="1788" max="1788" width="6.42578125" style="435" bestFit="1" customWidth="1"/>
    <col min="1789" max="2034" width="9.140625" style="435"/>
    <col min="2035" max="2035" width="3.140625" style="435" customWidth="1"/>
    <col min="2036" max="2036" width="39.5703125" style="435" customWidth="1"/>
    <col min="2037" max="2037" width="12.85546875" style="435" customWidth="1"/>
    <col min="2038" max="2038" width="10" style="435" bestFit="1" customWidth="1"/>
    <col min="2039" max="2039" width="9.140625" style="435"/>
    <col min="2040" max="2040" width="9" style="435" customWidth="1"/>
    <col min="2041" max="2041" width="38.140625" style="435" bestFit="1" customWidth="1"/>
    <col min="2042" max="2042" width="13.140625" style="435" customWidth="1"/>
    <col min="2043" max="2043" width="9.28515625" style="435" bestFit="1" customWidth="1"/>
    <col min="2044" max="2044" width="6.42578125" style="435" bestFit="1" customWidth="1"/>
    <col min="2045" max="2290" width="9.140625" style="435"/>
    <col min="2291" max="2291" width="3.140625" style="435" customWidth="1"/>
    <col min="2292" max="2292" width="39.5703125" style="435" customWidth="1"/>
    <col min="2293" max="2293" width="12.85546875" style="435" customWidth="1"/>
    <col min="2294" max="2294" width="10" style="435" bestFit="1" customWidth="1"/>
    <col min="2295" max="2295" width="9.140625" style="435"/>
    <col min="2296" max="2296" width="9" style="435" customWidth="1"/>
    <col min="2297" max="2297" width="38.140625" style="435" bestFit="1" customWidth="1"/>
    <col min="2298" max="2298" width="13.140625" style="435" customWidth="1"/>
    <col min="2299" max="2299" width="9.28515625" style="435" bestFit="1" customWidth="1"/>
    <col min="2300" max="2300" width="6.42578125" style="435" bestFit="1" customWidth="1"/>
    <col min="2301" max="2546" width="9.140625" style="435"/>
    <col min="2547" max="2547" width="3.140625" style="435" customWidth="1"/>
    <col min="2548" max="2548" width="39.5703125" style="435" customWidth="1"/>
    <col min="2549" max="2549" width="12.85546875" style="435" customWidth="1"/>
    <col min="2550" max="2550" width="10" style="435" bestFit="1" customWidth="1"/>
    <col min="2551" max="2551" width="9.140625" style="435"/>
    <col min="2552" max="2552" width="9" style="435" customWidth="1"/>
    <col min="2553" max="2553" width="38.140625" style="435" bestFit="1" customWidth="1"/>
    <col min="2554" max="2554" width="13.140625" style="435" customWidth="1"/>
    <col min="2555" max="2555" width="9.28515625" style="435" bestFit="1" customWidth="1"/>
    <col min="2556" max="2556" width="6.42578125" style="435" bestFit="1" customWidth="1"/>
    <col min="2557" max="2802" width="9.140625" style="435"/>
    <col min="2803" max="2803" width="3.140625" style="435" customWidth="1"/>
    <col min="2804" max="2804" width="39.5703125" style="435" customWidth="1"/>
    <col min="2805" max="2805" width="12.85546875" style="435" customWidth="1"/>
    <col min="2806" max="2806" width="10" style="435" bestFit="1" customWidth="1"/>
    <col min="2807" max="2807" width="9.140625" style="435"/>
    <col min="2808" max="2808" width="9" style="435" customWidth="1"/>
    <col min="2809" max="2809" width="38.140625" style="435" bestFit="1" customWidth="1"/>
    <col min="2810" max="2810" width="13.140625" style="435" customWidth="1"/>
    <col min="2811" max="2811" width="9.28515625" style="435" bestFit="1" customWidth="1"/>
    <col min="2812" max="2812" width="6.42578125" style="435" bestFit="1" customWidth="1"/>
    <col min="2813" max="3058" width="9.140625" style="435"/>
    <col min="3059" max="3059" width="3.140625" style="435" customWidth="1"/>
    <col min="3060" max="3060" width="39.5703125" style="435" customWidth="1"/>
    <col min="3061" max="3061" width="12.85546875" style="435" customWidth="1"/>
    <col min="3062" max="3062" width="10" style="435" bestFit="1" customWidth="1"/>
    <col min="3063" max="3063" width="9.140625" style="435"/>
    <col min="3064" max="3064" width="9" style="435" customWidth="1"/>
    <col min="3065" max="3065" width="38.140625" style="435" bestFit="1" customWidth="1"/>
    <col min="3066" max="3066" width="13.140625" style="435" customWidth="1"/>
    <col min="3067" max="3067" width="9.28515625" style="435" bestFit="1" customWidth="1"/>
    <col min="3068" max="3068" width="6.42578125" style="435" bestFit="1" customWidth="1"/>
    <col min="3069" max="3314" width="9.140625" style="435"/>
    <col min="3315" max="3315" width="3.140625" style="435" customWidth="1"/>
    <col min="3316" max="3316" width="39.5703125" style="435" customWidth="1"/>
    <col min="3317" max="3317" width="12.85546875" style="435" customWidth="1"/>
    <col min="3318" max="3318" width="10" style="435" bestFit="1" customWidth="1"/>
    <col min="3319" max="3319" width="9.140625" style="435"/>
    <col min="3320" max="3320" width="9" style="435" customWidth="1"/>
    <col min="3321" max="3321" width="38.140625" style="435" bestFit="1" customWidth="1"/>
    <col min="3322" max="3322" width="13.140625" style="435" customWidth="1"/>
    <col min="3323" max="3323" width="9.28515625" style="435" bestFit="1" customWidth="1"/>
    <col min="3324" max="3324" width="6.42578125" style="435" bestFit="1" customWidth="1"/>
    <col min="3325" max="3570" width="9.140625" style="435"/>
    <col min="3571" max="3571" width="3.140625" style="435" customWidth="1"/>
    <col min="3572" max="3572" width="39.5703125" style="435" customWidth="1"/>
    <col min="3573" max="3573" width="12.85546875" style="435" customWidth="1"/>
    <col min="3574" max="3574" width="10" style="435" bestFit="1" customWidth="1"/>
    <col min="3575" max="3575" width="9.140625" style="435"/>
    <col min="3576" max="3576" width="9" style="435" customWidth="1"/>
    <col min="3577" max="3577" width="38.140625" style="435" bestFit="1" customWidth="1"/>
    <col min="3578" max="3578" width="13.140625" style="435" customWidth="1"/>
    <col min="3579" max="3579" width="9.28515625" style="435" bestFit="1" customWidth="1"/>
    <col min="3580" max="3580" width="6.42578125" style="435" bestFit="1" customWidth="1"/>
    <col min="3581" max="3826" width="9.140625" style="435"/>
    <col min="3827" max="3827" width="3.140625" style="435" customWidth="1"/>
    <col min="3828" max="3828" width="39.5703125" style="435" customWidth="1"/>
    <col min="3829" max="3829" width="12.85546875" style="435" customWidth="1"/>
    <col min="3830" max="3830" width="10" style="435" bestFit="1" customWidth="1"/>
    <col min="3831" max="3831" width="9.140625" style="435"/>
    <col min="3832" max="3832" width="9" style="435" customWidth="1"/>
    <col min="3833" max="3833" width="38.140625" style="435" bestFit="1" customWidth="1"/>
    <col min="3834" max="3834" width="13.140625" style="435" customWidth="1"/>
    <col min="3835" max="3835" width="9.28515625" style="435" bestFit="1" customWidth="1"/>
    <col min="3836" max="3836" width="6.42578125" style="435" bestFit="1" customWidth="1"/>
    <col min="3837" max="4082" width="9.140625" style="435"/>
    <col min="4083" max="4083" width="3.140625" style="435" customWidth="1"/>
    <col min="4084" max="4084" width="39.5703125" style="435" customWidth="1"/>
    <col min="4085" max="4085" width="12.85546875" style="435" customWidth="1"/>
    <col min="4086" max="4086" width="10" style="435" bestFit="1" customWidth="1"/>
    <col min="4087" max="4087" width="9.140625" style="435"/>
    <col min="4088" max="4088" width="9" style="435" customWidth="1"/>
    <col min="4089" max="4089" width="38.140625" style="435" bestFit="1" customWidth="1"/>
    <col min="4090" max="4090" width="13.140625" style="435" customWidth="1"/>
    <col min="4091" max="4091" width="9.28515625" style="435" bestFit="1" customWidth="1"/>
    <col min="4092" max="4092" width="6.42578125" style="435" bestFit="1" customWidth="1"/>
    <col min="4093" max="4338" width="9.140625" style="435"/>
    <col min="4339" max="4339" width="3.140625" style="435" customWidth="1"/>
    <col min="4340" max="4340" width="39.5703125" style="435" customWidth="1"/>
    <col min="4341" max="4341" width="12.85546875" style="435" customWidth="1"/>
    <col min="4342" max="4342" width="10" style="435" bestFit="1" customWidth="1"/>
    <col min="4343" max="4343" width="9.140625" style="435"/>
    <col min="4344" max="4344" width="9" style="435" customWidth="1"/>
    <col min="4345" max="4345" width="38.140625" style="435" bestFit="1" customWidth="1"/>
    <col min="4346" max="4346" width="13.140625" style="435" customWidth="1"/>
    <col min="4347" max="4347" width="9.28515625" style="435" bestFit="1" customWidth="1"/>
    <col min="4348" max="4348" width="6.42578125" style="435" bestFit="1" customWidth="1"/>
    <col min="4349" max="4594" width="9.140625" style="435"/>
    <col min="4595" max="4595" width="3.140625" style="435" customWidth="1"/>
    <col min="4596" max="4596" width="39.5703125" style="435" customWidth="1"/>
    <col min="4597" max="4597" width="12.85546875" style="435" customWidth="1"/>
    <col min="4598" max="4598" width="10" style="435" bestFit="1" customWidth="1"/>
    <col min="4599" max="4599" width="9.140625" style="435"/>
    <col min="4600" max="4600" width="9" style="435" customWidth="1"/>
    <col min="4601" max="4601" width="38.140625" style="435" bestFit="1" customWidth="1"/>
    <col min="4602" max="4602" width="13.140625" style="435" customWidth="1"/>
    <col min="4603" max="4603" width="9.28515625" style="435" bestFit="1" customWidth="1"/>
    <col min="4604" max="4604" width="6.42578125" style="435" bestFit="1" customWidth="1"/>
    <col min="4605" max="4850" width="9.140625" style="435"/>
    <col min="4851" max="4851" width="3.140625" style="435" customWidth="1"/>
    <col min="4852" max="4852" width="39.5703125" style="435" customWidth="1"/>
    <col min="4853" max="4853" width="12.85546875" style="435" customWidth="1"/>
    <col min="4854" max="4854" width="10" style="435" bestFit="1" customWidth="1"/>
    <col min="4855" max="4855" width="9.140625" style="435"/>
    <col min="4856" max="4856" width="9" style="435" customWidth="1"/>
    <col min="4857" max="4857" width="38.140625" style="435" bestFit="1" customWidth="1"/>
    <col min="4858" max="4858" width="13.140625" style="435" customWidth="1"/>
    <col min="4859" max="4859" width="9.28515625" style="435" bestFit="1" customWidth="1"/>
    <col min="4860" max="4860" width="6.42578125" style="435" bestFit="1" customWidth="1"/>
    <col min="4861" max="5106" width="9.140625" style="435"/>
    <col min="5107" max="5107" width="3.140625" style="435" customWidth="1"/>
    <col min="5108" max="5108" width="39.5703125" style="435" customWidth="1"/>
    <col min="5109" max="5109" width="12.85546875" style="435" customWidth="1"/>
    <col min="5110" max="5110" width="10" style="435" bestFit="1" customWidth="1"/>
    <col min="5111" max="5111" width="9.140625" style="435"/>
    <col min="5112" max="5112" width="9" style="435" customWidth="1"/>
    <col min="5113" max="5113" width="38.140625" style="435" bestFit="1" customWidth="1"/>
    <col min="5114" max="5114" width="13.140625" style="435" customWidth="1"/>
    <col min="5115" max="5115" width="9.28515625" style="435" bestFit="1" customWidth="1"/>
    <col min="5116" max="5116" width="6.42578125" style="435" bestFit="1" customWidth="1"/>
    <col min="5117" max="5362" width="9.140625" style="435"/>
    <col min="5363" max="5363" width="3.140625" style="435" customWidth="1"/>
    <col min="5364" max="5364" width="39.5703125" style="435" customWidth="1"/>
    <col min="5365" max="5365" width="12.85546875" style="435" customWidth="1"/>
    <col min="5366" max="5366" width="10" style="435" bestFit="1" customWidth="1"/>
    <col min="5367" max="5367" width="9.140625" style="435"/>
    <col min="5368" max="5368" width="9" style="435" customWidth="1"/>
    <col min="5369" max="5369" width="38.140625" style="435" bestFit="1" customWidth="1"/>
    <col min="5370" max="5370" width="13.140625" style="435" customWidth="1"/>
    <col min="5371" max="5371" width="9.28515625" style="435" bestFit="1" customWidth="1"/>
    <col min="5372" max="5372" width="6.42578125" style="435" bestFit="1" customWidth="1"/>
    <col min="5373" max="5618" width="9.140625" style="435"/>
    <col min="5619" max="5619" width="3.140625" style="435" customWidth="1"/>
    <col min="5620" max="5620" width="39.5703125" style="435" customWidth="1"/>
    <col min="5621" max="5621" width="12.85546875" style="435" customWidth="1"/>
    <col min="5622" max="5622" width="10" style="435" bestFit="1" customWidth="1"/>
    <col min="5623" max="5623" width="9.140625" style="435"/>
    <col min="5624" max="5624" width="9" style="435" customWidth="1"/>
    <col min="5625" max="5625" width="38.140625" style="435" bestFit="1" customWidth="1"/>
    <col min="5626" max="5626" width="13.140625" style="435" customWidth="1"/>
    <col min="5627" max="5627" width="9.28515625" style="435" bestFit="1" customWidth="1"/>
    <col min="5628" max="5628" width="6.42578125" style="435" bestFit="1" customWidth="1"/>
    <col min="5629" max="5874" width="9.140625" style="435"/>
    <col min="5875" max="5875" width="3.140625" style="435" customWidth="1"/>
    <col min="5876" max="5876" width="39.5703125" style="435" customWidth="1"/>
    <col min="5877" max="5877" width="12.85546875" style="435" customWidth="1"/>
    <col min="5878" max="5878" width="10" style="435" bestFit="1" customWidth="1"/>
    <col min="5879" max="5879" width="9.140625" style="435"/>
    <col min="5880" max="5880" width="9" style="435" customWidth="1"/>
    <col min="5881" max="5881" width="38.140625" style="435" bestFit="1" customWidth="1"/>
    <col min="5882" max="5882" width="13.140625" style="435" customWidth="1"/>
    <col min="5883" max="5883" width="9.28515625" style="435" bestFit="1" customWidth="1"/>
    <col min="5884" max="5884" width="6.42578125" style="435" bestFit="1" customWidth="1"/>
    <col min="5885" max="6130" width="9.140625" style="435"/>
    <col min="6131" max="6131" width="3.140625" style="435" customWidth="1"/>
    <col min="6132" max="6132" width="39.5703125" style="435" customWidth="1"/>
    <col min="6133" max="6133" width="12.85546875" style="435" customWidth="1"/>
    <col min="6134" max="6134" width="10" style="435" bestFit="1" customWidth="1"/>
    <col min="6135" max="6135" width="9.140625" style="435"/>
    <col min="6136" max="6136" width="9" style="435" customWidth="1"/>
    <col min="6137" max="6137" width="38.140625" style="435" bestFit="1" customWidth="1"/>
    <col min="6138" max="6138" width="13.140625" style="435" customWidth="1"/>
    <col min="6139" max="6139" width="9.28515625" style="435" bestFit="1" customWidth="1"/>
    <col min="6140" max="6140" width="6.42578125" style="435" bestFit="1" customWidth="1"/>
    <col min="6141" max="6386" width="9.140625" style="435"/>
    <col min="6387" max="6387" width="3.140625" style="435" customWidth="1"/>
    <col min="6388" max="6388" width="39.5703125" style="435" customWidth="1"/>
    <col min="6389" max="6389" width="12.85546875" style="435" customWidth="1"/>
    <col min="6390" max="6390" width="10" style="435" bestFit="1" customWidth="1"/>
    <col min="6391" max="6391" width="9.140625" style="435"/>
    <col min="6392" max="6392" width="9" style="435" customWidth="1"/>
    <col min="6393" max="6393" width="38.140625" style="435" bestFit="1" customWidth="1"/>
    <col min="6394" max="6394" width="13.140625" style="435" customWidth="1"/>
    <col min="6395" max="6395" width="9.28515625" style="435" bestFit="1" customWidth="1"/>
    <col min="6396" max="6396" width="6.42578125" style="435" bestFit="1" customWidth="1"/>
    <col min="6397" max="6642" width="9.140625" style="435"/>
    <col min="6643" max="6643" width="3.140625" style="435" customWidth="1"/>
    <col min="6644" max="6644" width="39.5703125" style="435" customWidth="1"/>
    <col min="6645" max="6645" width="12.85546875" style="435" customWidth="1"/>
    <col min="6646" max="6646" width="10" style="435" bestFit="1" customWidth="1"/>
    <col min="6647" max="6647" width="9.140625" style="435"/>
    <col min="6648" max="6648" width="9" style="435" customWidth="1"/>
    <col min="6649" max="6649" width="38.140625" style="435" bestFit="1" customWidth="1"/>
    <col min="6650" max="6650" width="13.140625" style="435" customWidth="1"/>
    <col min="6651" max="6651" width="9.28515625" style="435" bestFit="1" customWidth="1"/>
    <col min="6652" max="6652" width="6.42578125" style="435" bestFit="1" customWidth="1"/>
    <col min="6653" max="6898" width="9.140625" style="435"/>
    <col min="6899" max="6899" width="3.140625" style="435" customWidth="1"/>
    <col min="6900" max="6900" width="39.5703125" style="435" customWidth="1"/>
    <col min="6901" max="6901" width="12.85546875" style="435" customWidth="1"/>
    <col min="6902" max="6902" width="10" style="435" bestFit="1" customWidth="1"/>
    <col min="6903" max="6903" width="9.140625" style="435"/>
    <col min="6904" max="6904" width="9" style="435" customWidth="1"/>
    <col min="6905" max="6905" width="38.140625" style="435" bestFit="1" customWidth="1"/>
    <col min="6906" max="6906" width="13.140625" style="435" customWidth="1"/>
    <col min="6907" max="6907" width="9.28515625" style="435" bestFit="1" customWidth="1"/>
    <col min="6908" max="6908" width="6.42578125" style="435" bestFit="1" customWidth="1"/>
    <col min="6909" max="7154" width="9.140625" style="435"/>
    <col min="7155" max="7155" width="3.140625" style="435" customWidth="1"/>
    <col min="7156" max="7156" width="39.5703125" style="435" customWidth="1"/>
    <col min="7157" max="7157" width="12.85546875" style="435" customWidth="1"/>
    <col min="7158" max="7158" width="10" style="435" bestFit="1" customWidth="1"/>
    <col min="7159" max="7159" width="9.140625" style="435"/>
    <col min="7160" max="7160" width="9" style="435" customWidth="1"/>
    <col min="7161" max="7161" width="38.140625" style="435" bestFit="1" customWidth="1"/>
    <col min="7162" max="7162" width="13.140625" style="435" customWidth="1"/>
    <col min="7163" max="7163" width="9.28515625" style="435" bestFit="1" customWidth="1"/>
    <col min="7164" max="7164" width="6.42578125" style="435" bestFit="1" customWidth="1"/>
    <col min="7165" max="7410" width="9.140625" style="435"/>
    <col min="7411" max="7411" width="3.140625" style="435" customWidth="1"/>
    <col min="7412" max="7412" width="39.5703125" style="435" customWidth="1"/>
    <col min="7413" max="7413" width="12.85546875" style="435" customWidth="1"/>
    <col min="7414" max="7414" width="10" style="435" bestFit="1" customWidth="1"/>
    <col min="7415" max="7415" width="9.140625" style="435"/>
    <col min="7416" max="7416" width="9" style="435" customWidth="1"/>
    <col min="7417" max="7417" width="38.140625" style="435" bestFit="1" customWidth="1"/>
    <col min="7418" max="7418" width="13.140625" style="435" customWidth="1"/>
    <col min="7419" max="7419" width="9.28515625" style="435" bestFit="1" customWidth="1"/>
    <col min="7420" max="7420" width="6.42578125" style="435" bestFit="1" customWidth="1"/>
    <col min="7421" max="7666" width="9.140625" style="435"/>
    <col min="7667" max="7667" width="3.140625" style="435" customWidth="1"/>
    <col min="7668" max="7668" width="39.5703125" style="435" customWidth="1"/>
    <col min="7669" max="7669" width="12.85546875" style="435" customWidth="1"/>
    <col min="7670" max="7670" width="10" style="435" bestFit="1" customWidth="1"/>
    <col min="7671" max="7671" width="9.140625" style="435"/>
    <col min="7672" max="7672" width="9" style="435" customWidth="1"/>
    <col min="7673" max="7673" width="38.140625" style="435" bestFit="1" customWidth="1"/>
    <col min="7674" max="7674" width="13.140625" style="435" customWidth="1"/>
    <col min="7675" max="7675" width="9.28515625" style="435" bestFit="1" customWidth="1"/>
    <col min="7676" max="7676" width="6.42578125" style="435" bestFit="1" customWidth="1"/>
    <col min="7677" max="7922" width="9.140625" style="435"/>
    <col min="7923" max="7923" width="3.140625" style="435" customWidth="1"/>
    <col min="7924" max="7924" width="39.5703125" style="435" customWidth="1"/>
    <col min="7925" max="7925" width="12.85546875" style="435" customWidth="1"/>
    <col min="7926" max="7926" width="10" style="435" bestFit="1" customWidth="1"/>
    <col min="7927" max="7927" width="9.140625" style="435"/>
    <col min="7928" max="7928" width="9" style="435" customWidth="1"/>
    <col min="7929" max="7929" width="38.140625" style="435" bestFit="1" customWidth="1"/>
    <col min="7930" max="7930" width="13.140625" style="435" customWidth="1"/>
    <col min="7931" max="7931" width="9.28515625" style="435" bestFit="1" customWidth="1"/>
    <col min="7932" max="7932" width="6.42578125" style="435" bestFit="1" customWidth="1"/>
    <col min="7933" max="8178" width="9.140625" style="435"/>
    <col min="8179" max="8179" width="3.140625" style="435" customWidth="1"/>
    <col min="8180" max="8180" width="39.5703125" style="435" customWidth="1"/>
    <col min="8181" max="8181" width="12.85546875" style="435" customWidth="1"/>
    <col min="8182" max="8182" width="10" style="435" bestFit="1" customWidth="1"/>
    <col min="8183" max="8183" width="9.140625" style="435"/>
    <col min="8184" max="8184" width="9" style="435" customWidth="1"/>
    <col min="8185" max="8185" width="38.140625" style="435" bestFit="1" customWidth="1"/>
    <col min="8186" max="8186" width="13.140625" style="435" customWidth="1"/>
    <col min="8187" max="8187" width="9.28515625" style="435" bestFit="1" customWidth="1"/>
    <col min="8188" max="8188" width="6.42578125" style="435" bestFit="1" customWidth="1"/>
    <col min="8189" max="8434" width="9.140625" style="435"/>
    <col min="8435" max="8435" width="3.140625" style="435" customWidth="1"/>
    <col min="8436" max="8436" width="39.5703125" style="435" customWidth="1"/>
    <col min="8437" max="8437" width="12.85546875" style="435" customWidth="1"/>
    <col min="8438" max="8438" width="10" style="435" bestFit="1" customWidth="1"/>
    <col min="8439" max="8439" width="9.140625" style="435"/>
    <col min="8440" max="8440" width="9" style="435" customWidth="1"/>
    <col min="8441" max="8441" width="38.140625" style="435" bestFit="1" customWidth="1"/>
    <col min="8442" max="8442" width="13.140625" style="435" customWidth="1"/>
    <col min="8443" max="8443" width="9.28515625" style="435" bestFit="1" customWidth="1"/>
    <col min="8444" max="8444" width="6.42578125" style="435" bestFit="1" customWidth="1"/>
    <col min="8445" max="8690" width="9.140625" style="435"/>
    <col min="8691" max="8691" width="3.140625" style="435" customWidth="1"/>
    <col min="8692" max="8692" width="39.5703125" style="435" customWidth="1"/>
    <col min="8693" max="8693" width="12.85546875" style="435" customWidth="1"/>
    <col min="8694" max="8694" width="10" style="435" bestFit="1" customWidth="1"/>
    <col min="8695" max="8695" width="9.140625" style="435"/>
    <col min="8696" max="8696" width="9" style="435" customWidth="1"/>
    <col min="8697" max="8697" width="38.140625" style="435" bestFit="1" customWidth="1"/>
    <col min="8698" max="8698" width="13.140625" style="435" customWidth="1"/>
    <col min="8699" max="8699" width="9.28515625" style="435" bestFit="1" customWidth="1"/>
    <col min="8700" max="8700" width="6.42578125" style="435" bestFit="1" customWidth="1"/>
    <col min="8701" max="8946" width="9.140625" style="435"/>
    <col min="8947" max="8947" width="3.140625" style="435" customWidth="1"/>
    <col min="8948" max="8948" width="39.5703125" style="435" customWidth="1"/>
    <col min="8949" max="8949" width="12.85546875" style="435" customWidth="1"/>
    <col min="8950" max="8950" width="10" style="435" bestFit="1" customWidth="1"/>
    <col min="8951" max="8951" width="9.140625" style="435"/>
    <col min="8952" max="8952" width="9" style="435" customWidth="1"/>
    <col min="8953" max="8953" width="38.140625" style="435" bestFit="1" customWidth="1"/>
    <col min="8954" max="8954" width="13.140625" style="435" customWidth="1"/>
    <col min="8955" max="8955" width="9.28515625" style="435" bestFit="1" customWidth="1"/>
    <col min="8956" max="8956" width="6.42578125" style="435" bestFit="1" customWidth="1"/>
    <col min="8957" max="9202" width="9.140625" style="435"/>
    <col min="9203" max="9203" width="3.140625" style="435" customWidth="1"/>
    <col min="9204" max="9204" width="39.5703125" style="435" customWidth="1"/>
    <col min="9205" max="9205" width="12.85546875" style="435" customWidth="1"/>
    <col min="9206" max="9206" width="10" style="435" bestFit="1" customWidth="1"/>
    <col min="9207" max="9207" width="9.140625" style="435"/>
    <col min="9208" max="9208" width="9" style="435" customWidth="1"/>
    <col min="9209" max="9209" width="38.140625" style="435" bestFit="1" customWidth="1"/>
    <col min="9210" max="9210" width="13.140625" style="435" customWidth="1"/>
    <col min="9211" max="9211" width="9.28515625" style="435" bestFit="1" customWidth="1"/>
    <col min="9212" max="9212" width="6.42578125" style="435" bestFit="1" customWidth="1"/>
    <col min="9213" max="9458" width="9.140625" style="435"/>
    <col min="9459" max="9459" width="3.140625" style="435" customWidth="1"/>
    <col min="9460" max="9460" width="39.5703125" style="435" customWidth="1"/>
    <col min="9461" max="9461" width="12.85546875" style="435" customWidth="1"/>
    <col min="9462" max="9462" width="10" style="435" bestFit="1" customWidth="1"/>
    <col min="9463" max="9463" width="9.140625" style="435"/>
    <col min="9464" max="9464" width="9" style="435" customWidth="1"/>
    <col min="9465" max="9465" width="38.140625" style="435" bestFit="1" customWidth="1"/>
    <col min="9466" max="9466" width="13.140625" style="435" customWidth="1"/>
    <col min="9467" max="9467" width="9.28515625" style="435" bestFit="1" customWidth="1"/>
    <col min="9468" max="9468" width="6.42578125" style="435" bestFit="1" customWidth="1"/>
    <col min="9469" max="9714" width="9.140625" style="435"/>
    <col min="9715" max="9715" width="3.140625" style="435" customWidth="1"/>
    <col min="9716" max="9716" width="39.5703125" style="435" customWidth="1"/>
    <col min="9717" max="9717" width="12.85546875" style="435" customWidth="1"/>
    <col min="9718" max="9718" width="10" style="435" bestFit="1" customWidth="1"/>
    <col min="9719" max="9719" width="9.140625" style="435"/>
    <col min="9720" max="9720" width="9" style="435" customWidth="1"/>
    <col min="9721" max="9721" width="38.140625" style="435" bestFit="1" customWidth="1"/>
    <col min="9722" max="9722" width="13.140625" style="435" customWidth="1"/>
    <col min="9723" max="9723" width="9.28515625" style="435" bestFit="1" customWidth="1"/>
    <col min="9724" max="9724" width="6.42578125" style="435" bestFit="1" customWidth="1"/>
    <col min="9725" max="9970" width="9.140625" style="435"/>
    <col min="9971" max="9971" width="3.140625" style="435" customWidth="1"/>
    <col min="9972" max="9972" width="39.5703125" style="435" customWidth="1"/>
    <col min="9973" max="9973" width="12.85546875" style="435" customWidth="1"/>
    <col min="9974" max="9974" width="10" style="435" bestFit="1" customWidth="1"/>
    <col min="9975" max="9975" width="9.140625" style="435"/>
    <col min="9976" max="9976" width="9" style="435" customWidth="1"/>
    <col min="9977" max="9977" width="38.140625" style="435" bestFit="1" customWidth="1"/>
    <col min="9978" max="9978" width="13.140625" style="435" customWidth="1"/>
    <col min="9979" max="9979" width="9.28515625" style="435" bestFit="1" customWidth="1"/>
    <col min="9980" max="9980" width="6.42578125" style="435" bestFit="1" customWidth="1"/>
    <col min="9981" max="10226" width="9.140625" style="435"/>
    <col min="10227" max="10227" width="3.140625" style="435" customWidth="1"/>
    <col min="10228" max="10228" width="39.5703125" style="435" customWidth="1"/>
    <col min="10229" max="10229" width="12.85546875" style="435" customWidth="1"/>
    <col min="10230" max="10230" width="10" style="435" bestFit="1" customWidth="1"/>
    <col min="10231" max="10231" width="9.140625" style="435"/>
    <col min="10232" max="10232" width="9" style="435" customWidth="1"/>
    <col min="10233" max="10233" width="38.140625" style="435" bestFit="1" customWidth="1"/>
    <col min="10234" max="10234" width="13.140625" style="435" customWidth="1"/>
    <col min="10235" max="10235" width="9.28515625" style="435" bestFit="1" customWidth="1"/>
    <col min="10236" max="10236" width="6.42578125" style="435" bestFit="1" customWidth="1"/>
    <col min="10237" max="10482" width="9.140625" style="435"/>
    <col min="10483" max="10483" width="3.140625" style="435" customWidth="1"/>
    <col min="10484" max="10484" width="39.5703125" style="435" customWidth="1"/>
    <col min="10485" max="10485" width="12.85546875" style="435" customWidth="1"/>
    <col min="10486" max="10486" width="10" style="435" bestFit="1" customWidth="1"/>
    <col min="10487" max="10487" width="9.140625" style="435"/>
    <col min="10488" max="10488" width="9" style="435" customWidth="1"/>
    <col min="10489" max="10489" width="38.140625" style="435" bestFit="1" customWidth="1"/>
    <col min="10490" max="10490" width="13.140625" style="435" customWidth="1"/>
    <col min="10491" max="10491" width="9.28515625" style="435" bestFit="1" customWidth="1"/>
    <col min="10492" max="10492" width="6.42578125" style="435" bestFit="1" customWidth="1"/>
    <col min="10493" max="10738" width="9.140625" style="435"/>
    <col min="10739" max="10739" width="3.140625" style="435" customWidth="1"/>
    <col min="10740" max="10740" width="39.5703125" style="435" customWidth="1"/>
    <col min="10741" max="10741" width="12.85546875" style="435" customWidth="1"/>
    <col min="10742" max="10742" width="10" style="435" bestFit="1" customWidth="1"/>
    <col min="10743" max="10743" width="9.140625" style="435"/>
    <col min="10744" max="10744" width="9" style="435" customWidth="1"/>
    <col min="10745" max="10745" width="38.140625" style="435" bestFit="1" customWidth="1"/>
    <col min="10746" max="10746" width="13.140625" style="435" customWidth="1"/>
    <col min="10747" max="10747" width="9.28515625" style="435" bestFit="1" customWidth="1"/>
    <col min="10748" max="10748" width="6.42578125" style="435" bestFit="1" customWidth="1"/>
    <col min="10749" max="10994" width="9.140625" style="435"/>
    <col min="10995" max="10995" width="3.140625" style="435" customWidth="1"/>
    <col min="10996" max="10996" width="39.5703125" style="435" customWidth="1"/>
    <col min="10997" max="10997" width="12.85546875" style="435" customWidth="1"/>
    <col min="10998" max="10998" width="10" style="435" bestFit="1" customWidth="1"/>
    <col min="10999" max="10999" width="9.140625" style="435"/>
    <col min="11000" max="11000" width="9" style="435" customWidth="1"/>
    <col min="11001" max="11001" width="38.140625" style="435" bestFit="1" customWidth="1"/>
    <col min="11002" max="11002" width="13.140625" style="435" customWidth="1"/>
    <col min="11003" max="11003" width="9.28515625" style="435" bestFit="1" customWidth="1"/>
    <col min="11004" max="11004" width="6.42578125" style="435" bestFit="1" customWidth="1"/>
    <col min="11005" max="11250" width="9.140625" style="435"/>
    <col min="11251" max="11251" width="3.140625" style="435" customWidth="1"/>
    <col min="11252" max="11252" width="39.5703125" style="435" customWidth="1"/>
    <col min="11253" max="11253" width="12.85546875" style="435" customWidth="1"/>
    <col min="11254" max="11254" width="10" style="435" bestFit="1" customWidth="1"/>
    <col min="11255" max="11255" width="9.140625" style="435"/>
    <col min="11256" max="11256" width="9" style="435" customWidth="1"/>
    <col min="11257" max="11257" width="38.140625" style="435" bestFit="1" customWidth="1"/>
    <col min="11258" max="11258" width="13.140625" style="435" customWidth="1"/>
    <col min="11259" max="11259" width="9.28515625" style="435" bestFit="1" customWidth="1"/>
    <col min="11260" max="11260" width="6.42578125" style="435" bestFit="1" customWidth="1"/>
    <col min="11261" max="11506" width="9.140625" style="435"/>
    <col min="11507" max="11507" width="3.140625" style="435" customWidth="1"/>
    <col min="11508" max="11508" width="39.5703125" style="435" customWidth="1"/>
    <col min="11509" max="11509" width="12.85546875" style="435" customWidth="1"/>
    <col min="11510" max="11510" width="10" style="435" bestFit="1" customWidth="1"/>
    <col min="11511" max="11511" width="9.140625" style="435"/>
    <col min="11512" max="11512" width="9" style="435" customWidth="1"/>
    <col min="11513" max="11513" width="38.140625" style="435" bestFit="1" customWidth="1"/>
    <col min="11514" max="11514" width="13.140625" style="435" customWidth="1"/>
    <col min="11515" max="11515" width="9.28515625" style="435" bestFit="1" customWidth="1"/>
    <col min="11516" max="11516" width="6.42578125" style="435" bestFit="1" customWidth="1"/>
    <col min="11517" max="11762" width="9.140625" style="435"/>
    <col min="11763" max="11763" width="3.140625" style="435" customWidth="1"/>
    <col min="11764" max="11764" width="39.5703125" style="435" customWidth="1"/>
    <col min="11765" max="11765" width="12.85546875" style="435" customWidth="1"/>
    <col min="11766" max="11766" width="10" style="435" bestFit="1" customWidth="1"/>
    <col min="11767" max="11767" width="9.140625" style="435"/>
    <col min="11768" max="11768" width="9" style="435" customWidth="1"/>
    <col min="11769" max="11769" width="38.140625" style="435" bestFit="1" customWidth="1"/>
    <col min="11770" max="11770" width="13.140625" style="435" customWidth="1"/>
    <col min="11771" max="11771" width="9.28515625" style="435" bestFit="1" customWidth="1"/>
    <col min="11772" max="11772" width="6.42578125" style="435" bestFit="1" customWidth="1"/>
    <col min="11773" max="12018" width="9.140625" style="435"/>
    <col min="12019" max="12019" width="3.140625" style="435" customWidth="1"/>
    <col min="12020" max="12020" width="39.5703125" style="435" customWidth="1"/>
    <col min="12021" max="12021" width="12.85546875" style="435" customWidth="1"/>
    <col min="12022" max="12022" width="10" style="435" bestFit="1" customWidth="1"/>
    <col min="12023" max="12023" width="9.140625" style="435"/>
    <col min="12024" max="12024" width="9" style="435" customWidth="1"/>
    <col min="12025" max="12025" width="38.140625" style="435" bestFit="1" customWidth="1"/>
    <col min="12026" max="12026" width="13.140625" style="435" customWidth="1"/>
    <col min="12027" max="12027" width="9.28515625" style="435" bestFit="1" customWidth="1"/>
    <col min="12028" max="12028" width="6.42578125" style="435" bestFit="1" customWidth="1"/>
    <col min="12029" max="12274" width="9.140625" style="435"/>
    <col min="12275" max="12275" width="3.140625" style="435" customWidth="1"/>
    <col min="12276" max="12276" width="39.5703125" style="435" customWidth="1"/>
    <col min="12277" max="12277" width="12.85546875" style="435" customWidth="1"/>
    <col min="12278" max="12278" width="10" style="435" bestFit="1" customWidth="1"/>
    <col min="12279" max="12279" width="9.140625" style="435"/>
    <col min="12280" max="12280" width="9" style="435" customWidth="1"/>
    <col min="12281" max="12281" width="38.140625" style="435" bestFit="1" customWidth="1"/>
    <col min="12282" max="12282" width="13.140625" style="435" customWidth="1"/>
    <col min="12283" max="12283" width="9.28515625" style="435" bestFit="1" customWidth="1"/>
    <col min="12284" max="12284" width="6.42578125" style="435" bestFit="1" customWidth="1"/>
    <col min="12285" max="12530" width="9.140625" style="435"/>
    <col min="12531" max="12531" width="3.140625" style="435" customWidth="1"/>
    <col min="12532" max="12532" width="39.5703125" style="435" customWidth="1"/>
    <col min="12533" max="12533" width="12.85546875" style="435" customWidth="1"/>
    <col min="12534" max="12534" width="10" style="435" bestFit="1" customWidth="1"/>
    <col min="12535" max="12535" width="9.140625" style="435"/>
    <col min="12536" max="12536" width="9" style="435" customWidth="1"/>
    <col min="12537" max="12537" width="38.140625" style="435" bestFit="1" customWidth="1"/>
    <col min="12538" max="12538" width="13.140625" style="435" customWidth="1"/>
    <col min="12539" max="12539" width="9.28515625" style="435" bestFit="1" customWidth="1"/>
    <col min="12540" max="12540" width="6.42578125" style="435" bestFit="1" customWidth="1"/>
    <col min="12541" max="12786" width="9.140625" style="435"/>
    <col min="12787" max="12787" width="3.140625" style="435" customWidth="1"/>
    <col min="12788" max="12788" width="39.5703125" style="435" customWidth="1"/>
    <col min="12789" max="12789" width="12.85546875" style="435" customWidth="1"/>
    <col min="12790" max="12790" width="10" style="435" bestFit="1" customWidth="1"/>
    <col min="12791" max="12791" width="9.140625" style="435"/>
    <col min="12792" max="12792" width="9" style="435" customWidth="1"/>
    <col min="12793" max="12793" width="38.140625" style="435" bestFit="1" customWidth="1"/>
    <col min="12794" max="12794" width="13.140625" style="435" customWidth="1"/>
    <col min="12795" max="12795" width="9.28515625" style="435" bestFit="1" customWidth="1"/>
    <col min="12796" max="12796" width="6.42578125" style="435" bestFit="1" customWidth="1"/>
    <col min="12797" max="13042" width="9.140625" style="435"/>
    <col min="13043" max="13043" width="3.140625" style="435" customWidth="1"/>
    <col min="13044" max="13044" width="39.5703125" style="435" customWidth="1"/>
    <col min="13045" max="13045" width="12.85546875" style="435" customWidth="1"/>
    <col min="13046" max="13046" width="10" style="435" bestFit="1" customWidth="1"/>
    <col min="13047" max="13047" width="9.140625" style="435"/>
    <col min="13048" max="13048" width="9" style="435" customWidth="1"/>
    <col min="13049" max="13049" width="38.140625" style="435" bestFit="1" customWidth="1"/>
    <col min="13050" max="13050" width="13.140625" style="435" customWidth="1"/>
    <col min="13051" max="13051" width="9.28515625" style="435" bestFit="1" customWidth="1"/>
    <col min="13052" max="13052" width="6.42578125" style="435" bestFit="1" customWidth="1"/>
    <col min="13053" max="13298" width="9.140625" style="435"/>
    <col min="13299" max="13299" width="3.140625" style="435" customWidth="1"/>
    <col min="13300" max="13300" width="39.5703125" style="435" customWidth="1"/>
    <col min="13301" max="13301" width="12.85546875" style="435" customWidth="1"/>
    <col min="13302" max="13302" width="10" style="435" bestFit="1" customWidth="1"/>
    <col min="13303" max="13303" width="9.140625" style="435"/>
    <col min="13304" max="13304" width="9" style="435" customWidth="1"/>
    <col min="13305" max="13305" width="38.140625" style="435" bestFit="1" customWidth="1"/>
    <col min="13306" max="13306" width="13.140625" style="435" customWidth="1"/>
    <col min="13307" max="13307" width="9.28515625" style="435" bestFit="1" customWidth="1"/>
    <col min="13308" max="13308" width="6.42578125" style="435" bestFit="1" customWidth="1"/>
    <col min="13309" max="13554" width="9.140625" style="435"/>
    <col min="13555" max="13555" width="3.140625" style="435" customWidth="1"/>
    <col min="13556" max="13556" width="39.5703125" style="435" customWidth="1"/>
    <col min="13557" max="13557" width="12.85546875" style="435" customWidth="1"/>
    <col min="13558" max="13558" width="10" style="435" bestFit="1" customWidth="1"/>
    <col min="13559" max="13559" width="9.140625" style="435"/>
    <col min="13560" max="13560" width="9" style="435" customWidth="1"/>
    <col min="13561" max="13561" width="38.140625" style="435" bestFit="1" customWidth="1"/>
    <col min="13562" max="13562" width="13.140625" style="435" customWidth="1"/>
    <col min="13563" max="13563" width="9.28515625" style="435" bestFit="1" customWidth="1"/>
    <col min="13564" max="13564" width="6.42578125" style="435" bestFit="1" customWidth="1"/>
    <col min="13565" max="13810" width="9.140625" style="435"/>
    <col min="13811" max="13811" width="3.140625" style="435" customWidth="1"/>
    <col min="13812" max="13812" width="39.5703125" style="435" customWidth="1"/>
    <col min="13813" max="13813" width="12.85546875" style="435" customWidth="1"/>
    <col min="13814" max="13814" width="10" style="435" bestFit="1" customWidth="1"/>
    <col min="13815" max="13815" width="9.140625" style="435"/>
    <col min="13816" max="13816" width="9" style="435" customWidth="1"/>
    <col min="13817" max="13817" width="38.140625" style="435" bestFit="1" customWidth="1"/>
    <col min="13818" max="13818" width="13.140625" style="435" customWidth="1"/>
    <col min="13819" max="13819" width="9.28515625" style="435" bestFit="1" customWidth="1"/>
    <col min="13820" max="13820" width="6.42578125" style="435" bestFit="1" customWidth="1"/>
    <col min="13821" max="14066" width="9.140625" style="435"/>
    <col min="14067" max="14067" width="3.140625" style="435" customWidth="1"/>
    <col min="14068" max="14068" width="39.5703125" style="435" customWidth="1"/>
    <col min="14069" max="14069" width="12.85546875" style="435" customWidth="1"/>
    <col min="14070" max="14070" width="10" style="435" bestFit="1" customWidth="1"/>
    <col min="14071" max="14071" width="9.140625" style="435"/>
    <col min="14072" max="14072" width="9" style="435" customWidth="1"/>
    <col min="14073" max="14073" width="38.140625" style="435" bestFit="1" customWidth="1"/>
    <col min="14074" max="14074" width="13.140625" style="435" customWidth="1"/>
    <col min="14075" max="14075" width="9.28515625" style="435" bestFit="1" customWidth="1"/>
    <col min="14076" max="14076" width="6.42578125" style="435" bestFit="1" customWidth="1"/>
    <col min="14077" max="14322" width="9.140625" style="435"/>
    <col min="14323" max="14323" width="3.140625" style="435" customWidth="1"/>
    <col min="14324" max="14324" width="39.5703125" style="435" customWidth="1"/>
    <col min="14325" max="14325" width="12.85546875" style="435" customWidth="1"/>
    <col min="14326" max="14326" width="10" style="435" bestFit="1" customWidth="1"/>
    <col min="14327" max="14327" width="9.140625" style="435"/>
    <col min="14328" max="14328" width="9" style="435" customWidth="1"/>
    <col min="14329" max="14329" width="38.140625" style="435" bestFit="1" customWidth="1"/>
    <col min="14330" max="14330" width="13.140625" style="435" customWidth="1"/>
    <col min="14331" max="14331" width="9.28515625" style="435" bestFit="1" customWidth="1"/>
    <col min="14332" max="14332" width="6.42578125" style="435" bestFit="1" customWidth="1"/>
    <col min="14333" max="14578" width="9.140625" style="435"/>
    <col min="14579" max="14579" width="3.140625" style="435" customWidth="1"/>
    <col min="14580" max="14580" width="39.5703125" style="435" customWidth="1"/>
    <col min="14581" max="14581" width="12.85546875" style="435" customWidth="1"/>
    <col min="14582" max="14582" width="10" style="435" bestFit="1" customWidth="1"/>
    <col min="14583" max="14583" width="9.140625" style="435"/>
    <col min="14584" max="14584" width="9" style="435" customWidth="1"/>
    <col min="14585" max="14585" width="38.140625" style="435" bestFit="1" customWidth="1"/>
    <col min="14586" max="14586" width="13.140625" style="435" customWidth="1"/>
    <col min="14587" max="14587" width="9.28515625" style="435" bestFit="1" customWidth="1"/>
    <col min="14588" max="14588" width="6.42578125" style="435" bestFit="1" customWidth="1"/>
    <col min="14589" max="14834" width="9.140625" style="435"/>
    <col min="14835" max="14835" width="3.140625" style="435" customWidth="1"/>
    <col min="14836" max="14836" width="39.5703125" style="435" customWidth="1"/>
    <col min="14837" max="14837" width="12.85546875" style="435" customWidth="1"/>
    <col min="14838" max="14838" width="10" style="435" bestFit="1" customWidth="1"/>
    <col min="14839" max="14839" width="9.140625" style="435"/>
    <col min="14840" max="14840" width="9" style="435" customWidth="1"/>
    <col min="14841" max="14841" width="38.140625" style="435" bestFit="1" customWidth="1"/>
    <col min="14842" max="14842" width="13.140625" style="435" customWidth="1"/>
    <col min="14843" max="14843" width="9.28515625" style="435" bestFit="1" customWidth="1"/>
    <col min="14844" max="14844" width="6.42578125" style="435" bestFit="1" customWidth="1"/>
    <col min="14845" max="15090" width="9.140625" style="435"/>
    <col min="15091" max="15091" width="3.140625" style="435" customWidth="1"/>
    <col min="15092" max="15092" width="39.5703125" style="435" customWidth="1"/>
    <col min="15093" max="15093" width="12.85546875" style="435" customWidth="1"/>
    <col min="15094" max="15094" width="10" style="435" bestFit="1" customWidth="1"/>
    <col min="15095" max="15095" width="9.140625" style="435"/>
    <col min="15096" max="15096" width="9" style="435" customWidth="1"/>
    <col min="15097" max="15097" width="38.140625" style="435" bestFit="1" customWidth="1"/>
    <col min="15098" max="15098" width="13.140625" style="435" customWidth="1"/>
    <col min="15099" max="15099" width="9.28515625" style="435" bestFit="1" customWidth="1"/>
    <col min="15100" max="15100" width="6.42578125" style="435" bestFit="1" customWidth="1"/>
    <col min="15101" max="15346" width="9.140625" style="435"/>
    <col min="15347" max="15347" width="3.140625" style="435" customWidth="1"/>
    <col min="15348" max="15348" width="39.5703125" style="435" customWidth="1"/>
    <col min="15349" max="15349" width="12.85546875" style="435" customWidth="1"/>
    <col min="15350" max="15350" width="10" style="435" bestFit="1" customWidth="1"/>
    <col min="15351" max="15351" width="9.140625" style="435"/>
    <col min="15352" max="15352" width="9" style="435" customWidth="1"/>
    <col min="15353" max="15353" width="38.140625" style="435" bestFit="1" customWidth="1"/>
    <col min="15354" max="15354" width="13.140625" style="435" customWidth="1"/>
    <col min="15355" max="15355" width="9.28515625" style="435" bestFit="1" customWidth="1"/>
    <col min="15356" max="15356" width="6.42578125" style="435" bestFit="1" customWidth="1"/>
    <col min="15357" max="15602" width="9.140625" style="435"/>
    <col min="15603" max="15603" width="3.140625" style="435" customWidth="1"/>
    <col min="15604" max="15604" width="39.5703125" style="435" customWidth="1"/>
    <col min="15605" max="15605" width="12.85546875" style="435" customWidth="1"/>
    <col min="15606" max="15606" width="10" style="435" bestFit="1" customWidth="1"/>
    <col min="15607" max="15607" width="9.140625" style="435"/>
    <col min="15608" max="15608" width="9" style="435" customWidth="1"/>
    <col min="15609" max="15609" width="38.140625" style="435" bestFit="1" customWidth="1"/>
    <col min="15610" max="15610" width="13.140625" style="435" customWidth="1"/>
    <col min="15611" max="15611" width="9.28515625" style="435" bestFit="1" customWidth="1"/>
    <col min="15612" max="15612" width="6.42578125" style="435" bestFit="1" customWidth="1"/>
    <col min="15613" max="15858" width="9.140625" style="435"/>
    <col min="15859" max="15859" width="3.140625" style="435" customWidth="1"/>
    <col min="15860" max="15860" width="39.5703125" style="435" customWidth="1"/>
    <col min="15861" max="15861" width="12.85546875" style="435" customWidth="1"/>
    <col min="15862" max="15862" width="10" style="435" bestFit="1" customWidth="1"/>
    <col min="15863" max="15863" width="9.140625" style="435"/>
    <col min="15864" max="15864" width="9" style="435" customWidth="1"/>
    <col min="15865" max="15865" width="38.140625" style="435" bestFit="1" customWidth="1"/>
    <col min="15866" max="15866" width="13.140625" style="435" customWidth="1"/>
    <col min="15867" max="15867" width="9.28515625" style="435" bestFit="1" customWidth="1"/>
    <col min="15868" max="15868" width="6.42578125" style="435" bestFit="1" customWidth="1"/>
    <col min="15869" max="16114" width="9.140625" style="435"/>
    <col min="16115" max="16115" width="3.140625" style="435" customWidth="1"/>
    <col min="16116" max="16116" width="39.5703125" style="435" customWidth="1"/>
    <col min="16117" max="16117" width="12.85546875" style="435" customWidth="1"/>
    <col min="16118" max="16118" width="10" style="435" bestFit="1" customWidth="1"/>
    <col min="16119" max="16119" width="9.140625" style="435"/>
    <col min="16120" max="16120" width="9" style="435" customWidth="1"/>
    <col min="16121" max="16121" width="38.140625" style="435" bestFit="1" customWidth="1"/>
    <col min="16122" max="16122" width="13.140625" style="435" customWidth="1"/>
    <col min="16123" max="16123" width="9.28515625" style="435" bestFit="1" customWidth="1"/>
    <col min="16124" max="16124" width="6.42578125" style="435" bestFit="1" customWidth="1"/>
    <col min="16125" max="16384" width="9.140625" style="435"/>
  </cols>
  <sheetData>
    <row r="1" spans="1:12" ht="24" thickBot="1">
      <c r="F1" s="2777" t="s">
        <v>1749</v>
      </c>
      <c r="G1" s="2778"/>
      <c r="H1" s="2779"/>
    </row>
    <row r="2" spans="1:12" ht="26.25" customHeight="1" thickBot="1">
      <c r="A2" s="1750"/>
      <c r="B2" s="3042" t="s">
        <v>1629</v>
      </c>
      <c r="C2" s="3043"/>
      <c r="D2" s="3044"/>
      <c r="F2" s="3045" t="s">
        <v>1618</v>
      </c>
      <c r="G2" s="3047" t="s">
        <v>1619</v>
      </c>
      <c r="H2" s="3048"/>
      <c r="J2" s="3051" t="s">
        <v>1632</v>
      </c>
      <c r="K2" s="3052"/>
    </row>
    <row r="3" spans="1:12" ht="16.5" thickBot="1">
      <c r="B3" s="2943" t="s">
        <v>926</v>
      </c>
      <c r="C3" s="2944"/>
      <c r="D3" s="2945"/>
      <c r="F3" s="3046"/>
      <c r="G3" s="3049"/>
      <c r="H3" s="3050"/>
      <c r="J3" s="3053">
        <v>100</v>
      </c>
      <c r="K3" s="3054"/>
    </row>
    <row r="4" spans="1:12" ht="12.75" customHeight="1">
      <c r="B4" s="1759" t="s">
        <v>1621</v>
      </c>
      <c r="C4" s="1772">
        <v>0.25</v>
      </c>
      <c r="D4" s="841" t="s">
        <v>1628</v>
      </c>
      <c r="F4" s="1764">
        <v>2.2000000000000002</v>
      </c>
      <c r="G4" s="1768">
        <v>1.5</v>
      </c>
      <c r="H4" s="780" t="s">
        <v>732</v>
      </c>
      <c r="I4" s="1771">
        <f t="shared" ref="I4:I11" si="0">G5</f>
        <v>3.2</v>
      </c>
      <c r="J4" s="1783">
        <f>$J$3</f>
        <v>100</v>
      </c>
      <c r="K4" s="1784">
        <f>C18-($C$8*C18)</f>
        <v>6.21</v>
      </c>
      <c r="L4" s="780" t="s">
        <v>732</v>
      </c>
    </row>
    <row r="5" spans="1:12" ht="15.75" customHeight="1">
      <c r="B5" s="1762" t="s">
        <v>1606</v>
      </c>
      <c r="C5" s="840">
        <v>3</v>
      </c>
      <c r="D5" s="841"/>
      <c r="F5" s="1765">
        <v>4</v>
      </c>
      <c r="G5" s="1769">
        <v>3.2</v>
      </c>
      <c r="H5" s="782" t="s">
        <v>732</v>
      </c>
      <c r="I5" s="1771">
        <f t="shared" si="0"/>
        <v>4.5</v>
      </c>
      <c r="J5" s="1785">
        <f t="shared" ref="J5:J18" si="1">J4+$J$3</f>
        <v>200</v>
      </c>
      <c r="K5" s="1786">
        <f t="shared" ref="K5:K18" si="2">K4-($C$8*K4)</f>
        <v>5.1418800000000005</v>
      </c>
      <c r="L5" s="782" t="s">
        <v>732</v>
      </c>
    </row>
    <row r="6" spans="1:12">
      <c r="B6" s="1762" t="s">
        <v>1605</v>
      </c>
      <c r="C6" s="840">
        <v>3.5</v>
      </c>
      <c r="D6" s="841"/>
      <c r="F6" s="1765" t="s">
        <v>1615</v>
      </c>
      <c r="G6" s="1769">
        <v>4.5</v>
      </c>
      <c r="H6" s="782" t="s">
        <v>732</v>
      </c>
      <c r="I6" s="1771">
        <f t="shared" si="0"/>
        <v>6</v>
      </c>
      <c r="J6" s="1785">
        <f t="shared" si="1"/>
        <v>300</v>
      </c>
      <c r="K6" s="1786">
        <f t="shared" si="2"/>
        <v>4.2574766400000001</v>
      </c>
      <c r="L6" s="782" t="s">
        <v>732</v>
      </c>
    </row>
    <row r="7" spans="1:12" s="736" customFormat="1" ht="15" customHeight="1">
      <c r="A7" s="435"/>
      <c r="B7" s="1762" t="s">
        <v>971</v>
      </c>
      <c r="C7" s="1761">
        <v>615</v>
      </c>
      <c r="D7" s="841" t="s">
        <v>357</v>
      </c>
      <c r="F7" s="1766" t="s">
        <v>1616</v>
      </c>
      <c r="G7" s="1769">
        <v>6</v>
      </c>
      <c r="H7" s="782" t="s">
        <v>732</v>
      </c>
      <c r="I7" s="1771">
        <f t="shared" si="0"/>
        <v>7.5</v>
      </c>
      <c r="J7" s="1785">
        <f t="shared" si="1"/>
        <v>400</v>
      </c>
      <c r="K7" s="1786">
        <f t="shared" si="2"/>
        <v>3.5251906579200001</v>
      </c>
      <c r="L7" s="782" t="s">
        <v>732</v>
      </c>
    </row>
    <row r="8" spans="1:12" s="736" customFormat="1" ht="15">
      <c r="A8" s="435"/>
      <c r="B8" s="1791" t="s">
        <v>1414</v>
      </c>
      <c r="C8" s="2650">
        <v>0.17199999999999999</v>
      </c>
      <c r="D8" s="841" t="s">
        <v>1635</v>
      </c>
      <c r="F8" s="1765" t="s">
        <v>1617</v>
      </c>
      <c r="G8" s="1769">
        <v>7.5</v>
      </c>
      <c r="H8" s="782" t="s">
        <v>732</v>
      </c>
      <c r="I8" s="1771">
        <f t="shared" si="0"/>
        <v>9</v>
      </c>
      <c r="J8" s="1785">
        <f t="shared" si="1"/>
        <v>500</v>
      </c>
      <c r="K8" s="1786">
        <f t="shared" si="2"/>
        <v>2.9188578647577601</v>
      </c>
      <c r="L8" s="782" t="s">
        <v>732</v>
      </c>
    </row>
    <row r="9" spans="1:12" s="736" customFormat="1" ht="14.25" customHeight="1">
      <c r="B9" s="1762" t="s">
        <v>1611</v>
      </c>
      <c r="C9" s="1244">
        <f>C5*C6</f>
        <v>10.5</v>
      </c>
      <c r="D9" s="841" t="s">
        <v>896</v>
      </c>
      <c r="F9" s="1765">
        <v>22</v>
      </c>
      <c r="G9" s="1769">
        <v>9</v>
      </c>
      <c r="H9" s="782" t="s">
        <v>732</v>
      </c>
      <c r="I9" s="1771">
        <f t="shared" si="0"/>
        <v>12.5</v>
      </c>
      <c r="J9" s="1785">
        <f t="shared" si="1"/>
        <v>600</v>
      </c>
      <c r="K9" s="1786">
        <f t="shared" si="2"/>
        <v>2.4168143120194254</v>
      </c>
      <c r="L9" s="782" t="s">
        <v>732</v>
      </c>
    </row>
    <row r="10" spans="1:12">
      <c r="B10" s="1762" t="s">
        <v>1607</v>
      </c>
      <c r="C10" s="1763">
        <f>C9*C4</f>
        <v>2.625</v>
      </c>
      <c r="D10" s="565" t="s">
        <v>732</v>
      </c>
      <c r="F10" s="1765" t="s">
        <v>1620</v>
      </c>
      <c r="G10" s="1769">
        <v>12.5</v>
      </c>
      <c r="H10" s="782" t="s">
        <v>732</v>
      </c>
      <c r="I10" s="1771">
        <f t="shared" si="0"/>
        <v>18.5</v>
      </c>
      <c r="J10" s="1785">
        <f t="shared" si="1"/>
        <v>700</v>
      </c>
      <c r="K10" s="1786">
        <f t="shared" si="2"/>
        <v>2.0011222503520845</v>
      </c>
      <c r="L10" s="782" t="s">
        <v>732</v>
      </c>
    </row>
    <row r="11" spans="1:12">
      <c r="B11" s="1760" t="s">
        <v>1681</v>
      </c>
      <c r="C11" s="1746">
        <f>C8*(C7)</f>
        <v>105.77999999999999</v>
      </c>
      <c r="D11" s="841" t="s">
        <v>211</v>
      </c>
      <c r="F11" s="1765">
        <v>75</v>
      </c>
      <c r="G11" s="1769">
        <v>18.5</v>
      </c>
      <c r="H11" s="782" t="s">
        <v>732</v>
      </c>
      <c r="I11" s="1771">
        <f t="shared" si="0"/>
        <v>40</v>
      </c>
      <c r="J11" s="1785">
        <f t="shared" si="1"/>
        <v>800</v>
      </c>
      <c r="K11" s="1786">
        <f t="shared" si="2"/>
        <v>1.656929223291526</v>
      </c>
      <c r="L11" s="782" t="s">
        <v>732</v>
      </c>
    </row>
    <row r="12" spans="1:12" ht="13.5" thickBot="1">
      <c r="B12" s="1758" t="s">
        <v>1608</v>
      </c>
      <c r="C12" s="1744">
        <v>0.3</v>
      </c>
      <c r="D12" s="841" t="s">
        <v>889</v>
      </c>
      <c r="F12" s="1767">
        <v>160</v>
      </c>
      <c r="G12" s="1770">
        <v>40</v>
      </c>
      <c r="H12" s="796" t="s">
        <v>732</v>
      </c>
      <c r="I12" s="1771">
        <f>G12</f>
        <v>40</v>
      </c>
      <c r="J12" s="1785">
        <f t="shared" si="1"/>
        <v>900</v>
      </c>
      <c r="K12" s="1786">
        <f t="shared" si="2"/>
        <v>1.3719373968853836</v>
      </c>
      <c r="L12" s="782" t="s">
        <v>732</v>
      </c>
    </row>
    <row r="13" spans="1:12">
      <c r="B13" s="1758" t="s">
        <v>1610</v>
      </c>
      <c r="C13" s="768">
        <v>3</v>
      </c>
      <c r="D13" s="841" t="s">
        <v>889</v>
      </c>
      <c r="I13" s="1771"/>
      <c r="J13" s="1785">
        <f t="shared" si="1"/>
        <v>1000</v>
      </c>
      <c r="K13" s="1786">
        <f t="shared" si="2"/>
        <v>1.1359641646210976</v>
      </c>
      <c r="L13" s="782" t="s">
        <v>732</v>
      </c>
    </row>
    <row r="14" spans="1:12" ht="13.5" thickBot="1">
      <c r="B14" s="1758" t="s">
        <v>1609</v>
      </c>
      <c r="C14" s="768">
        <v>3.5</v>
      </c>
      <c r="D14" s="841" t="s">
        <v>889</v>
      </c>
      <c r="J14" s="1785">
        <f t="shared" si="1"/>
        <v>1100</v>
      </c>
      <c r="K14" s="1786">
        <f t="shared" si="2"/>
        <v>0.94057832830626886</v>
      </c>
      <c r="L14" s="782" t="s">
        <v>732</v>
      </c>
    </row>
    <row r="15" spans="1:12" ht="15.75" customHeight="1" thickBot="1">
      <c r="B15" s="1758" t="s">
        <v>1614</v>
      </c>
      <c r="C15" s="1747">
        <f>C12*C13*C14</f>
        <v>3.1499999999999995</v>
      </c>
      <c r="D15" s="1745" t="s">
        <v>732</v>
      </c>
      <c r="J15" s="1785">
        <f t="shared" si="1"/>
        <v>1200</v>
      </c>
      <c r="K15" s="1786">
        <f t="shared" si="2"/>
        <v>0.77879885583759068</v>
      </c>
      <c r="L15" s="782" t="s">
        <v>732</v>
      </c>
    </row>
    <row r="16" spans="1:12" ht="15.75">
      <c r="B16" s="1752" t="s">
        <v>1623</v>
      </c>
      <c r="C16" s="1751">
        <f>C10+(C10*(C11/100))</f>
        <v>5.401724999999999</v>
      </c>
      <c r="D16" s="1753" t="s">
        <v>732</v>
      </c>
      <c r="J16" s="1785">
        <f t="shared" si="1"/>
        <v>1300</v>
      </c>
      <c r="K16" s="1786">
        <f t="shared" si="2"/>
        <v>0.64484545263352511</v>
      </c>
      <c r="L16" s="782" t="s">
        <v>732</v>
      </c>
    </row>
    <row r="17" spans="2:12" ht="15.75">
      <c r="B17" s="1752" t="s">
        <v>1624</v>
      </c>
      <c r="C17" s="1751">
        <f>C16+C15</f>
        <v>8.5517249999999976</v>
      </c>
      <c r="D17" s="1753" t="s">
        <v>972</v>
      </c>
      <c r="J17" s="1785">
        <f t="shared" si="1"/>
        <v>1400</v>
      </c>
      <c r="K17" s="1786">
        <f t="shared" si="2"/>
        <v>0.53393203478055884</v>
      </c>
      <c r="L17" s="782" t="s">
        <v>732</v>
      </c>
    </row>
    <row r="18" spans="2:12" ht="16.5" thickBot="1">
      <c r="B18" s="1754" t="s">
        <v>1612</v>
      </c>
      <c r="C18" s="1751">
        <f>VLOOKUP(ROUNDUP(C16,0),G4:I13,3)</f>
        <v>7.5</v>
      </c>
      <c r="D18" s="1753" t="s">
        <v>972</v>
      </c>
      <c r="J18" s="1787">
        <f t="shared" si="1"/>
        <v>1500</v>
      </c>
      <c r="K18" s="1788">
        <f t="shared" si="2"/>
        <v>0.44209572479830272</v>
      </c>
      <c r="L18" s="796" t="s">
        <v>732</v>
      </c>
    </row>
    <row r="19" spans="2:12" ht="18" thickBot="1">
      <c r="B19" s="1755" t="s">
        <v>1622</v>
      </c>
      <c r="C19" s="1756">
        <f>C18+C15</f>
        <v>10.649999999999999</v>
      </c>
      <c r="D19" s="1757" t="s">
        <v>1613</v>
      </c>
    </row>
    <row r="20" spans="2:12" ht="19.5" customHeight="1" thickBot="1">
      <c r="B20" s="1748" t="s">
        <v>1633</v>
      </c>
      <c r="C20" s="1789">
        <f>VLOOKUP(ROUNDUP(C7,0),J4:K18,2)</f>
        <v>2.4168143120194254</v>
      </c>
      <c r="D20" s="1749" t="s">
        <v>972</v>
      </c>
      <c r="E20" s="566" t="s">
        <v>1636</v>
      </c>
    </row>
    <row r="21" spans="2:12">
      <c r="B21" s="1742"/>
    </row>
    <row r="22" spans="2:12" ht="13.5" thickBot="1"/>
    <row r="23" spans="2:12" ht="24" customHeight="1" thickBot="1">
      <c r="B23" s="3042" t="s">
        <v>1630</v>
      </c>
      <c r="C23" s="3043"/>
      <c r="D23" s="3044"/>
      <c r="J23" s="3051" t="s">
        <v>1632</v>
      </c>
      <c r="K23" s="3052"/>
    </row>
    <row r="24" spans="2:12" ht="16.5" thickBot="1">
      <c r="B24" s="2943" t="s">
        <v>926</v>
      </c>
      <c r="C24" s="2944"/>
      <c r="D24" s="2945"/>
      <c r="J24" s="3053">
        <v>100</v>
      </c>
      <c r="K24" s="3054"/>
    </row>
    <row r="25" spans="2:12" ht="16.5" thickBot="1">
      <c r="B25" s="1759" t="s">
        <v>1627</v>
      </c>
      <c r="C25" s="1772">
        <v>293</v>
      </c>
      <c r="D25" s="1780"/>
      <c r="J25" s="1783">
        <f>$J$3</f>
        <v>100</v>
      </c>
      <c r="K25" s="1793">
        <f>C40-($C$30*C40)</f>
        <v>20</v>
      </c>
      <c r="L25" s="780" t="s">
        <v>732</v>
      </c>
    </row>
    <row r="26" spans="2:12">
      <c r="B26" s="1759" t="s">
        <v>1621</v>
      </c>
      <c r="C26" s="1772">
        <f>(C25*0.06)/C31</f>
        <v>0.58115702479338838</v>
      </c>
      <c r="D26" s="841" t="s">
        <v>1628</v>
      </c>
      <c r="F26" s="3045" t="s">
        <v>1618</v>
      </c>
      <c r="G26" s="3047" t="s">
        <v>1619</v>
      </c>
      <c r="H26" s="3048"/>
      <c r="J26" s="1785">
        <f>J25+$J$24</f>
        <v>200</v>
      </c>
      <c r="K26" s="1786">
        <f>K25-($C$30*K25)</f>
        <v>16</v>
      </c>
      <c r="L26" s="782" t="s">
        <v>732</v>
      </c>
    </row>
    <row r="27" spans="2:12" ht="15" customHeight="1" thickBot="1">
      <c r="B27" s="1762" t="s">
        <v>1606</v>
      </c>
      <c r="C27" s="770">
        <v>5.5</v>
      </c>
      <c r="D27" s="841"/>
      <c r="F27" s="3055"/>
      <c r="G27" s="3056"/>
      <c r="H27" s="3057"/>
      <c r="I27" s="793"/>
      <c r="J27" s="1785">
        <f t="shared" ref="J27:J39" si="3">J26+$J$24</f>
        <v>300</v>
      </c>
      <c r="K27" s="1786">
        <f t="shared" ref="K27:K39" si="4">K26-($C$30*K26)</f>
        <v>12.8</v>
      </c>
      <c r="L27" s="782" t="s">
        <v>732</v>
      </c>
    </row>
    <row r="28" spans="2:12">
      <c r="B28" s="1762" t="s">
        <v>1605</v>
      </c>
      <c r="C28" s="840">
        <v>5.5</v>
      </c>
      <c r="D28" s="841"/>
      <c r="F28" s="1765">
        <v>22</v>
      </c>
      <c r="G28" s="1768">
        <v>9</v>
      </c>
      <c r="H28" s="780" t="str">
        <f>H5</f>
        <v>m³/s</v>
      </c>
      <c r="I28" s="1771">
        <f t="shared" ref="I28:I35" si="5">G29</f>
        <v>12.5</v>
      </c>
      <c r="J28" s="1785">
        <f t="shared" si="3"/>
        <v>400</v>
      </c>
      <c r="K28" s="1786">
        <f t="shared" si="4"/>
        <v>10.24</v>
      </c>
      <c r="L28" s="782" t="s">
        <v>732</v>
      </c>
    </row>
    <row r="29" spans="2:12">
      <c r="B29" s="1762" t="s">
        <v>971</v>
      </c>
      <c r="C29" s="1761">
        <v>150</v>
      </c>
      <c r="D29" s="841" t="s">
        <v>357</v>
      </c>
      <c r="F29" s="1765" t="s">
        <v>1620</v>
      </c>
      <c r="G29" s="1769">
        <v>12.5</v>
      </c>
      <c r="H29" s="782" t="str">
        <f>H6</f>
        <v>m³/s</v>
      </c>
      <c r="I29" s="1771">
        <f t="shared" si="5"/>
        <v>18.75</v>
      </c>
      <c r="J29" s="1785">
        <f t="shared" si="3"/>
        <v>500</v>
      </c>
      <c r="K29" s="1786">
        <f t="shared" si="4"/>
        <v>8.1920000000000002</v>
      </c>
      <c r="L29" s="782" t="s">
        <v>732</v>
      </c>
    </row>
    <row r="30" spans="2:12">
      <c r="B30" s="1791" t="s">
        <v>1414</v>
      </c>
      <c r="C30" s="1792">
        <v>0.2</v>
      </c>
      <c r="D30" s="841" t="s">
        <v>1635</v>
      </c>
      <c r="F30" s="1765">
        <v>75</v>
      </c>
      <c r="G30" s="1794">
        <f t="shared" ref="G30:G36" si="6">F30/4</f>
        <v>18.75</v>
      </c>
      <c r="H30" s="782" t="str">
        <f>H7</f>
        <v>m³/s</v>
      </c>
      <c r="I30" s="1771">
        <f t="shared" si="5"/>
        <v>25</v>
      </c>
      <c r="J30" s="1785">
        <f t="shared" si="3"/>
        <v>600</v>
      </c>
      <c r="K30" s="1786">
        <f t="shared" si="4"/>
        <v>6.5536000000000003</v>
      </c>
      <c r="L30" s="782" t="s">
        <v>732</v>
      </c>
    </row>
    <row r="31" spans="2:12">
      <c r="B31" s="1762" t="s">
        <v>1611</v>
      </c>
      <c r="C31" s="1244">
        <f>C27*C28</f>
        <v>30.25</v>
      </c>
      <c r="D31" s="841" t="s">
        <v>896</v>
      </c>
      <c r="F31" s="1765">
        <v>100</v>
      </c>
      <c r="G31" s="1794">
        <f t="shared" si="6"/>
        <v>25</v>
      </c>
      <c r="H31" s="782" t="s">
        <v>732</v>
      </c>
      <c r="I31" s="1771">
        <f t="shared" si="5"/>
        <v>32.5</v>
      </c>
      <c r="J31" s="1785">
        <f t="shared" si="3"/>
        <v>700</v>
      </c>
      <c r="K31" s="1786">
        <f t="shared" si="4"/>
        <v>5.2428800000000004</v>
      </c>
      <c r="L31" s="782" t="s">
        <v>732</v>
      </c>
    </row>
    <row r="32" spans="2:12">
      <c r="B32" s="1762" t="s">
        <v>1607</v>
      </c>
      <c r="C32" s="1763">
        <f>C31*C26</f>
        <v>17.579999999999998</v>
      </c>
      <c r="D32" s="565" t="s">
        <v>732</v>
      </c>
      <c r="F32" s="1765">
        <v>130</v>
      </c>
      <c r="G32" s="1794">
        <f t="shared" si="6"/>
        <v>32.5</v>
      </c>
      <c r="H32" s="782" t="str">
        <f>H9</f>
        <v>m³/s</v>
      </c>
      <c r="I32" s="1771">
        <f t="shared" si="5"/>
        <v>37.5</v>
      </c>
      <c r="J32" s="1785">
        <f t="shared" si="3"/>
        <v>800</v>
      </c>
      <c r="K32" s="1786">
        <f t="shared" si="4"/>
        <v>4.1943040000000007</v>
      </c>
      <c r="L32" s="782" t="s">
        <v>732</v>
      </c>
    </row>
    <row r="33" spans="2:12">
      <c r="B33" s="1760" t="s">
        <v>1415</v>
      </c>
      <c r="C33" s="1746">
        <f>C30*(C29)</f>
        <v>30</v>
      </c>
      <c r="D33" s="841" t="s">
        <v>942</v>
      </c>
      <c r="F33" s="1765">
        <v>150</v>
      </c>
      <c r="G33" s="1794">
        <f t="shared" si="6"/>
        <v>37.5</v>
      </c>
      <c r="H33" s="782" t="str">
        <f>H10</f>
        <v>m³/s</v>
      </c>
      <c r="I33" s="1771">
        <f t="shared" si="5"/>
        <v>40</v>
      </c>
      <c r="J33" s="1785">
        <f t="shared" si="3"/>
        <v>900</v>
      </c>
      <c r="K33" s="1786">
        <f t="shared" si="4"/>
        <v>3.3554432000000007</v>
      </c>
      <c r="L33" s="782" t="s">
        <v>732</v>
      </c>
    </row>
    <row r="34" spans="2:12">
      <c r="B34" s="1758" t="s">
        <v>1608</v>
      </c>
      <c r="C34" s="1744">
        <v>0.3</v>
      </c>
      <c r="D34" s="841" t="s">
        <v>889</v>
      </c>
      <c r="F34" s="1765">
        <v>160</v>
      </c>
      <c r="G34" s="1794">
        <f t="shared" si="6"/>
        <v>40</v>
      </c>
      <c r="H34" s="782" t="str">
        <f>H11</f>
        <v>m³/s</v>
      </c>
      <c r="I34" s="1771">
        <f t="shared" si="5"/>
        <v>45</v>
      </c>
      <c r="J34" s="1785">
        <f t="shared" si="3"/>
        <v>1000</v>
      </c>
      <c r="K34" s="1786">
        <f t="shared" si="4"/>
        <v>2.6843545600000005</v>
      </c>
      <c r="L34" s="782" t="s">
        <v>732</v>
      </c>
    </row>
    <row r="35" spans="2:12">
      <c r="B35" s="1758" t="s">
        <v>1610</v>
      </c>
      <c r="C35" s="768">
        <v>5.5</v>
      </c>
      <c r="D35" s="841" t="s">
        <v>889</v>
      </c>
      <c r="F35" s="1765">
        <v>180</v>
      </c>
      <c r="G35" s="1794">
        <f t="shared" si="6"/>
        <v>45</v>
      </c>
      <c r="H35" s="782" t="s">
        <v>732</v>
      </c>
      <c r="I35" s="1771">
        <f t="shared" si="5"/>
        <v>47.5</v>
      </c>
      <c r="J35" s="1785">
        <f t="shared" si="3"/>
        <v>1100</v>
      </c>
      <c r="K35" s="1786">
        <f t="shared" si="4"/>
        <v>2.1474836480000006</v>
      </c>
      <c r="L35" s="782" t="s">
        <v>732</v>
      </c>
    </row>
    <row r="36" spans="2:12" ht="13.5" thickBot="1">
      <c r="B36" s="1758" t="s">
        <v>1609</v>
      </c>
      <c r="C36" s="768">
        <v>5.5</v>
      </c>
      <c r="D36" s="841" t="s">
        <v>889</v>
      </c>
      <c r="F36" s="1767">
        <v>190</v>
      </c>
      <c r="G36" s="1795">
        <f t="shared" si="6"/>
        <v>47.5</v>
      </c>
      <c r="H36" s="796" t="s">
        <v>732</v>
      </c>
      <c r="I36" s="1771">
        <f>G36</f>
        <v>47.5</v>
      </c>
      <c r="J36" s="1785">
        <f t="shared" si="3"/>
        <v>1200</v>
      </c>
      <c r="K36" s="1786">
        <f t="shared" si="4"/>
        <v>1.7179869184000005</v>
      </c>
      <c r="L36" s="782" t="s">
        <v>732</v>
      </c>
    </row>
    <row r="37" spans="2:12" ht="13.5" thickBot="1">
      <c r="B37" s="1758" t="s">
        <v>1614</v>
      </c>
      <c r="C37" s="1747">
        <f>C34*C35*C36</f>
        <v>9.0749999999999993</v>
      </c>
      <c r="D37" s="1745" t="s">
        <v>732</v>
      </c>
      <c r="J37" s="1785">
        <f t="shared" si="3"/>
        <v>1300</v>
      </c>
      <c r="K37" s="1786">
        <f t="shared" si="4"/>
        <v>1.3743895347200004</v>
      </c>
      <c r="L37" s="782" t="s">
        <v>732</v>
      </c>
    </row>
    <row r="38" spans="2:12" ht="15.75">
      <c r="B38" s="1752" t="s">
        <v>1623</v>
      </c>
      <c r="C38" s="1751">
        <f>C32+(C32*(C33/100))</f>
        <v>22.853999999999999</v>
      </c>
      <c r="D38" s="1753" t="s">
        <v>732</v>
      </c>
      <c r="J38" s="1785">
        <f t="shared" si="3"/>
        <v>1400</v>
      </c>
      <c r="K38" s="1786">
        <f t="shared" si="4"/>
        <v>1.0995116277760002</v>
      </c>
      <c r="L38" s="782" t="s">
        <v>732</v>
      </c>
    </row>
    <row r="39" spans="2:12" ht="16.5" thickBot="1">
      <c r="B39" s="1752" t="s">
        <v>1624</v>
      </c>
      <c r="C39" s="1751">
        <f>C38+C37</f>
        <v>31.928999999999998</v>
      </c>
      <c r="D39" s="1753" t="s">
        <v>972</v>
      </c>
      <c r="J39" s="1785">
        <f t="shared" si="3"/>
        <v>1500</v>
      </c>
      <c r="K39" s="1788">
        <f t="shared" si="4"/>
        <v>0.87960930222080014</v>
      </c>
      <c r="L39" s="796" t="s">
        <v>732</v>
      </c>
    </row>
    <row r="40" spans="2:12" ht="16.5" thickBot="1">
      <c r="B40" s="1754" t="s">
        <v>1612</v>
      </c>
      <c r="C40" s="1751">
        <f>VLOOKUP(ROUNDUP(C38,0),G26:I35,3)</f>
        <v>25</v>
      </c>
      <c r="D40" s="1753" t="s">
        <v>972</v>
      </c>
    </row>
    <row r="41" spans="2:12" ht="18" thickBot="1">
      <c r="B41" s="1755" t="s">
        <v>1622</v>
      </c>
      <c r="C41" s="1756">
        <f>C40+C37</f>
        <v>34.075000000000003</v>
      </c>
      <c r="D41" s="1757" t="s">
        <v>1613</v>
      </c>
    </row>
    <row r="42" spans="2:12" ht="16.5" thickBot="1">
      <c r="B42" s="1790" t="s">
        <v>1634</v>
      </c>
      <c r="C42" s="1789">
        <f>VLOOKUP(ROUNDUP(C29,0),J25:K39,2)</f>
        <v>20</v>
      </c>
      <c r="D42" s="1749" t="s">
        <v>972</v>
      </c>
      <c r="E42" s="566" t="s">
        <v>1636</v>
      </c>
    </row>
    <row r="43" spans="2:12">
      <c r="C43" s="435">
        <f>C25*0.06</f>
        <v>17.579999999999998</v>
      </c>
    </row>
  </sheetData>
  <sheetProtection formatCells="0" formatColumns="0" formatRows="0" insertColumns="0" insertRows="0" sort="0" autoFilter="0"/>
  <mergeCells count="13">
    <mergeCell ref="F26:F27"/>
    <mergeCell ref="G26:H27"/>
    <mergeCell ref="B23:D23"/>
    <mergeCell ref="J23:K23"/>
    <mergeCell ref="B24:D24"/>
    <mergeCell ref="J24:K24"/>
    <mergeCell ref="F1:H1"/>
    <mergeCell ref="B2:D2"/>
    <mergeCell ref="F2:F3"/>
    <mergeCell ref="G2:H3"/>
    <mergeCell ref="J2:K2"/>
    <mergeCell ref="B3:D3"/>
    <mergeCell ref="J3:K3"/>
  </mergeCells>
  <conditionalFormatting sqref="K6:K18">
    <cfRule type="cellIs" dxfId="11" priority="7" operator="lessThan">
      <formula>$C$10</formula>
    </cfRule>
  </conditionalFormatting>
  <conditionalFormatting sqref="K25">
    <cfRule type="cellIs" dxfId="10" priority="6" operator="lessThan">
      <formula>$C$32</formula>
    </cfRule>
  </conditionalFormatting>
  <conditionalFormatting sqref="K26:K39">
    <cfRule type="cellIs" dxfId="9" priority="5" operator="lessThan">
      <formula>$C$32</formula>
    </cfRule>
  </conditionalFormatting>
  <conditionalFormatting sqref="C42">
    <cfRule type="cellIs" dxfId="8" priority="3" operator="lessThan">
      <formula>$C$32</formula>
    </cfRule>
    <cfRule type="cellIs" dxfId="7" priority="4" operator="lessThan">
      <formula>0</formula>
    </cfRule>
  </conditionalFormatting>
  <conditionalFormatting sqref="C20">
    <cfRule type="cellIs" dxfId="6" priority="1" operator="lessThan">
      <formula>$C$10</formula>
    </cfRule>
    <cfRule type="cellIs" dxfId="5" priority="2" operator="lessThan">
      <formula>0</formula>
    </cfRule>
  </conditionalFormatting>
  <hyperlinks>
    <hyperlink ref="F1" location="INDEX!A1" display="INDEX!A1"/>
  </hyperlinks>
  <pageMargins left="0" right="0" top="0" bottom="0" header="0" footer="0"/>
  <pageSetup paperSize="9" scale="200" orientation="landscape" r:id="rId1"/>
  <headerFooter alignWithMargins="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L24"/>
  <sheetViews>
    <sheetView zoomScale="89" zoomScaleNormal="89" workbookViewId="0">
      <selection activeCell="J1" sqref="J1:L1"/>
    </sheetView>
  </sheetViews>
  <sheetFormatPr defaultRowHeight="15"/>
  <cols>
    <col min="1" max="2" width="9.28515625" customWidth="1"/>
    <col min="3" max="3" width="3.85546875" customWidth="1"/>
    <col min="4" max="4" width="9.28515625" customWidth="1"/>
    <col min="8" max="8" width="2" customWidth="1"/>
  </cols>
  <sheetData>
    <row r="1" spans="1:12" ht="24" thickBot="1">
      <c r="A1" s="1648"/>
      <c r="B1" s="1649"/>
      <c r="C1" s="1649"/>
      <c r="D1" s="1649"/>
      <c r="E1" s="1649"/>
      <c r="F1" s="1649"/>
      <c r="G1" s="1649"/>
      <c r="H1" s="1650"/>
      <c r="J1" s="2777" t="s">
        <v>1749</v>
      </c>
      <c r="K1" s="2778"/>
      <c r="L1" s="2779"/>
    </row>
    <row r="2" spans="1:12" ht="23.25">
      <c r="A2" s="1849" t="s">
        <v>1671</v>
      </c>
      <c r="B2" s="1652"/>
      <c r="C2" s="1652"/>
      <c r="D2" s="1652"/>
      <c r="E2" s="1652"/>
      <c r="F2" s="1652"/>
      <c r="G2" s="1652"/>
      <c r="H2" s="1653"/>
    </row>
    <row r="3" spans="1:12">
      <c r="A3" s="1654"/>
      <c r="B3" s="1652"/>
      <c r="C3" s="1652"/>
      <c r="D3" s="1652"/>
      <c r="E3" s="1652"/>
      <c r="F3" s="1652"/>
      <c r="G3" s="1652"/>
      <c r="H3" s="1653"/>
    </row>
    <row r="4" spans="1:12">
      <c r="A4" s="1654"/>
      <c r="B4" s="1652"/>
      <c r="C4" s="1652"/>
      <c r="D4" s="1652"/>
      <c r="E4" s="1652"/>
      <c r="F4" s="1652"/>
      <c r="G4" s="1652"/>
      <c r="H4" s="1653"/>
    </row>
    <row r="5" spans="1:12" ht="15.75" thickBot="1">
      <c r="A5" s="1859" t="s">
        <v>1672</v>
      </c>
      <c r="B5" s="1855">
        <v>50</v>
      </c>
      <c r="C5" s="1851" t="s">
        <v>600</v>
      </c>
      <c r="D5" s="1857">
        <v>25.1</v>
      </c>
      <c r="E5" s="1860" t="s">
        <v>1678</v>
      </c>
      <c r="F5" s="1652"/>
      <c r="G5" s="1652"/>
      <c r="H5" s="1653"/>
    </row>
    <row r="6" spans="1:12" ht="16.5" thickBot="1">
      <c r="A6" s="1859" t="s">
        <v>1673</v>
      </c>
      <c r="B6" s="1856">
        <v>250</v>
      </c>
      <c r="C6" s="1853" t="s">
        <v>600</v>
      </c>
      <c r="D6" s="2355">
        <f>(B6-B5)*(D7-D5)/(B7-B5)+D5</f>
        <v>26.060000000000002</v>
      </c>
      <c r="E6" s="1852" t="s">
        <v>1676</v>
      </c>
      <c r="F6" s="1652"/>
      <c r="G6" s="1850"/>
      <c r="H6" s="1653"/>
    </row>
    <row r="7" spans="1:12">
      <c r="A7" s="1859" t="s">
        <v>1674</v>
      </c>
      <c r="B7" s="1855">
        <v>300</v>
      </c>
      <c r="C7" s="1854" t="s">
        <v>600</v>
      </c>
      <c r="D7" s="1858">
        <v>26.3</v>
      </c>
      <c r="E7" s="1660" t="s">
        <v>1677</v>
      </c>
      <c r="F7" s="1652"/>
      <c r="G7" s="1652"/>
      <c r="H7" s="1653"/>
    </row>
    <row r="8" spans="1:12" s="56" customFormat="1">
      <c r="A8" s="1652"/>
      <c r="B8" s="1652"/>
      <c r="C8" s="1652"/>
      <c r="D8" s="1652"/>
      <c r="E8" s="1652"/>
      <c r="F8" s="1652"/>
      <c r="G8" s="1652"/>
      <c r="H8" s="1653"/>
    </row>
    <row r="9" spans="1:12" ht="23.25">
      <c r="A9" s="1844" t="s">
        <v>1675</v>
      </c>
      <c r="B9" s="1652"/>
      <c r="C9" s="1652"/>
      <c r="D9" s="1652"/>
      <c r="E9" s="1652"/>
      <c r="F9" s="1652"/>
      <c r="G9" s="1652"/>
      <c r="H9" s="1653"/>
    </row>
    <row r="10" spans="1:12">
      <c r="A10" s="1845"/>
      <c r="B10" s="1666"/>
      <c r="C10" s="1666"/>
      <c r="D10" s="1666"/>
      <c r="E10" s="1666"/>
      <c r="F10" s="1666"/>
      <c r="G10" s="1667"/>
      <c r="H10" s="1653"/>
    </row>
    <row r="11" spans="1:12">
      <c r="A11" s="1668"/>
      <c r="B11" s="1652"/>
      <c r="C11" s="1652"/>
      <c r="D11" s="1652"/>
      <c r="E11" s="1652"/>
      <c r="F11" s="1652"/>
      <c r="G11" s="1669"/>
      <c r="H11" s="1653"/>
    </row>
    <row r="12" spans="1:12" s="56" customFormat="1">
      <c r="A12" s="1668"/>
      <c r="B12" s="1652"/>
      <c r="C12" s="1652"/>
      <c r="D12" s="1652"/>
      <c r="E12" s="1652"/>
      <c r="F12" s="1652"/>
      <c r="G12" s="1669"/>
      <c r="H12" s="1653"/>
    </row>
    <row r="13" spans="1:12" s="56" customFormat="1">
      <c r="A13" s="1668"/>
      <c r="B13" s="1652"/>
      <c r="C13" s="1652"/>
      <c r="D13" s="1652"/>
      <c r="E13" s="1652"/>
      <c r="F13" s="1652"/>
      <c r="G13" s="1669"/>
      <c r="H13" s="1653"/>
    </row>
    <row r="14" spans="1:12" s="56" customFormat="1">
      <c r="A14" s="1668"/>
      <c r="B14" s="1652"/>
      <c r="C14" s="1652"/>
      <c r="D14" s="1652"/>
      <c r="E14" s="1652"/>
      <c r="F14" s="1652"/>
      <c r="G14" s="1669"/>
      <c r="H14" s="1653"/>
    </row>
    <row r="15" spans="1:12" s="56" customFormat="1">
      <c r="A15" s="1668"/>
      <c r="B15" s="1652"/>
      <c r="C15" s="1652"/>
      <c r="D15" s="1652"/>
      <c r="E15" s="1652"/>
      <c r="F15" s="1652"/>
      <c r="G15" s="1669"/>
      <c r="H15" s="1653"/>
    </row>
    <row r="16" spans="1:12" s="56" customFormat="1">
      <c r="A16" s="1668"/>
      <c r="B16" s="1652"/>
      <c r="C16" s="1652"/>
      <c r="D16" s="1652"/>
      <c r="E16" s="1652"/>
      <c r="F16" s="1652"/>
      <c r="G16" s="1669"/>
      <c r="H16" s="1653"/>
    </row>
    <row r="17" spans="1:8" s="56" customFormat="1">
      <c r="A17" s="1668"/>
      <c r="B17" s="1652"/>
      <c r="C17" s="1652"/>
      <c r="D17" s="1652"/>
      <c r="E17" s="1652"/>
      <c r="F17" s="1652"/>
      <c r="G17" s="1669"/>
      <c r="H17" s="1653"/>
    </row>
    <row r="18" spans="1:8" s="56" customFormat="1">
      <c r="A18" s="1668"/>
      <c r="B18" s="1652"/>
      <c r="C18" s="1652"/>
      <c r="D18" s="1652"/>
      <c r="E18" s="1652"/>
      <c r="F18" s="1652"/>
      <c r="G18" s="1669"/>
      <c r="H18" s="1653"/>
    </row>
    <row r="19" spans="1:8">
      <c r="A19" s="1668"/>
      <c r="B19" s="1652"/>
      <c r="C19" s="1652"/>
      <c r="D19" s="1652"/>
      <c r="E19" s="1652"/>
      <c r="F19" s="1652"/>
      <c r="G19" s="1669"/>
      <c r="H19" s="1653"/>
    </row>
    <row r="20" spans="1:8">
      <c r="A20" s="1668"/>
      <c r="B20" s="1652"/>
      <c r="C20" s="1652"/>
      <c r="D20" s="1652"/>
      <c r="E20" s="1652"/>
      <c r="F20" s="1652"/>
      <c r="G20" s="1669"/>
      <c r="H20" s="1653"/>
    </row>
    <row r="21" spans="1:8">
      <c r="A21" s="1668"/>
      <c r="B21" s="1652"/>
      <c r="C21" s="1652"/>
      <c r="D21" s="1652"/>
      <c r="E21" s="1652"/>
      <c r="F21" s="1652"/>
      <c r="G21" s="1669"/>
      <c r="H21" s="1653"/>
    </row>
    <row r="22" spans="1:8">
      <c r="A22" s="1668"/>
      <c r="B22" s="1652"/>
      <c r="C22" s="1652"/>
      <c r="D22" s="1652"/>
      <c r="E22" s="1652"/>
      <c r="F22" s="1652"/>
      <c r="G22" s="1669"/>
      <c r="H22" s="1653"/>
    </row>
    <row r="23" spans="1:8">
      <c r="A23" s="1846"/>
      <c r="B23" s="1847"/>
      <c r="C23" s="1847"/>
      <c r="D23" s="1847"/>
      <c r="E23" s="1847"/>
      <c r="F23" s="1847"/>
      <c r="G23" s="1848"/>
      <c r="H23" s="1653"/>
    </row>
    <row r="24" spans="1:8" ht="9" customHeight="1" thickBot="1">
      <c r="A24" s="1655"/>
      <c r="B24" s="1655"/>
      <c r="C24" s="1655"/>
      <c r="D24" s="1655"/>
      <c r="E24" s="1655"/>
      <c r="F24" s="1655"/>
      <c r="G24" s="1655"/>
      <c r="H24" s="1656"/>
    </row>
  </sheetData>
  <mergeCells count="1">
    <mergeCell ref="J1:L1"/>
  </mergeCells>
  <hyperlinks>
    <hyperlink ref="J1" location="INDEX!A1" display="INDEX!A1"/>
  </hyperlinks>
  <pageMargins left="0.7" right="0.7" top="0.75" bottom="0.75" header="0.3" footer="0.3"/>
  <pageSetup paperSize="9" orientation="portrait" verticalDpi="0" r:id="rId1"/>
  <drawing r:id="rId2"/>
  <legacyDrawing r:id="rId3"/>
  <oleObjects>
    <mc:AlternateContent xmlns:mc="http://schemas.openxmlformats.org/markup-compatibility/2006">
      <mc:Choice Requires="x14">
        <oleObject progId="Equation.3" shapeId="68609" r:id="rId4">
          <objectPr defaultSize="0" autoPict="0" r:id="rId5">
            <anchor moveWithCells="1" sizeWithCells="1">
              <from>
                <xdr:col>1</xdr:col>
                <xdr:colOff>609600</xdr:colOff>
                <xdr:row>9</xdr:row>
                <xdr:rowOff>57150</xdr:rowOff>
              </from>
              <to>
                <xdr:col>6</xdr:col>
                <xdr:colOff>171450</xdr:colOff>
                <xdr:row>22</xdr:row>
                <xdr:rowOff>161925</xdr:rowOff>
              </to>
            </anchor>
          </objectPr>
        </oleObject>
      </mc:Choice>
      <mc:Fallback>
        <oleObject progId="Equation.3" shapeId="68609"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6600"/>
  </sheetPr>
  <dimension ref="A1:J26"/>
  <sheetViews>
    <sheetView workbookViewId="0">
      <selection activeCell="D1" sqref="D1:F1"/>
    </sheetView>
  </sheetViews>
  <sheetFormatPr defaultRowHeight="15"/>
  <cols>
    <col min="1" max="1" width="24" customWidth="1"/>
    <col min="2" max="2" width="3.28515625" customWidth="1"/>
    <col min="3" max="3" width="9.5703125" bestFit="1" customWidth="1"/>
  </cols>
  <sheetData>
    <row r="1" spans="1:10" ht="24" thickBot="1">
      <c r="D1" s="2777" t="s">
        <v>1749</v>
      </c>
      <c r="E1" s="2778"/>
      <c r="F1" s="2779"/>
    </row>
    <row r="2" spans="1:10" ht="15.75" thickBot="1"/>
    <row r="3" spans="1:10">
      <c r="A3" s="1648"/>
      <c r="B3" s="1649"/>
      <c r="C3" s="1649"/>
      <c r="D3" s="1649"/>
      <c r="E3" s="1649"/>
      <c r="F3" s="1649"/>
      <c r="G3" s="1649"/>
      <c r="H3" s="1649"/>
      <c r="I3" s="1649"/>
      <c r="J3" s="1650"/>
    </row>
    <row r="4" spans="1:10">
      <c r="A4" s="1651" t="s">
        <v>1561</v>
      </c>
      <c r="B4" s="1652"/>
      <c r="C4" s="1652"/>
      <c r="D4" s="1652"/>
      <c r="E4" s="1652"/>
      <c r="F4" s="1652"/>
      <c r="G4" s="1652"/>
      <c r="H4" s="1652"/>
      <c r="I4" s="1652"/>
      <c r="J4" s="1653"/>
    </row>
    <row r="5" spans="1:10">
      <c r="A5" s="1654"/>
      <c r="B5" s="1652"/>
      <c r="C5" s="1652"/>
      <c r="D5" s="1652"/>
      <c r="E5" s="1652"/>
      <c r="F5" s="1652"/>
      <c r="G5" s="1652"/>
      <c r="H5" s="1652"/>
      <c r="I5" s="1652"/>
      <c r="J5" s="1653"/>
    </row>
    <row r="6" spans="1:10">
      <c r="A6" s="1665" t="s">
        <v>1547</v>
      </c>
      <c r="B6" s="1666"/>
      <c r="C6" s="1666"/>
      <c r="D6" s="1666"/>
      <c r="E6" s="1666"/>
      <c r="F6" s="1666"/>
      <c r="G6" s="1666"/>
      <c r="H6" s="1666"/>
      <c r="I6" s="1667"/>
      <c r="J6" s="1653"/>
    </row>
    <row r="7" spans="1:10">
      <c r="A7" s="1668"/>
      <c r="B7" s="1652"/>
      <c r="C7" s="1652"/>
      <c r="D7" s="1652"/>
      <c r="E7" s="1652"/>
      <c r="F7" s="1652"/>
      <c r="G7" s="1652"/>
      <c r="H7" s="1652"/>
      <c r="I7" s="1669"/>
      <c r="J7" s="1653"/>
    </row>
    <row r="8" spans="1:10">
      <c r="A8" s="1668" t="s">
        <v>1548</v>
      </c>
      <c r="B8" s="1652"/>
      <c r="C8" s="1652"/>
      <c r="D8" s="1652"/>
      <c r="E8" s="1652"/>
      <c r="F8" s="1652"/>
      <c r="G8" s="1652"/>
      <c r="H8" s="1652"/>
      <c r="I8" s="1669"/>
      <c r="J8" s="1653"/>
    </row>
    <row r="9" spans="1:10">
      <c r="A9" s="1668" t="s">
        <v>1549</v>
      </c>
      <c r="B9" s="1652"/>
      <c r="C9" s="1652"/>
      <c r="D9" s="1652"/>
      <c r="E9" s="1652"/>
      <c r="F9" s="1652"/>
      <c r="G9" s="1652"/>
      <c r="H9" s="1652"/>
      <c r="I9" s="1669"/>
      <c r="J9" s="1653"/>
    </row>
    <row r="10" spans="1:10">
      <c r="A10" s="1668" t="s">
        <v>1550</v>
      </c>
      <c r="B10" s="1652"/>
      <c r="C10" s="1652"/>
      <c r="D10" s="1652"/>
      <c r="E10" s="1652"/>
      <c r="F10" s="1652"/>
      <c r="G10" s="1652"/>
      <c r="H10" s="1652"/>
      <c r="I10" s="1669"/>
      <c r="J10" s="1653"/>
    </row>
    <row r="11" spans="1:10">
      <c r="A11" s="1668"/>
      <c r="B11" s="1652"/>
      <c r="C11" s="1652"/>
      <c r="D11" s="1652"/>
      <c r="E11" s="1652"/>
      <c r="F11" s="1652"/>
      <c r="G11" s="1652"/>
      <c r="H11" s="1652"/>
      <c r="I11" s="1669"/>
      <c r="J11" s="1653"/>
    </row>
    <row r="12" spans="1:10">
      <c r="A12" s="1670" t="s">
        <v>1551</v>
      </c>
      <c r="B12" s="1671"/>
      <c r="C12" s="1671"/>
      <c r="D12" s="1671"/>
      <c r="E12" s="1671"/>
      <c r="F12" s="1671"/>
      <c r="G12" s="1671"/>
      <c r="H12" s="1671"/>
      <c r="I12" s="1672"/>
      <c r="J12" s="1653"/>
    </row>
    <row r="13" spans="1:10">
      <c r="A13" s="1654"/>
      <c r="B13" s="1652"/>
      <c r="C13" s="1652"/>
      <c r="D13" s="1652"/>
      <c r="E13" s="1652"/>
      <c r="F13" s="1652"/>
      <c r="G13" s="1652"/>
      <c r="H13" s="1652"/>
      <c r="I13" s="1652"/>
      <c r="J13" s="1653"/>
    </row>
    <row r="14" spans="1:10">
      <c r="A14" s="3058" t="s">
        <v>1552</v>
      </c>
      <c r="B14" s="3059"/>
      <c r="C14" s="1647">
        <v>3</v>
      </c>
      <c r="D14" s="1660" t="s">
        <v>896</v>
      </c>
      <c r="E14" s="1652"/>
      <c r="F14" s="1652"/>
      <c r="G14" s="1652"/>
      <c r="H14" s="1652"/>
      <c r="I14" s="1652"/>
      <c r="J14" s="1653"/>
    </row>
    <row r="15" spans="1:10">
      <c r="A15" s="3058" t="s">
        <v>1553</v>
      </c>
      <c r="B15" s="3059"/>
      <c r="C15" s="1647">
        <v>0.5</v>
      </c>
      <c r="D15" s="1660" t="s">
        <v>889</v>
      </c>
      <c r="E15" s="1652"/>
      <c r="F15" s="1652"/>
      <c r="G15" s="1652"/>
      <c r="H15" s="1652"/>
      <c r="I15" s="1652"/>
      <c r="J15" s="1653"/>
    </row>
    <row r="16" spans="1:10">
      <c r="A16" s="3058" t="s">
        <v>1554</v>
      </c>
      <c r="B16" s="3059"/>
      <c r="C16" s="1647">
        <v>1.8</v>
      </c>
      <c r="D16" s="1660" t="s">
        <v>357</v>
      </c>
      <c r="E16" s="1652"/>
      <c r="F16" s="1652"/>
      <c r="G16" s="1652"/>
      <c r="H16" s="1652"/>
      <c r="I16" s="1652"/>
      <c r="J16" s="1653"/>
    </row>
    <row r="17" spans="1:10">
      <c r="A17" s="3058" t="s">
        <v>1555</v>
      </c>
      <c r="B17" s="3059"/>
      <c r="C17" s="1647">
        <v>0.1</v>
      </c>
      <c r="D17" s="1660" t="s">
        <v>357</v>
      </c>
      <c r="E17" s="1652"/>
      <c r="F17" s="1652"/>
      <c r="G17" s="1652"/>
      <c r="H17" s="1652"/>
      <c r="I17" s="1652"/>
      <c r="J17" s="1653"/>
    </row>
    <row r="18" spans="1:10">
      <c r="A18" s="3058" t="s">
        <v>1556</v>
      </c>
      <c r="B18" s="3059"/>
      <c r="C18" s="1673">
        <f>(22/7)*C17</f>
        <v>0.31428571428571428</v>
      </c>
      <c r="D18" s="1659" t="s">
        <v>357</v>
      </c>
      <c r="E18" s="1652"/>
      <c r="F18" s="1652"/>
      <c r="G18" s="1652"/>
      <c r="H18" s="1652"/>
      <c r="I18" s="1652"/>
      <c r="J18" s="1653"/>
    </row>
    <row r="19" spans="1:10">
      <c r="A19" s="3058" t="s">
        <v>1557</v>
      </c>
      <c r="B19" s="3059"/>
      <c r="C19" s="1657">
        <f>C14*C15</f>
        <v>1.5</v>
      </c>
      <c r="D19" s="1659" t="s">
        <v>732</v>
      </c>
      <c r="E19" s="1652"/>
      <c r="F19" s="1652"/>
      <c r="G19" s="1652"/>
      <c r="H19" s="1652"/>
      <c r="I19" s="1652"/>
      <c r="J19" s="1653"/>
    </row>
    <row r="20" spans="1:10">
      <c r="A20" s="3058" t="s">
        <v>1558</v>
      </c>
      <c r="B20" s="3059"/>
      <c r="C20" s="1658">
        <f>(3.14285*C17*C16)+(3.14285*(SQRT(C17/2)))</f>
        <v>1.2684756243085216</v>
      </c>
      <c r="D20" s="1659" t="s">
        <v>896</v>
      </c>
      <c r="E20" s="1652"/>
      <c r="F20" s="1652"/>
      <c r="G20" s="1652"/>
      <c r="H20" s="1652"/>
      <c r="I20" s="1652"/>
      <c r="J20" s="1653"/>
    </row>
    <row r="21" spans="1:10" ht="15.75" thickBot="1">
      <c r="A21" s="3060" t="s">
        <v>1559</v>
      </c>
      <c r="B21" s="3061"/>
      <c r="C21" s="1661">
        <f>0.1*C20</f>
        <v>0.12684756243085216</v>
      </c>
      <c r="D21" s="1662" t="s">
        <v>732</v>
      </c>
      <c r="E21" s="1652"/>
      <c r="F21" s="1652"/>
      <c r="G21" s="1652"/>
      <c r="H21" s="1652"/>
      <c r="I21" s="1652"/>
      <c r="J21" s="1653"/>
    </row>
    <row r="22" spans="1:10" ht="16.5" thickBot="1">
      <c r="A22" s="3062" t="s">
        <v>1560</v>
      </c>
      <c r="B22" s="3063"/>
      <c r="C22" s="1663">
        <f>C19/C21</f>
        <v>11.82521738104103</v>
      </c>
      <c r="D22" s="1664" t="s">
        <v>1562</v>
      </c>
      <c r="E22" s="1655"/>
      <c r="F22" s="1655"/>
      <c r="G22" s="1655"/>
      <c r="H22" s="1655"/>
      <c r="I22" s="1655"/>
      <c r="J22" s="1656"/>
    </row>
    <row r="25" spans="1:10">
      <c r="G25">
        <f>22/7</f>
        <v>3.1428571428571428</v>
      </c>
    </row>
    <row r="26" spans="1:10">
      <c r="G26">
        <v>3.1428571428571428</v>
      </c>
    </row>
  </sheetData>
  <mergeCells count="10">
    <mergeCell ref="D1:F1"/>
    <mergeCell ref="A20:B20"/>
    <mergeCell ref="A21:B21"/>
    <mergeCell ref="A22:B22"/>
    <mergeCell ref="A14:B14"/>
    <mergeCell ref="A15:B15"/>
    <mergeCell ref="A16:B16"/>
    <mergeCell ref="A17:B17"/>
    <mergeCell ref="A18:B18"/>
    <mergeCell ref="A19:B19"/>
  </mergeCells>
  <hyperlinks>
    <hyperlink ref="D1" location="INDEX!A1" display="INDEX!A1"/>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6600"/>
    <pageSetUpPr fitToPage="1"/>
  </sheetPr>
  <dimension ref="A1:L28"/>
  <sheetViews>
    <sheetView zoomScaleNormal="100" workbookViewId="0">
      <selection activeCell="I1" sqref="I1:K1"/>
    </sheetView>
  </sheetViews>
  <sheetFormatPr defaultRowHeight="12.75"/>
  <cols>
    <col min="1" max="1" width="57.28515625" style="1352" bestFit="1" customWidth="1"/>
    <col min="2" max="2" width="14.42578125" style="1352" customWidth="1"/>
    <col min="3" max="3" width="9.140625" style="1352"/>
    <col min="4" max="4" width="4.28515625" style="1352" customWidth="1"/>
    <col min="5" max="5" width="51" style="1352" bestFit="1" customWidth="1"/>
    <col min="6" max="6" width="13.7109375" style="1352" bestFit="1" customWidth="1"/>
    <col min="7" max="7" width="6.42578125" style="1352" bestFit="1" customWidth="1"/>
    <col min="8" max="10" width="9.140625" style="1352"/>
    <col min="11" max="11" width="9.5703125" style="1352" bestFit="1" customWidth="1"/>
    <col min="12" max="253" width="9.140625" style="1352"/>
    <col min="254" max="254" width="34.5703125" style="1352" customWidth="1"/>
    <col min="255" max="255" width="14.42578125" style="1352" customWidth="1"/>
    <col min="256" max="256" width="9.140625" style="1352"/>
    <col min="257" max="257" width="15.28515625" style="1352" customWidth="1"/>
    <col min="258" max="259" width="9.140625" style="1352"/>
    <col min="260" max="260" width="29.5703125" style="1352" customWidth="1"/>
    <col min="261" max="261" width="26.85546875" style="1352" customWidth="1"/>
    <col min="262" max="509" width="9.140625" style="1352"/>
    <col min="510" max="510" width="34.5703125" style="1352" customWidth="1"/>
    <col min="511" max="511" width="14.42578125" style="1352" customWidth="1"/>
    <col min="512" max="512" width="9.140625" style="1352"/>
    <col min="513" max="513" width="15.28515625" style="1352" customWidth="1"/>
    <col min="514" max="515" width="9.140625" style="1352"/>
    <col min="516" max="516" width="29.5703125" style="1352" customWidth="1"/>
    <col min="517" max="517" width="26.85546875" style="1352" customWidth="1"/>
    <col min="518" max="765" width="9.140625" style="1352"/>
    <col min="766" max="766" width="34.5703125" style="1352" customWidth="1"/>
    <col min="767" max="767" width="14.42578125" style="1352" customWidth="1"/>
    <col min="768" max="768" width="9.140625" style="1352"/>
    <col min="769" max="769" width="15.28515625" style="1352" customWidth="1"/>
    <col min="770" max="771" width="9.140625" style="1352"/>
    <col min="772" max="772" width="29.5703125" style="1352" customWidth="1"/>
    <col min="773" max="773" width="26.85546875" style="1352" customWidth="1"/>
    <col min="774" max="1021" width="9.140625" style="1352"/>
    <col min="1022" max="1022" width="34.5703125" style="1352" customWidth="1"/>
    <col min="1023" max="1023" width="14.42578125" style="1352" customWidth="1"/>
    <col min="1024" max="1024" width="9.140625" style="1352"/>
    <col min="1025" max="1025" width="15.28515625" style="1352" customWidth="1"/>
    <col min="1026" max="1027" width="9.140625" style="1352"/>
    <col min="1028" max="1028" width="29.5703125" style="1352" customWidth="1"/>
    <col min="1029" max="1029" width="26.85546875" style="1352" customWidth="1"/>
    <col min="1030" max="1277" width="9.140625" style="1352"/>
    <col min="1278" max="1278" width="34.5703125" style="1352" customWidth="1"/>
    <col min="1279" max="1279" width="14.42578125" style="1352" customWidth="1"/>
    <col min="1280" max="1280" width="9.140625" style="1352"/>
    <col min="1281" max="1281" width="15.28515625" style="1352" customWidth="1"/>
    <col min="1282" max="1283" width="9.140625" style="1352"/>
    <col min="1284" max="1284" width="29.5703125" style="1352" customWidth="1"/>
    <col min="1285" max="1285" width="26.85546875" style="1352" customWidth="1"/>
    <col min="1286" max="1533" width="9.140625" style="1352"/>
    <col min="1534" max="1534" width="34.5703125" style="1352" customWidth="1"/>
    <col min="1535" max="1535" width="14.42578125" style="1352" customWidth="1"/>
    <col min="1536" max="1536" width="9.140625" style="1352"/>
    <col min="1537" max="1537" width="15.28515625" style="1352" customWidth="1"/>
    <col min="1538" max="1539" width="9.140625" style="1352"/>
    <col min="1540" max="1540" width="29.5703125" style="1352" customWidth="1"/>
    <col min="1541" max="1541" width="26.85546875" style="1352" customWidth="1"/>
    <col min="1542" max="1789" width="9.140625" style="1352"/>
    <col min="1790" max="1790" width="34.5703125" style="1352" customWidth="1"/>
    <col min="1791" max="1791" width="14.42578125" style="1352" customWidth="1"/>
    <col min="1792" max="1792" width="9.140625" style="1352"/>
    <col min="1793" max="1793" width="15.28515625" style="1352" customWidth="1"/>
    <col min="1794" max="1795" width="9.140625" style="1352"/>
    <col min="1796" max="1796" width="29.5703125" style="1352" customWidth="1"/>
    <col min="1797" max="1797" width="26.85546875" style="1352" customWidth="1"/>
    <col min="1798" max="2045" width="9.140625" style="1352"/>
    <col min="2046" max="2046" width="34.5703125" style="1352" customWidth="1"/>
    <col min="2047" max="2047" width="14.42578125" style="1352" customWidth="1"/>
    <col min="2048" max="2048" width="9.140625" style="1352"/>
    <col min="2049" max="2049" width="15.28515625" style="1352" customWidth="1"/>
    <col min="2050" max="2051" width="9.140625" style="1352"/>
    <col min="2052" max="2052" width="29.5703125" style="1352" customWidth="1"/>
    <col min="2053" max="2053" width="26.85546875" style="1352" customWidth="1"/>
    <col min="2054" max="2301" width="9.140625" style="1352"/>
    <col min="2302" max="2302" width="34.5703125" style="1352" customWidth="1"/>
    <col min="2303" max="2303" width="14.42578125" style="1352" customWidth="1"/>
    <col min="2304" max="2304" width="9.140625" style="1352"/>
    <col min="2305" max="2305" width="15.28515625" style="1352" customWidth="1"/>
    <col min="2306" max="2307" width="9.140625" style="1352"/>
    <col min="2308" max="2308" width="29.5703125" style="1352" customWidth="1"/>
    <col min="2309" max="2309" width="26.85546875" style="1352" customWidth="1"/>
    <col min="2310" max="2557" width="9.140625" style="1352"/>
    <col min="2558" max="2558" width="34.5703125" style="1352" customWidth="1"/>
    <col min="2559" max="2559" width="14.42578125" style="1352" customWidth="1"/>
    <col min="2560" max="2560" width="9.140625" style="1352"/>
    <col min="2561" max="2561" width="15.28515625" style="1352" customWidth="1"/>
    <col min="2562" max="2563" width="9.140625" style="1352"/>
    <col min="2564" max="2564" width="29.5703125" style="1352" customWidth="1"/>
    <col min="2565" max="2565" width="26.85546875" style="1352" customWidth="1"/>
    <col min="2566" max="2813" width="9.140625" style="1352"/>
    <col min="2814" max="2814" width="34.5703125" style="1352" customWidth="1"/>
    <col min="2815" max="2815" width="14.42578125" style="1352" customWidth="1"/>
    <col min="2816" max="2816" width="9.140625" style="1352"/>
    <col min="2817" max="2817" width="15.28515625" style="1352" customWidth="1"/>
    <col min="2818" max="2819" width="9.140625" style="1352"/>
    <col min="2820" max="2820" width="29.5703125" style="1352" customWidth="1"/>
    <col min="2821" max="2821" width="26.85546875" style="1352" customWidth="1"/>
    <col min="2822" max="3069" width="9.140625" style="1352"/>
    <col min="3070" max="3070" width="34.5703125" style="1352" customWidth="1"/>
    <col min="3071" max="3071" width="14.42578125" style="1352" customWidth="1"/>
    <col min="3072" max="3072" width="9.140625" style="1352"/>
    <col min="3073" max="3073" width="15.28515625" style="1352" customWidth="1"/>
    <col min="3074" max="3075" width="9.140625" style="1352"/>
    <col min="3076" max="3076" width="29.5703125" style="1352" customWidth="1"/>
    <col min="3077" max="3077" width="26.85546875" style="1352" customWidth="1"/>
    <col min="3078" max="3325" width="9.140625" style="1352"/>
    <col min="3326" max="3326" width="34.5703125" style="1352" customWidth="1"/>
    <col min="3327" max="3327" width="14.42578125" style="1352" customWidth="1"/>
    <col min="3328" max="3328" width="9.140625" style="1352"/>
    <col min="3329" max="3329" width="15.28515625" style="1352" customWidth="1"/>
    <col min="3330" max="3331" width="9.140625" style="1352"/>
    <col min="3332" max="3332" width="29.5703125" style="1352" customWidth="1"/>
    <col min="3333" max="3333" width="26.85546875" style="1352" customWidth="1"/>
    <col min="3334" max="3581" width="9.140625" style="1352"/>
    <col min="3582" max="3582" width="34.5703125" style="1352" customWidth="1"/>
    <col min="3583" max="3583" width="14.42578125" style="1352" customWidth="1"/>
    <col min="3584" max="3584" width="9.140625" style="1352"/>
    <col min="3585" max="3585" width="15.28515625" style="1352" customWidth="1"/>
    <col min="3586" max="3587" width="9.140625" style="1352"/>
    <col min="3588" max="3588" width="29.5703125" style="1352" customWidth="1"/>
    <col min="3589" max="3589" width="26.85546875" style="1352" customWidth="1"/>
    <col min="3590" max="3837" width="9.140625" style="1352"/>
    <col min="3838" max="3838" width="34.5703125" style="1352" customWidth="1"/>
    <col min="3839" max="3839" width="14.42578125" style="1352" customWidth="1"/>
    <col min="3840" max="3840" width="9.140625" style="1352"/>
    <col min="3841" max="3841" width="15.28515625" style="1352" customWidth="1"/>
    <col min="3842" max="3843" width="9.140625" style="1352"/>
    <col min="3844" max="3844" width="29.5703125" style="1352" customWidth="1"/>
    <col min="3845" max="3845" width="26.85546875" style="1352" customWidth="1"/>
    <col min="3846" max="4093" width="9.140625" style="1352"/>
    <col min="4094" max="4094" width="34.5703125" style="1352" customWidth="1"/>
    <col min="4095" max="4095" width="14.42578125" style="1352" customWidth="1"/>
    <col min="4096" max="4096" width="9.140625" style="1352"/>
    <col min="4097" max="4097" width="15.28515625" style="1352" customWidth="1"/>
    <col min="4098" max="4099" width="9.140625" style="1352"/>
    <col min="4100" max="4100" width="29.5703125" style="1352" customWidth="1"/>
    <col min="4101" max="4101" width="26.85546875" style="1352" customWidth="1"/>
    <col min="4102" max="4349" width="9.140625" style="1352"/>
    <col min="4350" max="4350" width="34.5703125" style="1352" customWidth="1"/>
    <col min="4351" max="4351" width="14.42578125" style="1352" customWidth="1"/>
    <col min="4352" max="4352" width="9.140625" style="1352"/>
    <col min="4353" max="4353" width="15.28515625" style="1352" customWidth="1"/>
    <col min="4354" max="4355" width="9.140625" style="1352"/>
    <col min="4356" max="4356" width="29.5703125" style="1352" customWidth="1"/>
    <col min="4357" max="4357" width="26.85546875" style="1352" customWidth="1"/>
    <col min="4358" max="4605" width="9.140625" style="1352"/>
    <col min="4606" max="4606" width="34.5703125" style="1352" customWidth="1"/>
    <col min="4607" max="4607" width="14.42578125" style="1352" customWidth="1"/>
    <col min="4608" max="4608" width="9.140625" style="1352"/>
    <col min="4609" max="4609" width="15.28515625" style="1352" customWidth="1"/>
    <col min="4610" max="4611" width="9.140625" style="1352"/>
    <col min="4612" max="4612" width="29.5703125" style="1352" customWidth="1"/>
    <col min="4613" max="4613" width="26.85546875" style="1352" customWidth="1"/>
    <col min="4614" max="4861" width="9.140625" style="1352"/>
    <col min="4862" max="4862" width="34.5703125" style="1352" customWidth="1"/>
    <col min="4863" max="4863" width="14.42578125" style="1352" customWidth="1"/>
    <col min="4864" max="4864" width="9.140625" style="1352"/>
    <col min="4865" max="4865" width="15.28515625" style="1352" customWidth="1"/>
    <col min="4866" max="4867" width="9.140625" style="1352"/>
    <col min="4868" max="4868" width="29.5703125" style="1352" customWidth="1"/>
    <col min="4869" max="4869" width="26.85546875" style="1352" customWidth="1"/>
    <col min="4870" max="5117" width="9.140625" style="1352"/>
    <col min="5118" max="5118" width="34.5703125" style="1352" customWidth="1"/>
    <col min="5119" max="5119" width="14.42578125" style="1352" customWidth="1"/>
    <col min="5120" max="5120" width="9.140625" style="1352"/>
    <col min="5121" max="5121" width="15.28515625" style="1352" customWidth="1"/>
    <col min="5122" max="5123" width="9.140625" style="1352"/>
    <col min="5124" max="5124" width="29.5703125" style="1352" customWidth="1"/>
    <col min="5125" max="5125" width="26.85546875" style="1352" customWidth="1"/>
    <col min="5126" max="5373" width="9.140625" style="1352"/>
    <col min="5374" max="5374" width="34.5703125" style="1352" customWidth="1"/>
    <col min="5375" max="5375" width="14.42578125" style="1352" customWidth="1"/>
    <col min="5376" max="5376" width="9.140625" style="1352"/>
    <col min="5377" max="5377" width="15.28515625" style="1352" customWidth="1"/>
    <col min="5378" max="5379" width="9.140625" style="1352"/>
    <col min="5380" max="5380" width="29.5703125" style="1352" customWidth="1"/>
    <col min="5381" max="5381" width="26.85546875" style="1352" customWidth="1"/>
    <col min="5382" max="5629" width="9.140625" style="1352"/>
    <col min="5630" max="5630" width="34.5703125" style="1352" customWidth="1"/>
    <col min="5631" max="5631" width="14.42578125" style="1352" customWidth="1"/>
    <col min="5632" max="5632" width="9.140625" style="1352"/>
    <col min="5633" max="5633" width="15.28515625" style="1352" customWidth="1"/>
    <col min="5634" max="5635" width="9.140625" style="1352"/>
    <col min="5636" max="5636" width="29.5703125" style="1352" customWidth="1"/>
    <col min="5637" max="5637" width="26.85546875" style="1352" customWidth="1"/>
    <col min="5638" max="5885" width="9.140625" style="1352"/>
    <col min="5886" max="5886" width="34.5703125" style="1352" customWidth="1"/>
    <col min="5887" max="5887" width="14.42578125" style="1352" customWidth="1"/>
    <col min="5888" max="5888" width="9.140625" style="1352"/>
    <col min="5889" max="5889" width="15.28515625" style="1352" customWidth="1"/>
    <col min="5890" max="5891" width="9.140625" style="1352"/>
    <col min="5892" max="5892" width="29.5703125" style="1352" customWidth="1"/>
    <col min="5893" max="5893" width="26.85546875" style="1352" customWidth="1"/>
    <col min="5894" max="6141" width="9.140625" style="1352"/>
    <col min="6142" max="6142" width="34.5703125" style="1352" customWidth="1"/>
    <col min="6143" max="6143" width="14.42578125" style="1352" customWidth="1"/>
    <col min="6144" max="6144" width="9.140625" style="1352"/>
    <col min="6145" max="6145" width="15.28515625" style="1352" customWidth="1"/>
    <col min="6146" max="6147" width="9.140625" style="1352"/>
    <col min="6148" max="6148" width="29.5703125" style="1352" customWidth="1"/>
    <col min="6149" max="6149" width="26.85546875" style="1352" customWidth="1"/>
    <col min="6150" max="6397" width="9.140625" style="1352"/>
    <col min="6398" max="6398" width="34.5703125" style="1352" customWidth="1"/>
    <col min="6399" max="6399" width="14.42578125" style="1352" customWidth="1"/>
    <col min="6400" max="6400" width="9.140625" style="1352"/>
    <col min="6401" max="6401" width="15.28515625" style="1352" customWidth="1"/>
    <col min="6402" max="6403" width="9.140625" style="1352"/>
    <col min="6404" max="6404" width="29.5703125" style="1352" customWidth="1"/>
    <col min="6405" max="6405" width="26.85546875" style="1352" customWidth="1"/>
    <col min="6406" max="6653" width="9.140625" style="1352"/>
    <col min="6654" max="6654" width="34.5703125" style="1352" customWidth="1"/>
    <col min="6655" max="6655" width="14.42578125" style="1352" customWidth="1"/>
    <col min="6656" max="6656" width="9.140625" style="1352"/>
    <col min="6657" max="6657" width="15.28515625" style="1352" customWidth="1"/>
    <col min="6658" max="6659" width="9.140625" style="1352"/>
    <col min="6660" max="6660" width="29.5703125" style="1352" customWidth="1"/>
    <col min="6661" max="6661" width="26.85546875" style="1352" customWidth="1"/>
    <col min="6662" max="6909" width="9.140625" style="1352"/>
    <col min="6910" max="6910" width="34.5703125" style="1352" customWidth="1"/>
    <col min="6911" max="6911" width="14.42578125" style="1352" customWidth="1"/>
    <col min="6912" max="6912" width="9.140625" style="1352"/>
    <col min="6913" max="6913" width="15.28515625" style="1352" customWidth="1"/>
    <col min="6914" max="6915" width="9.140625" style="1352"/>
    <col min="6916" max="6916" width="29.5703125" style="1352" customWidth="1"/>
    <col min="6917" max="6917" width="26.85546875" style="1352" customWidth="1"/>
    <col min="6918" max="7165" width="9.140625" style="1352"/>
    <col min="7166" max="7166" width="34.5703125" style="1352" customWidth="1"/>
    <col min="7167" max="7167" width="14.42578125" style="1352" customWidth="1"/>
    <col min="7168" max="7168" width="9.140625" style="1352"/>
    <col min="7169" max="7169" width="15.28515625" style="1352" customWidth="1"/>
    <col min="7170" max="7171" width="9.140625" style="1352"/>
    <col min="7172" max="7172" width="29.5703125" style="1352" customWidth="1"/>
    <col min="7173" max="7173" width="26.85546875" style="1352" customWidth="1"/>
    <col min="7174" max="7421" width="9.140625" style="1352"/>
    <col min="7422" max="7422" width="34.5703125" style="1352" customWidth="1"/>
    <col min="7423" max="7423" width="14.42578125" style="1352" customWidth="1"/>
    <col min="7424" max="7424" width="9.140625" style="1352"/>
    <col min="7425" max="7425" width="15.28515625" style="1352" customWidth="1"/>
    <col min="7426" max="7427" width="9.140625" style="1352"/>
    <col min="7428" max="7428" width="29.5703125" style="1352" customWidth="1"/>
    <col min="7429" max="7429" width="26.85546875" style="1352" customWidth="1"/>
    <col min="7430" max="7677" width="9.140625" style="1352"/>
    <col min="7678" max="7678" width="34.5703125" style="1352" customWidth="1"/>
    <col min="7679" max="7679" width="14.42578125" style="1352" customWidth="1"/>
    <col min="7680" max="7680" width="9.140625" style="1352"/>
    <col min="7681" max="7681" width="15.28515625" style="1352" customWidth="1"/>
    <col min="7682" max="7683" width="9.140625" style="1352"/>
    <col min="7684" max="7684" width="29.5703125" style="1352" customWidth="1"/>
    <col min="7685" max="7685" width="26.85546875" style="1352" customWidth="1"/>
    <col min="7686" max="7933" width="9.140625" style="1352"/>
    <col min="7934" max="7934" width="34.5703125" style="1352" customWidth="1"/>
    <col min="7935" max="7935" width="14.42578125" style="1352" customWidth="1"/>
    <col min="7936" max="7936" width="9.140625" style="1352"/>
    <col min="7937" max="7937" width="15.28515625" style="1352" customWidth="1"/>
    <col min="7938" max="7939" width="9.140625" style="1352"/>
    <col min="7940" max="7940" width="29.5703125" style="1352" customWidth="1"/>
    <col min="7941" max="7941" width="26.85546875" style="1352" customWidth="1"/>
    <col min="7942" max="8189" width="9.140625" style="1352"/>
    <col min="8190" max="8190" width="34.5703125" style="1352" customWidth="1"/>
    <col min="8191" max="8191" width="14.42578125" style="1352" customWidth="1"/>
    <col min="8192" max="8192" width="9.140625" style="1352"/>
    <col min="8193" max="8193" width="15.28515625" style="1352" customWidth="1"/>
    <col min="8194" max="8195" width="9.140625" style="1352"/>
    <col min="8196" max="8196" width="29.5703125" style="1352" customWidth="1"/>
    <col min="8197" max="8197" width="26.85546875" style="1352" customWidth="1"/>
    <col min="8198" max="8445" width="9.140625" style="1352"/>
    <col min="8446" max="8446" width="34.5703125" style="1352" customWidth="1"/>
    <col min="8447" max="8447" width="14.42578125" style="1352" customWidth="1"/>
    <col min="8448" max="8448" width="9.140625" style="1352"/>
    <col min="8449" max="8449" width="15.28515625" style="1352" customWidth="1"/>
    <col min="8450" max="8451" width="9.140625" style="1352"/>
    <col min="8452" max="8452" width="29.5703125" style="1352" customWidth="1"/>
    <col min="8453" max="8453" width="26.85546875" style="1352" customWidth="1"/>
    <col min="8454" max="8701" width="9.140625" style="1352"/>
    <col min="8702" max="8702" width="34.5703125" style="1352" customWidth="1"/>
    <col min="8703" max="8703" width="14.42578125" style="1352" customWidth="1"/>
    <col min="8704" max="8704" width="9.140625" style="1352"/>
    <col min="8705" max="8705" width="15.28515625" style="1352" customWidth="1"/>
    <col min="8706" max="8707" width="9.140625" style="1352"/>
    <col min="8708" max="8708" width="29.5703125" style="1352" customWidth="1"/>
    <col min="8709" max="8709" width="26.85546875" style="1352" customWidth="1"/>
    <col min="8710" max="8957" width="9.140625" style="1352"/>
    <col min="8958" max="8958" width="34.5703125" style="1352" customWidth="1"/>
    <col min="8959" max="8959" width="14.42578125" style="1352" customWidth="1"/>
    <col min="8960" max="8960" width="9.140625" style="1352"/>
    <col min="8961" max="8961" width="15.28515625" style="1352" customWidth="1"/>
    <col min="8962" max="8963" width="9.140625" style="1352"/>
    <col min="8964" max="8964" width="29.5703125" style="1352" customWidth="1"/>
    <col min="8965" max="8965" width="26.85546875" style="1352" customWidth="1"/>
    <col min="8966" max="9213" width="9.140625" style="1352"/>
    <col min="9214" max="9214" width="34.5703125" style="1352" customWidth="1"/>
    <col min="9215" max="9215" width="14.42578125" style="1352" customWidth="1"/>
    <col min="9216" max="9216" width="9.140625" style="1352"/>
    <col min="9217" max="9217" width="15.28515625" style="1352" customWidth="1"/>
    <col min="9218" max="9219" width="9.140625" style="1352"/>
    <col min="9220" max="9220" width="29.5703125" style="1352" customWidth="1"/>
    <col min="9221" max="9221" width="26.85546875" style="1352" customWidth="1"/>
    <col min="9222" max="9469" width="9.140625" style="1352"/>
    <col min="9470" max="9470" width="34.5703125" style="1352" customWidth="1"/>
    <col min="9471" max="9471" width="14.42578125" style="1352" customWidth="1"/>
    <col min="9472" max="9472" width="9.140625" style="1352"/>
    <col min="9473" max="9473" width="15.28515625" style="1352" customWidth="1"/>
    <col min="9474" max="9475" width="9.140625" style="1352"/>
    <col min="9476" max="9476" width="29.5703125" style="1352" customWidth="1"/>
    <col min="9477" max="9477" width="26.85546875" style="1352" customWidth="1"/>
    <col min="9478" max="9725" width="9.140625" style="1352"/>
    <col min="9726" max="9726" width="34.5703125" style="1352" customWidth="1"/>
    <col min="9727" max="9727" width="14.42578125" style="1352" customWidth="1"/>
    <col min="9728" max="9728" width="9.140625" style="1352"/>
    <col min="9729" max="9729" width="15.28515625" style="1352" customWidth="1"/>
    <col min="9730" max="9731" width="9.140625" style="1352"/>
    <col min="9732" max="9732" width="29.5703125" style="1352" customWidth="1"/>
    <col min="9733" max="9733" width="26.85546875" style="1352" customWidth="1"/>
    <col min="9734" max="9981" width="9.140625" style="1352"/>
    <col min="9982" max="9982" width="34.5703125" style="1352" customWidth="1"/>
    <col min="9983" max="9983" width="14.42578125" style="1352" customWidth="1"/>
    <col min="9984" max="9984" width="9.140625" style="1352"/>
    <col min="9985" max="9985" width="15.28515625" style="1352" customWidth="1"/>
    <col min="9986" max="9987" width="9.140625" style="1352"/>
    <col min="9988" max="9988" width="29.5703125" style="1352" customWidth="1"/>
    <col min="9989" max="9989" width="26.85546875" style="1352" customWidth="1"/>
    <col min="9990" max="10237" width="9.140625" style="1352"/>
    <col min="10238" max="10238" width="34.5703125" style="1352" customWidth="1"/>
    <col min="10239" max="10239" width="14.42578125" style="1352" customWidth="1"/>
    <col min="10240" max="10240" width="9.140625" style="1352"/>
    <col min="10241" max="10241" width="15.28515625" style="1352" customWidth="1"/>
    <col min="10242" max="10243" width="9.140625" style="1352"/>
    <col min="10244" max="10244" width="29.5703125" style="1352" customWidth="1"/>
    <col min="10245" max="10245" width="26.85546875" style="1352" customWidth="1"/>
    <col min="10246" max="10493" width="9.140625" style="1352"/>
    <col min="10494" max="10494" width="34.5703125" style="1352" customWidth="1"/>
    <col min="10495" max="10495" width="14.42578125" style="1352" customWidth="1"/>
    <col min="10496" max="10496" width="9.140625" style="1352"/>
    <col min="10497" max="10497" width="15.28515625" style="1352" customWidth="1"/>
    <col min="10498" max="10499" width="9.140625" style="1352"/>
    <col min="10500" max="10500" width="29.5703125" style="1352" customWidth="1"/>
    <col min="10501" max="10501" width="26.85546875" style="1352" customWidth="1"/>
    <col min="10502" max="10749" width="9.140625" style="1352"/>
    <col min="10750" max="10750" width="34.5703125" style="1352" customWidth="1"/>
    <col min="10751" max="10751" width="14.42578125" style="1352" customWidth="1"/>
    <col min="10752" max="10752" width="9.140625" style="1352"/>
    <col min="10753" max="10753" width="15.28515625" style="1352" customWidth="1"/>
    <col min="10754" max="10755" width="9.140625" style="1352"/>
    <col min="10756" max="10756" width="29.5703125" style="1352" customWidth="1"/>
    <col min="10757" max="10757" width="26.85546875" style="1352" customWidth="1"/>
    <col min="10758" max="11005" width="9.140625" style="1352"/>
    <col min="11006" max="11006" width="34.5703125" style="1352" customWidth="1"/>
    <col min="11007" max="11007" width="14.42578125" style="1352" customWidth="1"/>
    <col min="11008" max="11008" width="9.140625" style="1352"/>
    <col min="11009" max="11009" width="15.28515625" style="1352" customWidth="1"/>
    <col min="11010" max="11011" width="9.140625" style="1352"/>
    <col min="11012" max="11012" width="29.5703125" style="1352" customWidth="1"/>
    <col min="11013" max="11013" width="26.85546875" style="1352" customWidth="1"/>
    <col min="11014" max="11261" width="9.140625" style="1352"/>
    <col min="11262" max="11262" width="34.5703125" style="1352" customWidth="1"/>
    <col min="11263" max="11263" width="14.42578125" style="1352" customWidth="1"/>
    <col min="11264" max="11264" width="9.140625" style="1352"/>
    <col min="11265" max="11265" width="15.28515625" style="1352" customWidth="1"/>
    <col min="11266" max="11267" width="9.140625" style="1352"/>
    <col min="11268" max="11268" width="29.5703125" style="1352" customWidth="1"/>
    <col min="11269" max="11269" width="26.85546875" style="1352" customWidth="1"/>
    <col min="11270" max="11517" width="9.140625" style="1352"/>
    <col min="11518" max="11518" width="34.5703125" style="1352" customWidth="1"/>
    <col min="11519" max="11519" width="14.42578125" style="1352" customWidth="1"/>
    <col min="11520" max="11520" width="9.140625" style="1352"/>
    <col min="11521" max="11521" width="15.28515625" style="1352" customWidth="1"/>
    <col min="11522" max="11523" width="9.140625" style="1352"/>
    <col min="11524" max="11524" width="29.5703125" style="1352" customWidth="1"/>
    <col min="11525" max="11525" width="26.85546875" style="1352" customWidth="1"/>
    <col min="11526" max="11773" width="9.140625" style="1352"/>
    <col min="11774" max="11774" width="34.5703125" style="1352" customWidth="1"/>
    <col min="11775" max="11775" width="14.42578125" style="1352" customWidth="1"/>
    <col min="11776" max="11776" width="9.140625" style="1352"/>
    <col min="11777" max="11777" width="15.28515625" style="1352" customWidth="1"/>
    <col min="11778" max="11779" width="9.140625" style="1352"/>
    <col min="11780" max="11780" width="29.5703125" style="1352" customWidth="1"/>
    <col min="11781" max="11781" width="26.85546875" style="1352" customWidth="1"/>
    <col min="11782" max="12029" width="9.140625" style="1352"/>
    <col min="12030" max="12030" width="34.5703125" style="1352" customWidth="1"/>
    <col min="12031" max="12031" width="14.42578125" style="1352" customWidth="1"/>
    <col min="12032" max="12032" width="9.140625" style="1352"/>
    <col min="12033" max="12033" width="15.28515625" style="1352" customWidth="1"/>
    <col min="12034" max="12035" width="9.140625" style="1352"/>
    <col min="12036" max="12036" width="29.5703125" style="1352" customWidth="1"/>
    <col min="12037" max="12037" width="26.85546875" style="1352" customWidth="1"/>
    <col min="12038" max="12285" width="9.140625" style="1352"/>
    <col min="12286" max="12286" width="34.5703125" style="1352" customWidth="1"/>
    <col min="12287" max="12287" width="14.42578125" style="1352" customWidth="1"/>
    <col min="12288" max="12288" width="9.140625" style="1352"/>
    <col min="12289" max="12289" width="15.28515625" style="1352" customWidth="1"/>
    <col min="12290" max="12291" width="9.140625" style="1352"/>
    <col min="12292" max="12292" width="29.5703125" style="1352" customWidth="1"/>
    <col min="12293" max="12293" width="26.85546875" style="1352" customWidth="1"/>
    <col min="12294" max="12541" width="9.140625" style="1352"/>
    <col min="12542" max="12542" width="34.5703125" style="1352" customWidth="1"/>
    <col min="12543" max="12543" width="14.42578125" style="1352" customWidth="1"/>
    <col min="12544" max="12544" width="9.140625" style="1352"/>
    <col min="12545" max="12545" width="15.28515625" style="1352" customWidth="1"/>
    <col min="12546" max="12547" width="9.140625" style="1352"/>
    <col min="12548" max="12548" width="29.5703125" style="1352" customWidth="1"/>
    <col min="12549" max="12549" width="26.85546875" style="1352" customWidth="1"/>
    <col min="12550" max="12797" width="9.140625" style="1352"/>
    <col min="12798" max="12798" width="34.5703125" style="1352" customWidth="1"/>
    <col min="12799" max="12799" width="14.42578125" style="1352" customWidth="1"/>
    <col min="12800" max="12800" width="9.140625" style="1352"/>
    <col min="12801" max="12801" width="15.28515625" style="1352" customWidth="1"/>
    <col min="12802" max="12803" width="9.140625" style="1352"/>
    <col min="12804" max="12804" width="29.5703125" style="1352" customWidth="1"/>
    <col min="12805" max="12805" width="26.85546875" style="1352" customWidth="1"/>
    <col min="12806" max="13053" width="9.140625" style="1352"/>
    <col min="13054" max="13054" width="34.5703125" style="1352" customWidth="1"/>
    <col min="13055" max="13055" width="14.42578125" style="1352" customWidth="1"/>
    <col min="13056" max="13056" width="9.140625" style="1352"/>
    <col min="13057" max="13057" width="15.28515625" style="1352" customWidth="1"/>
    <col min="13058" max="13059" width="9.140625" style="1352"/>
    <col min="13060" max="13060" width="29.5703125" style="1352" customWidth="1"/>
    <col min="13061" max="13061" width="26.85546875" style="1352" customWidth="1"/>
    <col min="13062" max="13309" width="9.140625" style="1352"/>
    <col min="13310" max="13310" width="34.5703125" style="1352" customWidth="1"/>
    <col min="13311" max="13311" width="14.42578125" style="1352" customWidth="1"/>
    <col min="13312" max="13312" width="9.140625" style="1352"/>
    <col min="13313" max="13313" width="15.28515625" style="1352" customWidth="1"/>
    <col min="13314" max="13315" width="9.140625" style="1352"/>
    <col min="13316" max="13316" width="29.5703125" style="1352" customWidth="1"/>
    <col min="13317" max="13317" width="26.85546875" style="1352" customWidth="1"/>
    <col min="13318" max="13565" width="9.140625" style="1352"/>
    <col min="13566" max="13566" width="34.5703125" style="1352" customWidth="1"/>
    <col min="13567" max="13567" width="14.42578125" style="1352" customWidth="1"/>
    <col min="13568" max="13568" width="9.140625" style="1352"/>
    <col min="13569" max="13569" width="15.28515625" style="1352" customWidth="1"/>
    <col min="13570" max="13571" width="9.140625" style="1352"/>
    <col min="13572" max="13572" width="29.5703125" style="1352" customWidth="1"/>
    <col min="13573" max="13573" width="26.85546875" style="1352" customWidth="1"/>
    <col min="13574" max="13821" width="9.140625" style="1352"/>
    <col min="13822" max="13822" width="34.5703125" style="1352" customWidth="1"/>
    <col min="13823" max="13823" width="14.42578125" style="1352" customWidth="1"/>
    <col min="13824" max="13824" width="9.140625" style="1352"/>
    <col min="13825" max="13825" width="15.28515625" style="1352" customWidth="1"/>
    <col min="13826" max="13827" width="9.140625" style="1352"/>
    <col min="13828" max="13828" width="29.5703125" style="1352" customWidth="1"/>
    <col min="13829" max="13829" width="26.85546875" style="1352" customWidth="1"/>
    <col min="13830" max="14077" width="9.140625" style="1352"/>
    <col min="14078" max="14078" width="34.5703125" style="1352" customWidth="1"/>
    <col min="14079" max="14079" width="14.42578125" style="1352" customWidth="1"/>
    <col min="14080" max="14080" width="9.140625" style="1352"/>
    <col min="14081" max="14081" width="15.28515625" style="1352" customWidth="1"/>
    <col min="14082" max="14083" width="9.140625" style="1352"/>
    <col min="14084" max="14084" width="29.5703125" style="1352" customWidth="1"/>
    <col min="14085" max="14085" width="26.85546875" style="1352" customWidth="1"/>
    <col min="14086" max="14333" width="9.140625" style="1352"/>
    <col min="14334" max="14334" width="34.5703125" style="1352" customWidth="1"/>
    <col min="14335" max="14335" width="14.42578125" style="1352" customWidth="1"/>
    <col min="14336" max="14336" width="9.140625" style="1352"/>
    <col min="14337" max="14337" width="15.28515625" style="1352" customWidth="1"/>
    <col min="14338" max="14339" width="9.140625" style="1352"/>
    <col min="14340" max="14340" width="29.5703125" style="1352" customWidth="1"/>
    <col min="14341" max="14341" width="26.85546875" style="1352" customWidth="1"/>
    <col min="14342" max="14589" width="9.140625" style="1352"/>
    <col min="14590" max="14590" width="34.5703125" style="1352" customWidth="1"/>
    <col min="14591" max="14591" width="14.42578125" style="1352" customWidth="1"/>
    <col min="14592" max="14592" width="9.140625" style="1352"/>
    <col min="14593" max="14593" width="15.28515625" style="1352" customWidth="1"/>
    <col min="14594" max="14595" width="9.140625" style="1352"/>
    <col min="14596" max="14596" width="29.5703125" style="1352" customWidth="1"/>
    <col min="14597" max="14597" width="26.85546875" style="1352" customWidth="1"/>
    <col min="14598" max="14845" width="9.140625" style="1352"/>
    <col min="14846" max="14846" width="34.5703125" style="1352" customWidth="1"/>
    <col min="14847" max="14847" width="14.42578125" style="1352" customWidth="1"/>
    <col min="14848" max="14848" width="9.140625" style="1352"/>
    <col min="14849" max="14849" width="15.28515625" style="1352" customWidth="1"/>
    <col min="14850" max="14851" width="9.140625" style="1352"/>
    <col min="14852" max="14852" width="29.5703125" style="1352" customWidth="1"/>
    <col min="14853" max="14853" width="26.85546875" style="1352" customWidth="1"/>
    <col min="14854" max="15101" width="9.140625" style="1352"/>
    <col min="15102" max="15102" width="34.5703125" style="1352" customWidth="1"/>
    <col min="15103" max="15103" width="14.42578125" style="1352" customWidth="1"/>
    <col min="15104" max="15104" width="9.140625" style="1352"/>
    <col min="15105" max="15105" width="15.28515625" style="1352" customWidth="1"/>
    <col min="15106" max="15107" width="9.140625" style="1352"/>
    <col min="15108" max="15108" width="29.5703125" style="1352" customWidth="1"/>
    <col min="15109" max="15109" width="26.85546875" style="1352" customWidth="1"/>
    <col min="15110" max="15357" width="9.140625" style="1352"/>
    <col min="15358" max="15358" width="34.5703125" style="1352" customWidth="1"/>
    <col min="15359" max="15359" width="14.42578125" style="1352" customWidth="1"/>
    <col min="15360" max="15360" width="9.140625" style="1352"/>
    <col min="15361" max="15361" width="15.28515625" style="1352" customWidth="1"/>
    <col min="15362" max="15363" width="9.140625" style="1352"/>
    <col min="15364" max="15364" width="29.5703125" style="1352" customWidth="1"/>
    <col min="15365" max="15365" width="26.85546875" style="1352" customWidth="1"/>
    <col min="15366" max="15613" width="9.140625" style="1352"/>
    <col min="15614" max="15614" width="34.5703125" style="1352" customWidth="1"/>
    <col min="15615" max="15615" width="14.42578125" style="1352" customWidth="1"/>
    <col min="15616" max="15616" width="9.140625" style="1352"/>
    <col min="15617" max="15617" width="15.28515625" style="1352" customWidth="1"/>
    <col min="15618" max="15619" width="9.140625" style="1352"/>
    <col min="15620" max="15620" width="29.5703125" style="1352" customWidth="1"/>
    <col min="15621" max="15621" width="26.85546875" style="1352" customWidth="1"/>
    <col min="15622" max="15869" width="9.140625" style="1352"/>
    <col min="15870" max="15870" width="34.5703125" style="1352" customWidth="1"/>
    <col min="15871" max="15871" width="14.42578125" style="1352" customWidth="1"/>
    <col min="15872" max="15872" width="9.140625" style="1352"/>
    <col min="15873" max="15873" width="15.28515625" style="1352" customWidth="1"/>
    <col min="15874" max="15875" width="9.140625" style="1352"/>
    <col min="15876" max="15876" width="29.5703125" style="1352" customWidth="1"/>
    <col min="15877" max="15877" width="26.85546875" style="1352" customWidth="1"/>
    <col min="15878" max="16125" width="9.140625" style="1352"/>
    <col min="16126" max="16126" width="34.5703125" style="1352" customWidth="1"/>
    <col min="16127" max="16127" width="14.42578125" style="1352" customWidth="1"/>
    <col min="16128" max="16128" width="9.140625" style="1352"/>
    <col min="16129" max="16129" width="15.28515625" style="1352" customWidth="1"/>
    <col min="16130" max="16131" width="9.140625" style="1352"/>
    <col min="16132" max="16132" width="29.5703125" style="1352" customWidth="1"/>
    <col min="16133" max="16133" width="26.85546875" style="1352" customWidth="1"/>
    <col min="16134" max="16384" width="9.140625" style="1352"/>
  </cols>
  <sheetData>
    <row r="1" spans="1:12" ht="34.5" customHeight="1" thickBot="1">
      <c r="C1" s="1353" t="s">
        <v>1381</v>
      </c>
      <c r="E1" s="1353"/>
      <c r="F1" s="1354" t="s">
        <v>1382</v>
      </c>
      <c r="I1" s="2777" t="s">
        <v>1749</v>
      </c>
      <c r="J1" s="2778"/>
      <c r="K1" s="2779"/>
    </row>
    <row r="3" spans="1:12" ht="20.25">
      <c r="A3" s="1373" t="s">
        <v>1383</v>
      </c>
      <c r="B3" s="1374"/>
      <c r="C3" s="1374"/>
      <c r="E3" s="1373" t="s">
        <v>1384</v>
      </c>
      <c r="F3" s="1374"/>
      <c r="G3" s="1374"/>
    </row>
    <row r="4" spans="1:12" ht="26.25">
      <c r="A4" s="1375" t="s">
        <v>1385</v>
      </c>
      <c r="B4" s="1381">
        <v>1000</v>
      </c>
      <c r="C4" s="1377" t="s">
        <v>357</v>
      </c>
      <c r="E4" s="1375" t="s">
        <v>1385</v>
      </c>
      <c r="F4" s="1376">
        <v>100</v>
      </c>
      <c r="G4" s="1377" t="s">
        <v>357</v>
      </c>
      <c r="I4" s="1372" t="s">
        <v>1409</v>
      </c>
      <c r="J4" s="1352" t="s">
        <v>1407</v>
      </c>
      <c r="K4" s="1352" t="s">
        <v>1406</v>
      </c>
      <c r="L4" s="1367" t="s">
        <v>1408</v>
      </c>
    </row>
    <row r="5" spans="1:12" ht="15.75">
      <c r="A5" s="1375" t="s">
        <v>1386</v>
      </c>
      <c r="B5" s="1381">
        <v>4.8</v>
      </c>
      <c r="C5" s="1377" t="s">
        <v>357</v>
      </c>
      <c r="E5" s="1375" t="s">
        <v>1386</v>
      </c>
      <c r="F5" s="1376">
        <v>4.8</v>
      </c>
      <c r="G5" s="1377" t="s">
        <v>357</v>
      </c>
      <c r="I5" s="1363">
        <v>100</v>
      </c>
      <c r="J5" s="1368">
        <v>1988.8560000000002</v>
      </c>
      <c r="K5" s="1368">
        <v>1988.8560000000002</v>
      </c>
      <c r="L5" s="1369">
        <f>K5+J5</f>
        <v>3977.7120000000004</v>
      </c>
    </row>
    <row r="6" spans="1:12" ht="15.75">
      <c r="A6" s="1375" t="s">
        <v>1387</v>
      </c>
      <c r="B6" s="1378">
        <f>B4*B5</f>
        <v>4800</v>
      </c>
      <c r="C6" s="1384" t="s">
        <v>896</v>
      </c>
      <c r="E6" s="1375" t="s">
        <v>1387</v>
      </c>
      <c r="F6" s="1378">
        <f>F4*F5</f>
        <v>480</v>
      </c>
      <c r="G6" s="1384" t="s">
        <v>896</v>
      </c>
      <c r="I6" s="1363">
        <v>200</v>
      </c>
      <c r="J6" s="1368">
        <v>3977.7120000000004</v>
      </c>
      <c r="K6" s="1368">
        <v>3977.7120000000004</v>
      </c>
      <c r="L6" s="1369">
        <f t="shared" ref="L6:L16" si="0">K6+J6</f>
        <v>7955.4240000000009</v>
      </c>
    </row>
    <row r="7" spans="1:12" ht="15.75">
      <c r="A7" s="1375"/>
      <c r="B7" s="1378"/>
      <c r="C7" s="1377"/>
      <c r="E7" s="1375"/>
      <c r="F7" s="1378"/>
      <c r="G7" s="1377"/>
      <c r="I7" s="1363">
        <v>300</v>
      </c>
      <c r="J7" s="1368">
        <v>5966.5680000000011</v>
      </c>
      <c r="K7" s="1368">
        <v>5966.5680000000011</v>
      </c>
      <c r="L7" s="1369">
        <f t="shared" si="0"/>
        <v>11933.136000000002</v>
      </c>
    </row>
    <row r="8" spans="1:12" ht="15.75">
      <c r="A8" s="1375" t="s">
        <v>1388</v>
      </c>
      <c r="B8" s="1378">
        <v>1.6</v>
      </c>
      <c r="C8" s="1384" t="s">
        <v>1411</v>
      </c>
      <c r="E8" s="1375" t="s">
        <v>1388</v>
      </c>
      <c r="F8" s="1378">
        <v>1.5</v>
      </c>
      <c r="G8" s="1384" t="s">
        <v>1411</v>
      </c>
      <c r="I8" s="1363">
        <v>400</v>
      </c>
      <c r="J8" s="1368">
        <v>7955.4240000000009</v>
      </c>
      <c r="K8" s="1368">
        <v>7955.4240000000009</v>
      </c>
      <c r="L8" s="1369">
        <f t="shared" si="0"/>
        <v>15910.848000000002</v>
      </c>
    </row>
    <row r="9" spans="1:12" ht="15.75">
      <c r="A9" s="1375" t="s">
        <v>1389</v>
      </c>
      <c r="B9" s="1379">
        <v>0.3</v>
      </c>
      <c r="C9" s="1377"/>
      <c r="E9" s="1375" t="s">
        <v>1400</v>
      </c>
      <c r="F9" s="1379">
        <v>0.25</v>
      </c>
      <c r="G9" s="1377"/>
      <c r="I9" s="1363">
        <v>500</v>
      </c>
      <c r="J9" s="1368">
        <v>9944.2800000000007</v>
      </c>
      <c r="K9" s="1368">
        <v>9944.2800000000007</v>
      </c>
      <c r="L9" s="1369">
        <f t="shared" si="0"/>
        <v>19888.560000000001</v>
      </c>
    </row>
    <row r="10" spans="1:12" ht="15.75">
      <c r="A10" s="1375"/>
      <c r="B10" s="1382"/>
      <c r="C10" s="1377"/>
      <c r="E10" s="1375"/>
      <c r="F10" s="1378"/>
      <c r="G10" s="1377"/>
      <c r="I10" s="1363">
        <v>600</v>
      </c>
      <c r="J10" s="1368">
        <v>11933.136000000002</v>
      </c>
      <c r="K10" s="1368">
        <v>11933.136000000002</v>
      </c>
      <c r="L10" s="1369">
        <f t="shared" si="0"/>
        <v>23866.272000000004</v>
      </c>
    </row>
    <row r="11" spans="1:12" ht="15.75">
      <c r="A11" s="1375"/>
      <c r="B11" s="1378"/>
      <c r="C11" s="1377"/>
      <c r="E11" s="1375" t="s">
        <v>1403</v>
      </c>
      <c r="F11" s="1378">
        <f>F6*F8</f>
        <v>720</v>
      </c>
      <c r="G11" s="1377" t="s">
        <v>1391</v>
      </c>
      <c r="I11" s="1363">
        <v>700</v>
      </c>
      <c r="J11" s="1368">
        <v>13921.992</v>
      </c>
      <c r="K11" s="1368">
        <v>13921.992</v>
      </c>
      <c r="L11" s="1369">
        <f t="shared" si="0"/>
        <v>27843.984</v>
      </c>
    </row>
    <row r="12" spans="1:12" ht="15.75">
      <c r="A12" s="1375" t="s">
        <v>1390</v>
      </c>
      <c r="B12" s="1380">
        <v>3000</v>
      </c>
      <c r="C12" s="1377" t="s">
        <v>1391</v>
      </c>
      <c r="E12" s="1375" t="s">
        <v>1390</v>
      </c>
      <c r="F12" s="1380">
        <v>3000</v>
      </c>
      <c r="G12" s="1377" t="s">
        <v>1391</v>
      </c>
      <c r="I12" s="1363">
        <v>800</v>
      </c>
      <c r="J12" s="1368">
        <v>15910.848000000002</v>
      </c>
      <c r="K12" s="1368">
        <v>15910.848000000002</v>
      </c>
      <c r="L12" s="1369">
        <f t="shared" si="0"/>
        <v>31821.696000000004</v>
      </c>
    </row>
    <row r="13" spans="1:12" ht="15.75">
      <c r="A13" s="1375" t="s">
        <v>1392</v>
      </c>
      <c r="B13" s="1378">
        <f>B12*B9</f>
        <v>900</v>
      </c>
      <c r="C13" s="1377" t="s">
        <v>1393</v>
      </c>
      <c r="E13" s="1375" t="s">
        <v>1392</v>
      </c>
      <c r="F13" s="1378">
        <f>F11*F9</f>
        <v>180</v>
      </c>
      <c r="G13" s="1377" t="s">
        <v>1399</v>
      </c>
      <c r="I13" s="1363">
        <v>900</v>
      </c>
      <c r="J13" s="1368">
        <v>17899.704000000002</v>
      </c>
      <c r="K13" s="1368">
        <v>17899.704000000002</v>
      </c>
      <c r="L13" s="1369">
        <f t="shared" si="0"/>
        <v>35799.408000000003</v>
      </c>
    </row>
    <row r="14" spans="1:12" ht="15.75">
      <c r="A14" s="1375" t="s">
        <v>1394</v>
      </c>
      <c r="B14" s="1381">
        <v>23</v>
      </c>
      <c r="C14" s="1377" t="s">
        <v>1393</v>
      </c>
      <c r="E14" s="1375" t="s">
        <v>1410</v>
      </c>
      <c r="F14" s="1381">
        <v>25</v>
      </c>
      <c r="G14" s="1377" t="s">
        <v>1399</v>
      </c>
      <c r="I14" s="1363">
        <v>1000</v>
      </c>
      <c r="J14" s="1368">
        <v>19888.560000000001</v>
      </c>
      <c r="K14" s="1368">
        <v>19888.560000000001</v>
      </c>
      <c r="L14" s="1369">
        <f t="shared" si="0"/>
        <v>39777.120000000003</v>
      </c>
    </row>
    <row r="15" spans="1:12" ht="15.75">
      <c r="A15" s="1375" t="s">
        <v>1395</v>
      </c>
      <c r="B15" s="1382">
        <f>ROUNDUP((B13/B14),0)</f>
        <v>40</v>
      </c>
      <c r="C15" s="1377" t="s">
        <v>1396</v>
      </c>
      <c r="E15" s="1375" t="s">
        <v>1404</v>
      </c>
      <c r="F15" s="1382">
        <f>F13/F14</f>
        <v>7.2</v>
      </c>
      <c r="G15" s="1377" t="s">
        <v>1405</v>
      </c>
      <c r="I15" s="1363">
        <v>1100</v>
      </c>
      <c r="J15" s="1368">
        <v>21877.416000000001</v>
      </c>
      <c r="K15" s="1368">
        <v>21877.416000000001</v>
      </c>
      <c r="L15" s="1369">
        <f t="shared" si="0"/>
        <v>43754.832000000002</v>
      </c>
    </row>
    <row r="16" spans="1:12" ht="15.75">
      <c r="A16" s="1358"/>
      <c r="E16" s="1375" t="s">
        <v>1401</v>
      </c>
      <c r="F16" s="1383">
        <v>276.23</v>
      </c>
      <c r="G16" s="1377" t="s">
        <v>881</v>
      </c>
      <c r="I16" s="1363">
        <v>1200</v>
      </c>
      <c r="J16" s="1368">
        <v>23866.272000000004</v>
      </c>
      <c r="K16" s="1368">
        <v>23866.272000000004</v>
      </c>
      <c r="L16" s="1369">
        <f t="shared" si="0"/>
        <v>47732.544000000009</v>
      </c>
    </row>
    <row r="17" spans="1:12" ht="15.75">
      <c r="E17" s="1375" t="s">
        <v>1402</v>
      </c>
      <c r="F17" s="1383">
        <f>(F13/F14)*F16</f>
        <v>1988.8560000000002</v>
      </c>
      <c r="G17" s="1377" t="s">
        <v>881</v>
      </c>
      <c r="I17" s="1355"/>
      <c r="J17" s="1368"/>
      <c r="K17" s="1370" t="s">
        <v>2</v>
      </c>
      <c r="L17" s="1371">
        <f>SUM(L5:L16)</f>
        <v>310261.53600000002</v>
      </c>
    </row>
    <row r="18" spans="1:12" ht="20.25">
      <c r="A18" s="1356"/>
      <c r="B18" s="1360"/>
      <c r="C18" s="1357"/>
    </row>
    <row r="19" spans="1:12" ht="15.75">
      <c r="A19" s="1358"/>
      <c r="B19" s="1361"/>
    </row>
    <row r="20" spans="1:12" ht="15.75">
      <c r="A20" s="1358" t="s">
        <v>1398</v>
      </c>
      <c r="B20" s="1362"/>
    </row>
    <row r="21" spans="1:12" ht="15.75">
      <c r="A21" s="1358"/>
      <c r="B21" s="1362"/>
    </row>
    <row r="22" spans="1:12">
      <c r="A22" s="1364" t="s">
        <v>1397</v>
      </c>
      <c r="B22" s="1359"/>
      <c r="C22" s="1365"/>
    </row>
    <row r="28" spans="1:12">
      <c r="F28" s="1366"/>
    </row>
  </sheetData>
  <mergeCells count="1">
    <mergeCell ref="I1:K1"/>
  </mergeCells>
  <hyperlinks>
    <hyperlink ref="I1" location="INDEX!A1" display="INDEX!A1"/>
  </hyperlinks>
  <pageMargins left="0.75" right="0.75" top="1" bottom="1" header="0.5" footer="0.5"/>
  <pageSetup scale="63" orientation="landscape" horizontalDpi="4294967293"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M37"/>
  <sheetViews>
    <sheetView zoomScale="70" zoomScaleNormal="70" workbookViewId="0">
      <selection activeCell="J1" sqref="J1:L1"/>
    </sheetView>
  </sheetViews>
  <sheetFormatPr defaultColWidth="9.140625" defaultRowHeight="15"/>
  <cols>
    <col min="1" max="1" width="2.85546875" style="56" customWidth="1"/>
    <col min="2" max="2" width="7.42578125" style="56" customWidth="1"/>
    <col min="3" max="3" width="15" style="56" customWidth="1"/>
    <col min="4" max="4" width="3.7109375" style="56" customWidth="1"/>
    <col min="5" max="5" width="5.28515625" style="56" customWidth="1"/>
    <col min="6" max="6" width="10" style="56" bestFit="1" customWidth="1"/>
    <col min="7" max="7" width="13.7109375" style="56" customWidth="1"/>
    <col min="8" max="8" width="9.140625" style="56"/>
    <col min="9" max="9" width="36.7109375" style="56" bestFit="1" customWidth="1"/>
    <col min="10" max="10" width="6.42578125" style="56" customWidth="1"/>
    <col min="11" max="16384" width="9.140625" style="56"/>
  </cols>
  <sheetData>
    <row r="1" spans="1:13" ht="24" thickBot="1">
      <c r="A1" s="1911" t="s">
        <v>1776</v>
      </c>
      <c r="J1" s="2777" t="s">
        <v>1749</v>
      </c>
      <c r="K1" s="2778"/>
      <c r="L1" s="2779"/>
    </row>
    <row r="2" spans="1:13" ht="15.75" thickBot="1"/>
    <row r="3" spans="1:13">
      <c r="B3" s="2986" t="s">
        <v>1374</v>
      </c>
      <c r="C3" s="2987"/>
      <c r="D3" s="2987"/>
      <c r="E3" s="2987"/>
      <c r="F3" s="2988"/>
      <c r="G3" s="1330">
        <v>100</v>
      </c>
      <c r="H3" s="1329" t="s">
        <v>357</v>
      </c>
    </row>
    <row r="4" spans="1:13">
      <c r="B4" s="2954" t="s">
        <v>1373</v>
      </c>
      <c r="C4" s="2955"/>
      <c r="D4" s="2955"/>
      <c r="E4" s="2955"/>
      <c r="F4" s="2989"/>
      <c r="G4" s="1336">
        <f>G3</f>
        <v>100</v>
      </c>
      <c r="H4" s="1335" t="s">
        <v>357</v>
      </c>
    </row>
    <row r="5" spans="1:13" ht="15.75" thickBot="1">
      <c r="B5" s="2990" t="s">
        <v>1372</v>
      </c>
      <c r="C5" s="2991"/>
      <c r="D5" s="2991"/>
      <c r="E5" s="2991"/>
      <c r="F5" s="2992"/>
      <c r="G5" s="1328">
        <v>30</v>
      </c>
      <c r="H5" s="1327" t="s">
        <v>357</v>
      </c>
    </row>
    <row r="6" spans="1:13" ht="15.75" thickBot="1">
      <c r="B6" s="2990" t="s">
        <v>1371</v>
      </c>
      <c r="C6" s="2991"/>
      <c r="D6" s="2991"/>
      <c r="E6" s="2991"/>
      <c r="F6" s="2992"/>
      <c r="G6" s="1334"/>
    </row>
    <row r="7" spans="1:13" ht="15.75" thickBot="1">
      <c r="B7" s="2993" t="s">
        <v>1370</v>
      </c>
      <c r="C7" s="2994"/>
      <c r="D7" s="2994"/>
      <c r="E7" s="2994"/>
      <c r="F7" s="2995"/>
      <c r="G7" s="1330">
        <v>2.2400000000000002</v>
      </c>
      <c r="H7" s="1329" t="s">
        <v>357</v>
      </c>
      <c r="I7" s="1333" t="s">
        <v>1369</v>
      </c>
    </row>
    <row r="8" spans="1:13" ht="15.75" thickBot="1">
      <c r="B8" s="2990" t="s">
        <v>1368</v>
      </c>
      <c r="C8" s="2991"/>
      <c r="D8" s="2991"/>
      <c r="E8" s="2991"/>
      <c r="F8" s="2992"/>
      <c r="G8" s="1328">
        <v>1015</v>
      </c>
      <c r="H8" s="1327" t="s">
        <v>286</v>
      </c>
      <c r="I8" s="1332" t="s">
        <v>1367</v>
      </c>
      <c r="J8" s="1331" t="str">
        <f>IF(G8&gt;760,"15",12)</f>
        <v>15</v>
      </c>
    </row>
    <row r="9" spans="1:13">
      <c r="B9" s="2993" t="s">
        <v>1366</v>
      </c>
      <c r="C9" s="2994"/>
      <c r="D9" s="2994"/>
      <c r="E9" s="2994"/>
      <c r="F9" s="2995"/>
      <c r="G9" s="1330">
        <v>75</v>
      </c>
      <c r="H9" s="1329" t="s">
        <v>218</v>
      </c>
    </row>
    <row r="10" spans="1:13" ht="15.75" thickBot="1">
      <c r="B10" s="2990" t="s">
        <v>1365</v>
      </c>
      <c r="C10" s="2991"/>
      <c r="D10" s="2991"/>
      <c r="E10" s="2991"/>
      <c r="F10" s="2992"/>
      <c r="G10" s="1328">
        <v>45</v>
      </c>
      <c r="H10" s="1327" t="s">
        <v>218</v>
      </c>
    </row>
    <row r="11" spans="1:13" ht="15.75" thickBot="1">
      <c r="B11" s="2990" t="s">
        <v>1364</v>
      </c>
      <c r="C11" s="2991"/>
      <c r="D11" s="2991"/>
      <c r="E11" s="2991"/>
      <c r="F11" s="2992"/>
      <c r="G11" s="1326">
        <v>0.1</v>
      </c>
    </row>
    <row r="12" spans="1:13" ht="16.5" customHeight="1"/>
    <row r="14" spans="1:13" ht="15.75" thickBot="1">
      <c r="B14" s="1174"/>
      <c r="C14" s="1174"/>
      <c r="D14" s="1174"/>
      <c r="E14" s="1174"/>
      <c r="F14" s="1174"/>
      <c r="G14" s="1174"/>
      <c r="H14" s="1174"/>
      <c r="I14" s="1174"/>
      <c r="J14" s="1174"/>
      <c r="K14" s="1174"/>
    </row>
    <row r="15" spans="1:13" ht="15.75" thickBot="1">
      <c r="B15" s="1317"/>
      <c r="C15" s="1317"/>
      <c r="D15" s="1321"/>
      <c r="E15" s="1317"/>
      <c r="F15" s="1317"/>
      <c r="G15" s="1317"/>
      <c r="H15" s="1317"/>
      <c r="I15" s="1317"/>
      <c r="J15" s="1319"/>
      <c r="K15" s="1316"/>
      <c r="L15" s="1315">
        <f>G3</f>
        <v>100</v>
      </c>
      <c r="M15" s="1315" t="s">
        <v>357</v>
      </c>
    </row>
    <row r="16" spans="1:13">
      <c r="C16" s="1126"/>
      <c r="D16" s="1319"/>
      <c r="E16" s="1124"/>
      <c r="I16" s="1136"/>
      <c r="J16" s="1322"/>
      <c r="K16" s="1124"/>
    </row>
    <row r="17" spans="2:13">
      <c r="C17" s="1136"/>
      <c r="D17" s="1319"/>
      <c r="E17" s="1134"/>
      <c r="I17" s="1136"/>
      <c r="J17" s="1325"/>
    </row>
    <row r="18" spans="2:13">
      <c r="B18" s="3071" t="s">
        <v>1363</v>
      </c>
      <c r="C18" s="2979"/>
      <c r="D18" s="1319"/>
      <c r="E18" s="1323">
        <f>G5</f>
        <v>30</v>
      </c>
      <c r="F18" s="1315" t="s">
        <v>357</v>
      </c>
      <c r="I18" s="1324" t="s">
        <v>1362</v>
      </c>
      <c r="J18" s="1322"/>
      <c r="K18" s="1323">
        <f>IF(G3&gt;99,G5,0)+(G5*G6)</f>
        <v>30</v>
      </c>
      <c r="L18" s="1315" t="s">
        <v>357</v>
      </c>
    </row>
    <row r="19" spans="2:13">
      <c r="C19" s="1136"/>
      <c r="D19" s="1319"/>
      <c r="E19" s="1134"/>
      <c r="I19" s="1136"/>
      <c r="J19" s="1322"/>
      <c r="K19" s="1134"/>
    </row>
    <row r="20" spans="2:13" ht="15.75" thickBot="1">
      <c r="B20" s="1174"/>
      <c r="C20" s="1175"/>
      <c r="D20" s="1321"/>
      <c r="E20" s="1134"/>
      <c r="F20" s="1174"/>
      <c r="G20" s="1174"/>
      <c r="H20" s="1174"/>
      <c r="I20" s="1174"/>
      <c r="J20" s="1320"/>
      <c r="K20" s="1134"/>
    </row>
    <row r="21" spans="2:13" ht="15.75" thickBot="1">
      <c r="B21" s="1318"/>
      <c r="C21" s="1319"/>
      <c r="D21" s="1317"/>
      <c r="E21" s="1318"/>
      <c r="F21" s="1318"/>
      <c r="G21" s="1318"/>
      <c r="H21" s="1318"/>
      <c r="I21" s="1318"/>
      <c r="J21" s="1317"/>
      <c r="K21" s="1316"/>
      <c r="L21" s="1315">
        <f>G4</f>
        <v>100</v>
      </c>
      <c r="M21" s="1315" t="s">
        <v>357</v>
      </c>
    </row>
    <row r="22" spans="2:13" ht="15.75" thickBot="1">
      <c r="C22" s="1314"/>
    </row>
    <row r="23" spans="2:13" ht="60" customHeight="1" thickBot="1">
      <c r="B23" s="3065" t="s">
        <v>1361</v>
      </c>
      <c r="C23" s="3066"/>
      <c r="D23" s="3066"/>
      <c r="E23" s="3066"/>
      <c r="F23" s="3067"/>
      <c r="G23" s="1313" t="s">
        <v>1375</v>
      </c>
      <c r="H23" s="1313" t="s">
        <v>186</v>
      </c>
      <c r="I23" s="1313" t="s">
        <v>1360</v>
      </c>
      <c r="J23" s="1313" t="s">
        <v>1359</v>
      </c>
      <c r="K23" s="1313" t="s">
        <v>186</v>
      </c>
    </row>
    <row r="24" spans="2:13">
      <c r="B24" s="1312">
        <f>G8</f>
        <v>1015</v>
      </c>
      <c r="C24" s="2983" t="s">
        <v>1358</v>
      </c>
      <c r="D24" s="2983"/>
      <c r="E24" s="1311">
        <f>G7</f>
        <v>2.2400000000000002</v>
      </c>
      <c r="F24" s="1310" t="s">
        <v>1357</v>
      </c>
      <c r="G24" s="1309">
        <f>((L15+J21)+E18+K18)/G7+(((L15+J21)+E18+K18)*G11)</f>
        <v>87.428571428571416</v>
      </c>
      <c r="H24" s="1308" t="s">
        <v>1347</v>
      </c>
      <c r="I24" s="1307"/>
      <c r="J24" s="1309">
        <f t="shared" ref="J24:J33" si="0">G24/2</f>
        <v>43.714285714285708</v>
      </c>
      <c r="K24" s="1308" t="s">
        <v>1347</v>
      </c>
    </row>
    <row r="25" spans="2:13">
      <c r="B25" s="2954" t="s">
        <v>1356</v>
      </c>
      <c r="C25" s="2955"/>
      <c r="D25" s="2955"/>
      <c r="E25" s="2955"/>
      <c r="F25" s="2956"/>
      <c r="G25" s="1301">
        <f>ROUNDUP(2+(COUNTIF(K18,"&gt;1")*2)+(COUNTIF(K18,"&gt;1")*2)*G11,0)</f>
        <v>5</v>
      </c>
      <c r="H25" s="1300" t="s">
        <v>1347</v>
      </c>
      <c r="I25" s="1299"/>
      <c r="J25" s="1301">
        <f t="shared" si="0"/>
        <v>2.5</v>
      </c>
      <c r="K25" s="1300" t="s">
        <v>1347</v>
      </c>
    </row>
    <row r="26" spans="2:13">
      <c r="B26" s="2954" t="s">
        <v>1355</v>
      </c>
      <c r="C26" s="2955"/>
      <c r="D26" s="2955"/>
      <c r="E26" s="2955"/>
      <c r="F26" s="2956"/>
      <c r="G26" s="1305">
        <f>ROUNDUP(G24*J8+(G24*J8*G11),0)</f>
        <v>1443</v>
      </c>
      <c r="H26" s="1300" t="s">
        <v>1347</v>
      </c>
      <c r="I26" s="1299"/>
      <c r="J26" s="1301">
        <f t="shared" si="0"/>
        <v>721.5</v>
      </c>
      <c r="K26" s="1300" t="s">
        <v>1347</v>
      </c>
    </row>
    <row r="27" spans="2:13">
      <c r="B27" s="2954" t="s">
        <v>1354</v>
      </c>
      <c r="C27" s="2955"/>
      <c r="D27" s="2955"/>
      <c r="E27" s="2955"/>
      <c r="F27" s="2956"/>
      <c r="G27" s="1305">
        <f>COUNTIF(L15:L21,"&gt;1")</f>
        <v>2</v>
      </c>
      <c r="H27" s="1300" t="s">
        <v>1347</v>
      </c>
      <c r="I27" s="1306"/>
      <c r="J27" s="1337">
        <f t="shared" si="0"/>
        <v>1</v>
      </c>
      <c r="K27" s="1300" t="s">
        <v>1347</v>
      </c>
    </row>
    <row r="28" spans="2:13">
      <c r="B28" s="2954" t="s">
        <v>1353</v>
      </c>
      <c r="C28" s="2955"/>
      <c r="D28" s="2955"/>
      <c r="E28" s="2955"/>
      <c r="F28" s="2956"/>
      <c r="G28" s="1305">
        <f>COUNTIF(L15:L21,"&gt;1")</f>
        <v>2</v>
      </c>
      <c r="H28" s="1300" t="s">
        <v>1347</v>
      </c>
      <c r="I28" s="1299"/>
      <c r="J28" s="1301">
        <f t="shared" si="0"/>
        <v>1</v>
      </c>
      <c r="K28" s="1300" t="s">
        <v>1347</v>
      </c>
    </row>
    <row r="29" spans="2:13">
      <c r="B29" s="2954" t="s">
        <v>1352</v>
      </c>
      <c r="C29" s="2955"/>
      <c r="D29" s="2955"/>
      <c r="E29" s="2955"/>
      <c r="F29" s="2956"/>
      <c r="G29" s="1301">
        <f>COUNTIF(K18,"&gt;1")</f>
        <v>1</v>
      </c>
      <c r="H29" s="1300" t="s">
        <v>1347</v>
      </c>
      <c r="I29" s="1299"/>
      <c r="J29" s="1301">
        <f t="shared" si="0"/>
        <v>0.5</v>
      </c>
      <c r="K29" s="1300" t="s">
        <v>1347</v>
      </c>
    </row>
    <row r="30" spans="2:13">
      <c r="B30" s="2954" t="s">
        <v>1351</v>
      </c>
      <c r="C30" s="2955"/>
      <c r="D30" s="2955"/>
      <c r="E30" s="2955"/>
      <c r="F30" s="2956"/>
      <c r="G30" s="1305">
        <f>(G28+G29)*5</f>
        <v>15</v>
      </c>
      <c r="H30" s="1300" t="s">
        <v>357</v>
      </c>
      <c r="I30" s="1299"/>
      <c r="J30" s="1301">
        <f t="shared" si="0"/>
        <v>7.5</v>
      </c>
      <c r="K30" s="1300" t="s">
        <v>357</v>
      </c>
    </row>
    <row r="31" spans="2:13">
      <c r="B31" s="2954" t="s">
        <v>1350</v>
      </c>
      <c r="C31" s="2955"/>
      <c r="D31" s="2955"/>
      <c r="E31" s="2955"/>
      <c r="F31" s="2956"/>
      <c r="G31" s="1305">
        <f>ROUNDUP((G24*5)*2,0)</f>
        <v>875</v>
      </c>
      <c r="H31" s="1300" t="s">
        <v>357</v>
      </c>
      <c r="I31" s="1299"/>
      <c r="J31" s="1301">
        <f t="shared" si="0"/>
        <v>437.5</v>
      </c>
      <c r="K31" s="1300" t="s">
        <v>357</v>
      </c>
    </row>
    <row r="32" spans="2:13">
      <c r="B32" s="2954" t="s">
        <v>1349</v>
      </c>
      <c r="C32" s="2955"/>
      <c r="D32" s="2955"/>
      <c r="E32" s="2955"/>
      <c r="F32" s="2956"/>
      <c r="G32" s="1301">
        <f>(G28+G29)*5</f>
        <v>15</v>
      </c>
      <c r="H32" s="1300" t="s">
        <v>1347</v>
      </c>
      <c r="I32" s="1299"/>
      <c r="J32" s="1301">
        <f t="shared" si="0"/>
        <v>7.5</v>
      </c>
      <c r="K32" s="1300" t="s">
        <v>1347</v>
      </c>
    </row>
    <row r="33" spans="2:11">
      <c r="B33" s="3068" t="s">
        <v>1348</v>
      </c>
      <c r="C33" s="3069"/>
      <c r="D33" s="3069"/>
      <c r="E33" s="3069"/>
      <c r="F33" s="3070"/>
      <c r="G33" s="1304">
        <f>ROUNDUP((L15+L21+K18+E18)/50,0)</f>
        <v>6</v>
      </c>
      <c r="H33" s="1303" t="s">
        <v>1347</v>
      </c>
      <c r="I33" s="1302"/>
      <c r="J33" s="1304">
        <f t="shared" si="0"/>
        <v>3</v>
      </c>
      <c r="K33" s="1303" t="s">
        <v>1347</v>
      </c>
    </row>
    <row r="34" spans="2:11">
      <c r="B34" s="2954"/>
      <c r="C34" s="2955"/>
      <c r="D34" s="2955"/>
      <c r="E34" s="2955"/>
      <c r="F34" s="2956"/>
      <c r="G34" s="1301"/>
      <c r="H34" s="1300"/>
      <c r="I34" s="1299"/>
      <c r="J34" s="1301"/>
      <c r="K34" s="1300"/>
    </row>
    <row r="35" spans="2:11" ht="15.75" thickBot="1">
      <c r="B35" s="2990"/>
      <c r="C35" s="2991"/>
      <c r="D35" s="2991"/>
      <c r="E35" s="2991"/>
      <c r="F35" s="3064"/>
      <c r="G35" s="1298"/>
      <c r="H35" s="1297"/>
      <c r="I35" s="1296"/>
      <c r="J35" s="1298"/>
      <c r="K35" s="1297"/>
    </row>
    <row r="36" spans="2:11">
      <c r="I36" s="56" t="s">
        <v>1346</v>
      </c>
    </row>
    <row r="37" spans="2:11">
      <c r="B37" s="1295" t="s">
        <v>1345</v>
      </c>
    </row>
  </sheetData>
  <mergeCells count="24">
    <mergeCell ref="B8:F8"/>
    <mergeCell ref="B9:F9"/>
    <mergeCell ref="B18:C18"/>
    <mergeCell ref="J1:L1"/>
    <mergeCell ref="B3:F3"/>
    <mergeCell ref="B11:F11"/>
    <mergeCell ref="B4:F4"/>
    <mergeCell ref="B5:F5"/>
    <mergeCell ref="B7:F7"/>
    <mergeCell ref="B6:F6"/>
    <mergeCell ref="B10:F10"/>
    <mergeCell ref="B35:F35"/>
    <mergeCell ref="B23:F23"/>
    <mergeCell ref="B25:F25"/>
    <mergeCell ref="B26:F26"/>
    <mergeCell ref="B27:F27"/>
    <mergeCell ref="B28:F28"/>
    <mergeCell ref="B29:F29"/>
    <mergeCell ref="B32:F32"/>
    <mergeCell ref="B33:F33"/>
    <mergeCell ref="B34:F34"/>
    <mergeCell ref="B31:F31"/>
    <mergeCell ref="B30:F30"/>
    <mergeCell ref="C24:D24"/>
  </mergeCells>
  <hyperlinks>
    <hyperlink ref="J1" location="INDEX!A1" display="INDEX!A1"/>
  </hyperlinks>
  <pageMargins left="0" right="0" top="0" bottom="0" header="0" footer="0"/>
  <pageSetup paperSize="9" orientation="landscape" r:id="rId1"/>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B1:N54"/>
  <sheetViews>
    <sheetView zoomScale="74" zoomScaleNormal="74" workbookViewId="0">
      <selection activeCell="G1" sqref="G1:I1"/>
    </sheetView>
  </sheetViews>
  <sheetFormatPr defaultRowHeight="12.75"/>
  <cols>
    <col min="1" max="1" width="3.28515625" style="435" customWidth="1"/>
    <col min="2" max="2" width="27.42578125" style="435" customWidth="1"/>
    <col min="3" max="3" width="16.85546875" style="435" bestFit="1" customWidth="1"/>
    <col min="4" max="4" width="9.140625" style="435"/>
    <col min="5" max="5" width="4.42578125" style="435" customWidth="1"/>
    <col min="6" max="6" width="13.7109375" style="435" customWidth="1"/>
    <col min="7" max="8" width="9.140625" style="435"/>
    <col min="9" max="9" width="19.42578125" style="435" customWidth="1"/>
    <col min="10" max="256" width="9.140625" style="435"/>
    <col min="257" max="257" width="3.28515625" style="435" customWidth="1"/>
    <col min="258" max="258" width="25.42578125" style="435" customWidth="1"/>
    <col min="259" max="259" width="16.85546875" style="435" bestFit="1" customWidth="1"/>
    <col min="260" max="260" width="9.140625" style="435"/>
    <col min="261" max="261" width="4.42578125" style="435" customWidth="1"/>
    <col min="262" max="262" width="13.7109375" style="435" customWidth="1"/>
    <col min="263" max="264" width="9.140625" style="435"/>
    <col min="265" max="265" width="19.42578125" style="435" customWidth="1"/>
    <col min="266" max="512" width="9.140625" style="435"/>
    <col min="513" max="513" width="3.28515625" style="435" customWidth="1"/>
    <col min="514" max="514" width="25.42578125" style="435" customWidth="1"/>
    <col min="515" max="515" width="16.85546875" style="435" bestFit="1" customWidth="1"/>
    <col min="516" max="516" width="9.140625" style="435"/>
    <col min="517" max="517" width="4.42578125" style="435" customWidth="1"/>
    <col min="518" max="518" width="13.7109375" style="435" customWidth="1"/>
    <col min="519" max="520" width="9.140625" style="435"/>
    <col min="521" max="521" width="19.42578125" style="435" customWidth="1"/>
    <col min="522" max="768" width="9.140625" style="435"/>
    <col min="769" max="769" width="3.28515625" style="435" customWidth="1"/>
    <col min="770" max="770" width="25.42578125" style="435" customWidth="1"/>
    <col min="771" max="771" width="16.85546875" style="435" bestFit="1" customWidth="1"/>
    <col min="772" max="772" width="9.140625" style="435"/>
    <col min="773" max="773" width="4.42578125" style="435" customWidth="1"/>
    <col min="774" max="774" width="13.7109375" style="435" customWidth="1"/>
    <col min="775" max="776" width="9.140625" style="435"/>
    <col min="777" max="777" width="19.42578125" style="435" customWidth="1"/>
    <col min="778" max="1024" width="9.140625" style="435"/>
    <col min="1025" max="1025" width="3.28515625" style="435" customWidth="1"/>
    <col min="1026" max="1026" width="25.42578125" style="435" customWidth="1"/>
    <col min="1027" max="1027" width="16.85546875" style="435" bestFit="1" customWidth="1"/>
    <col min="1028" max="1028" width="9.140625" style="435"/>
    <col min="1029" max="1029" width="4.42578125" style="435" customWidth="1"/>
    <col min="1030" max="1030" width="13.7109375" style="435" customWidth="1"/>
    <col min="1031" max="1032" width="9.140625" style="435"/>
    <col min="1033" max="1033" width="19.42578125" style="435" customWidth="1"/>
    <col min="1034" max="1280" width="9.140625" style="435"/>
    <col min="1281" max="1281" width="3.28515625" style="435" customWidth="1"/>
    <col min="1282" max="1282" width="25.42578125" style="435" customWidth="1"/>
    <col min="1283" max="1283" width="16.85546875" style="435" bestFit="1" customWidth="1"/>
    <col min="1284" max="1284" width="9.140625" style="435"/>
    <col min="1285" max="1285" width="4.42578125" style="435" customWidth="1"/>
    <col min="1286" max="1286" width="13.7109375" style="435" customWidth="1"/>
    <col min="1287" max="1288" width="9.140625" style="435"/>
    <col min="1289" max="1289" width="19.42578125" style="435" customWidth="1"/>
    <col min="1290" max="1536" width="9.140625" style="435"/>
    <col min="1537" max="1537" width="3.28515625" style="435" customWidth="1"/>
    <col min="1538" max="1538" width="25.42578125" style="435" customWidth="1"/>
    <col min="1539" max="1539" width="16.85546875" style="435" bestFit="1" customWidth="1"/>
    <col min="1540" max="1540" width="9.140625" style="435"/>
    <col min="1541" max="1541" width="4.42578125" style="435" customWidth="1"/>
    <col min="1542" max="1542" width="13.7109375" style="435" customWidth="1"/>
    <col min="1543" max="1544" width="9.140625" style="435"/>
    <col min="1545" max="1545" width="19.42578125" style="435" customWidth="1"/>
    <col min="1546" max="1792" width="9.140625" style="435"/>
    <col min="1793" max="1793" width="3.28515625" style="435" customWidth="1"/>
    <col min="1794" max="1794" width="25.42578125" style="435" customWidth="1"/>
    <col min="1795" max="1795" width="16.85546875" style="435" bestFit="1" customWidth="1"/>
    <col min="1796" max="1796" width="9.140625" style="435"/>
    <col min="1797" max="1797" width="4.42578125" style="435" customWidth="1"/>
    <col min="1798" max="1798" width="13.7109375" style="435" customWidth="1"/>
    <col min="1799" max="1800" width="9.140625" style="435"/>
    <col min="1801" max="1801" width="19.42578125" style="435" customWidth="1"/>
    <col min="1802" max="2048" width="9.140625" style="435"/>
    <col min="2049" max="2049" width="3.28515625" style="435" customWidth="1"/>
    <col min="2050" max="2050" width="25.42578125" style="435" customWidth="1"/>
    <col min="2051" max="2051" width="16.85546875" style="435" bestFit="1" customWidth="1"/>
    <col min="2052" max="2052" width="9.140625" style="435"/>
    <col min="2053" max="2053" width="4.42578125" style="435" customWidth="1"/>
    <col min="2054" max="2054" width="13.7109375" style="435" customWidth="1"/>
    <col min="2055" max="2056" width="9.140625" style="435"/>
    <col min="2057" max="2057" width="19.42578125" style="435" customWidth="1"/>
    <col min="2058" max="2304" width="9.140625" style="435"/>
    <col min="2305" max="2305" width="3.28515625" style="435" customWidth="1"/>
    <col min="2306" max="2306" width="25.42578125" style="435" customWidth="1"/>
    <col min="2307" max="2307" width="16.85546875" style="435" bestFit="1" customWidth="1"/>
    <col min="2308" max="2308" width="9.140625" style="435"/>
    <col min="2309" max="2309" width="4.42578125" style="435" customWidth="1"/>
    <col min="2310" max="2310" width="13.7109375" style="435" customWidth="1"/>
    <col min="2311" max="2312" width="9.140625" style="435"/>
    <col min="2313" max="2313" width="19.42578125" style="435" customWidth="1"/>
    <col min="2314" max="2560" width="9.140625" style="435"/>
    <col min="2561" max="2561" width="3.28515625" style="435" customWidth="1"/>
    <col min="2562" max="2562" width="25.42578125" style="435" customWidth="1"/>
    <col min="2563" max="2563" width="16.85546875" style="435" bestFit="1" customWidth="1"/>
    <col min="2564" max="2564" width="9.140625" style="435"/>
    <col min="2565" max="2565" width="4.42578125" style="435" customWidth="1"/>
    <col min="2566" max="2566" width="13.7109375" style="435" customWidth="1"/>
    <col min="2567" max="2568" width="9.140625" style="435"/>
    <col min="2569" max="2569" width="19.42578125" style="435" customWidth="1"/>
    <col min="2570" max="2816" width="9.140625" style="435"/>
    <col min="2817" max="2817" width="3.28515625" style="435" customWidth="1"/>
    <col min="2818" max="2818" width="25.42578125" style="435" customWidth="1"/>
    <col min="2819" max="2819" width="16.85546875" style="435" bestFit="1" customWidth="1"/>
    <col min="2820" max="2820" width="9.140625" style="435"/>
    <col min="2821" max="2821" width="4.42578125" style="435" customWidth="1"/>
    <col min="2822" max="2822" width="13.7109375" style="435" customWidth="1"/>
    <col min="2823" max="2824" width="9.140625" style="435"/>
    <col min="2825" max="2825" width="19.42578125" style="435" customWidth="1"/>
    <col min="2826" max="3072" width="9.140625" style="435"/>
    <col min="3073" max="3073" width="3.28515625" style="435" customWidth="1"/>
    <col min="3074" max="3074" width="25.42578125" style="435" customWidth="1"/>
    <col min="3075" max="3075" width="16.85546875" style="435" bestFit="1" customWidth="1"/>
    <col min="3076" max="3076" width="9.140625" style="435"/>
    <col min="3077" max="3077" width="4.42578125" style="435" customWidth="1"/>
    <col min="3078" max="3078" width="13.7109375" style="435" customWidth="1"/>
    <col min="3079" max="3080" width="9.140625" style="435"/>
    <col min="3081" max="3081" width="19.42578125" style="435" customWidth="1"/>
    <col min="3082" max="3328" width="9.140625" style="435"/>
    <col min="3329" max="3329" width="3.28515625" style="435" customWidth="1"/>
    <col min="3330" max="3330" width="25.42578125" style="435" customWidth="1"/>
    <col min="3331" max="3331" width="16.85546875" style="435" bestFit="1" customWidth="1"/>
    <col min="3332" max="3332" width="9.140625" style="435"/>
    <col min="3333" max="3333" width="4.42578125" style="435" customWidth="1"/>
    <col min="3334" max="3334" width="13.7109375" style="435" customWidth="1"/>
    <col min="3335" max="3336" width="9.140625" style="435"/>
    <col min="3337" max="3337" width="19.42578125" style="435" customWidth="1"/>
    <col min="3338" max="3584" width="9.140625" style="435"/>
    <col min="3585" max="3585" width="3.28515625" style="435" customWidth="1"/>
    <col min="3586" max="3586" width="25.42578125" style="435" customWidth="1"/>
    <col min="3587" max="3587" width="16.85546875" style="435" bestFit="1" customWidth="1"/>
    <col min="3588" max="3588" width="9.140625" style="435"/>
    <col min="3589" max="3589" width="4.42578125" style="435" customWidth="1"/>
    <col min="3590" max="3590" width="13.7109375" style="435" customWidth="1"/>
    <col min="3591" max="3592" width="9.140625" style="435"/>
    <col min="3593" max="3593" width="19.42578125" style="435" customWidth="1"/>
    <col min="3594" max="3840" width="9.140625" style="435"/>
    <col min="3841" max="3841" width="3.28515625" style="435" customWidth="1"/>
    <col min="3842" max="3842" width="25.42578125" style="435" customWidth="1"/>
    <col min="3843" max="3843" width="16.85546875" style="435" bestFit="1" customWidth="1"/>
    <col min="3844" max="3844" width="9.140625" style="435"/>
    <col min="3845" max="3845" width="4.42578125" style="435" customWidth="1"/>
    <col min="3846" max="3846" width="13.7109375" style="435" customWidth="1"/>
    <col min="3847" max="3848" width="9.140625" style="435"/>
    <col min="3849" max="3849" width="19.42578125" style="435" customWidth="1"/>
    <col min="3850" max="4096" width="9.140625" style="435"/>
    <col min="4097" max="4097" width="3.28515625" style="435" customWidth="1"/>
    <col min="4098" max="4098" width="25.42578125" style="435" customWidth="1"/>
    <col min="4099" max="4099" width="16.85546875" style="435" bestFit="1" customWidth="1"/>
    <col min="4100" max="4100" width="9.140625" style="435"/>
    <col min="4101" max="4101" width="4.42578125" style="435" customWidth="1"/>
    <col min="4102" max="4102" width="13.7109375" style="435" customWidth="1"/>
    <col min="4103" max="4104" width="9.140625" style="435"/>
    <col min="4105" max="4105" width="19.42578125" style="435" customWidth="1"/>
    <col min="4106" max="4352" width="9.140625" style="435"/>
    <col min="4353" max="4353" width="3.28515625" style="435" customWidth="1"/>
    <col min="4354" max="4354" width="25.42578125" style="435" customWidth="1"/>
    <col min="4355" max="4355" width="16.85546875" style="435" bestFit="1" customWidth="1"/>
    <col min="4356" max="4356" width="9.140625" style="435"/>
    <col min="4357" max="4357" width="4.42578125" style="435" customWidth="1"/>
    <col min="4358" max="4358" width="13.7109375" style="435" customWidth="1"/>
    <col min="4359" max="4360" width="9.140625" style="435"/>
    <col min="4361" max="4361" width="19.42578125" style="435" customWidth="1"/>
    <col min="4362" max="4608" width="9.140625" style="435"/>
    <col min="4609" max="4609" width="3.28515625" style="435" customWidth="1"/>
    <col min="4610" max="4610" width="25.42578125" style="435" customWidth="1"/>
    <col min="4611" max="4611" width="16.85546875" style="435" bestFit="1" customWidth="1"/>
    <col min="4612" max="4612" width="9.140625" style="435"/>
    <col min="4613" max="4613" width="4.42578125" style="435" customWidth="1"/>
    <col min="4614" max="4614" width="13.7109375" style="435" customWidth="1"/>
    <col min="4615" max="4616" width="9.140625" style="435"/>
    <col min="4617" max="4617" width="19.42578125" style="435" customWidth="1"/>
    <col min="4618" max="4864" width="9.140625" style="435"/>
    <col min="4865" max="4865" width="3.28515625" style="435" customWidth="1"/>
    <col min="4866" max="4866" width="25.42578125" style="435" customWidth="1"/>
    <col min="4867" max="4867" width="16.85546875" style="435" bestFit="1" customWidth="1"/>
    <col min="4868" max="4868" width="9.140625" style="435"/>
    <col min="4869" max="4869" width="4.42578125" style="435" customWidth="1"/>
    <col min="4870" max="4870" width="13.7109375" style="435" customWidth="1"/>
    <col min="4871" max="4872" width="9.140625" style="435"/>
    <col min="4873" max="4873" width="19.42578125" style="435" customWidth="1"/>
    <col min="4874" max="5120" width="9.140625" style="435"/>
    <col min="5121" max="5121" width="3.28515625" style="435" customWidth="1"/>
    <col min="5122" max="5122" width="25.42578125" style="435" customWidth="1"/>
    <col min="5123" max="5123" width="16.85546875" style="435" bestFit="1" customWidth="1"/>
    <col min="5124" max="5124" width="9.140625" style="435"/>
    <col min="5125" max="5125" width="4.42578125" style="435" customWidth="1"/>
    <col min="5126" max="5126" width="13.7109375" style="435" customWidth="1"/>
    <col min="5127" max="5128" width="9.140625" style="435"/>
    <col min="5129" max="5129" width="19.42578125" style="435" customWidth="1"/>
    <col min="5130" max="5376" width="9.140625" style="435"/>
    <col min="5377" max="5377" width="3.28515625" style="435" customWidth="1"/>
    <col min="5378" max="5378" width="25.42578125" style="435" customWidth="1"/>
    <col min="5379" max="5379" width="16.85546875" style="435" bestFit="1" customWidth="1"/>
    <col min="5380" max="5380" width="9.140625" style="435"/>
    <col min="5381" max="5381" width="4.42578125" style="435" customWidth="1"/>
    <col min="5382" max="5382" width="13.7109375" style="435" customWidth="1"/>
    <col min="5383" max="5384" width="9.140625" style="435"/>
    <col min="5385" max="5385" width="19.42578125" style="435" customWidth="1"/>
    <col min="5386" max="5632" width="9.140625" style="435"/>
    <col min="5633" max="5633" width="3.28515625" style="435" customWidth="1"/>
    <col min="5634" max="5634" width="25.42578125" style="435" customWidth="1"/>
    <col min="5635" max="5635" width="16.85546875" style="435" bestFit="1" customWidth="1"/>
    <col min="5636" max="5636" width="9.140625" style="435"/>
    <col min="5637" max="5637" width="4.42578125" style="435" customWidth="1"/>
    <col min="5638" max="5638" width="13.7109375" style="435" customWidth="1"/>
    <col min="5639" max="5640" width="9.140625" style="435"/>
    <col min="5641" max="5641" width="19.42578125" style="435" customWidth="1"/>
    <col min="5642" max="5888" width="9.140625" style="435"/>
    <col min="5889" max="5889" width="3.28515625" style="435" customWidth="1"/>
    <col min="5890" max="5890" width="25.42578125" style="435" customWidth="1"/>
    <col min="5891" max="5891" width="16.85546875" style="435" bestFit="1" customWidth="1"/>
    <col min="5892" max="5892" width="9.140625" style="435"/>
    <col min="5893" max="5893" width="4.42578125" style="435" customWidth="1"/>
    <col min="5894" max="5894" width="13.7109375" style="435" customWidth="1"/>
    <col min="5895" max="5896" width="9.140625" style="435"/>
    <col min="5897" max="5897" width="19.42578125" style="435" customWidth="1"/>
    <col min="5898" max="6144" width="9.140625" style="435"/>
    <col min="6145" max="6145" width="3.28515625" style="435" customWidth="1"/>
    <col min="6146" max="6146" width="25.42578125" style="435" customWidth="1"/>
    <col min="6147" max="6147" width="16.85546875" style="435" bestFit="1" customWidth="1"/>
    <col min="6148" max="6148" width="9.140625" style="435"/>
    <col min="6149" max="6149" width="4.42578125" style="435" customWidth="1"/>
    <col min="6150" max="6150" width="13.7109375" style="435" customWidth="1"/>
    <col min="6151" max="6152" width="9.140625" style="435"/>
    <col min="6153" max="6153" width="19.42578125" style="435" customWidth="1"/>
    <col min="6154" max="6400" width="9.140625" style="435"/>
    <col min="6401" max="6401" width="3.28515625" style="435" customWidth="1"/>
    <col min="6402" max="6402" width="25.42578125" style="435" customWidth="1"/>
    <col min="6403" max="6403" width="16.85546875" style="435" bestFit="1" customWidth="1"/>
    <col min="6404" max="6404" width="9.140625" style="435"/>
    <col min="6405" max="6405" width="4.42578125" style="435" customWidth="1"/>
    <col min="6406" max="6406" width="13.7109375" style="435" customWidth="1"/>
    <col min="6407" max="6408" width="9.140625" style="435"/>
    <col min="6409" max="6409" width="19.42578125" style="435" customWidth="1"/>
    <col min="6410" max="6656" width="9.140625" style="435"/>
    <col min="6657" max="6657" width="3.28515625" style="435" customWidth="1"/>
    <col min="6658" max="6658" width="25.42578125" style="435" customWidth="1"/>
    <col min="6659" max="6659" width="16.85546875" style="435" bestFit="1" customWidth="1"/>
    <col min="6660" max="6660" width="9.140625" style="435"/>
    <col min="6661" max="6661" width="4.42578125" style="435" customWidth="1"/>
    <col min="6662" max="6662" width="13.7109375" style="435" customWidth="1"/>
    <col min="6663" max="6664" width="9.140625" style="435"/>
    <col min="6665" max="6665" width="19.42578125" style="435" customWidth="1"/>
    <col min="6666" max="6912" width="9.140625" style="435"/>
    <col min="6913" max="6913" width="3.28515625" style="435" customWidth="1"/>
    <col min="6914" max="6914" width="25.42578125" style="435" customWidth="1"/>
    <col min="6915" max="6915" width="16.85546875" style="435" bestFit="1" customWidth="1"/>
    <col min="6916" max="6916" width="9.140625" style="435"/>
    <col min="6917" max="6917" width="4.42578125" style="435" customWidth="1"/>
    <col min="6918" max="6918" width="13.7109375" style="435" customWidth="1"/>
    <col min="6919" max="6920" width="9.140625" style="435"/>
    <col min="6921" max="6921" width="19.42578125" style="435" customWidth="1"/>
    <col min="6922" max="7168" width="9.140625" style="435"/>
    <col min="7169" max="7169" width="3.28515625" style="435" customWidth="1"/>
    <col min="7170" max="7170" width="25.42578125" style="435" customWidth="1"/>
    <col min="7171" max="7171" width="16.85546875" style="435" bestFit="1" customWidth="1"/>
    <col min="7172" max="7172" width="9.140625" style="435"/>
    <col min="7173" max="7173" width="4.42578125" style="435" customWidth="1"/>
    <col min="7174" max="7174" width="13.7109375" style="435" customWidth="1"/>
    <col min="7175" max="7176" width="9.140625" style="435"/>
    <col min="7177" max="7177" width="19.42578125" style="435" customWidth="1"/>
    <col min="7178" max="7424" width="9.140625" style="435"/>
    <col min="7425" max="7425" width="3.28515625" style="435" customWidth="1"/>
    <col min="7426" max="7426" width="25.42578125" style="435" customWidth="1"/>
    <col min="7427" max="7427" width="16.85546875" style="435" bestFit="1" customWidth="1"/>
    <col min="7428" max="7428" width="9.140625" style="435"/>
    <col min="7429" max="7429" width="4.42578125" style="435" customWidth="1"/>
    <col min="7430" max="7430" width="13.7109375" style="435" customWidth="1"/>
    <col min="7431" max="7432" width="9.140625" style="435"/>
    <col min="7433" max="7433" width="19.42578125" style="435" customWidth="1"/>
    <col min="7434" max="7680" width="9.140625" style="435"/>
    <col min="7681" max="7681" width="3.28515625" style="435" customWidth="1"/>
    <col min="7682" max="7682" width="25.42578125" style="435" customWidth="1"/>
    <col min="7683" max="7683" width="16.85546875" style="435" bestFit="1" customWidth="1"/>
    <col min="7684" max="7684" width="9.140625" style="435"/>
    <col min="7685" max="7685" width="4.42578125" style="435" customWidth="1"/>
    <col min="7686" max="7686" width="13.7109375" style="435" customWidth="1"/>
    <col min="7687" max="7688" width="9.140625" style="435"/>
    <col min="7689" max="7689" width="19.42578125" style="435" customWidth="1"/>
    <col min="7690" max="7936" width="9.140625" style="435"/>
    <col min="7937" max="7937" width="3.28515625" style="435" customWidth="1"/>
    <col min="7938" max="7938" width="25.42578125" style="435" customWidth="1"/>
    <col min="7939" max="7939" width="16.85546875" style="435" bestFit="1" customWidth="1"/>
    <col min="7940" max="7940" width="9.140625" style="435"/>
    <col min="7941" max="7941" width="4.42578125" style="435" customWidth="1"/>
    <col min="7942" max="7942" width="13.7109375" style="435" customWidth="1"/>
    <col min="7943" max="7944" width="9.140625" style="435"/>
    <col min="7945" max="7945" width="19.42578125" style="435" customWidth="1"/>
    <col min="7946" max="8192" width="9.140625" style="435"/>
    <col min="8193" max="8193" width="3.28515625" style="435" customWidth="1"/>
    <col min="8194" max="8194" width="25.42578125" style="435" customWidth="1"/>
    <col min="8195" max="8195" width="16.85546875" style="435" bestFit="1" customWidth="1"/>
    <col min="8196" max="8196" width="9.140625" style="435"/>
    <col min="8197" max="8197" width="4.42578125" style="435" customWidth="1"/>
    <col min="8198" max="8198" width="13.7109375" style="435" customWidth="1"/>
    <col min="8199" max="8200" width="9.140625" style="435"/>
    <col min="8201" max="8201" width="19.42578125" style="435" customWidth="1"/>
    <col min="8202" max="8448" width="9.140625" style="435"/>
    <col min="8449" max="8449" width="3.28515625" style="435" customWidth="1"/>
    <col min="8450" max="8450" width="25.42578125" style="435" customWidth="1"/>
    <col min="8451" max="8451" width="16.85546875" style="435" bestFit="1" customWidth="1"/>
    <col min="8452" max="8452" width="9.140625" style="435"/>
    <col min="8453" max="8453" width="4.42578125" style="435" customWidth="1"/>
    <col min="8454" max="8454" width="13.7109375" style="435" customWidth="1"/>
    <col min="8455" max="8456" width="9.140625" style="435"/>
    <col min="8457" max="8457" width="19.42578125" style="435" customWidth="1"/>
    <col min="8458" max="8704" width="9.140625" style="435"/>
    <col min="8705" max="8705" width="3.28515625" style="435" customWidth="1"/>
    <col min="8706" max="8706" width="25.42578125" style="435" customWidth="1"/>
    <col min="8707" max="8707" width="16.85546875" style="435" bestFit="1" customWidth="1"/>
    <col min="8708" max="8708" width="9.140625" style="435"/>
    <col min="8709" max="8709" width="4.42578125" style="435" customWidth="1"/>
    <col min="8710" max="8710" width="13.7109375" style="435" customWidth="1"/>
    <col min="8711" max="8712" width="9.140625" style="435"/>
    <col min="8713" max="8713" width="19.42578125" style="435" customWidth="1"/>
    <col min="8714" max="8960" width="9.140625" style="435"/>
    <col min="8961" max="8961" width="3.28515625" style="435" customWidth="1"/>
    <col min="8962" max="8962" width="25.42578125" style="435" customWidth="1"/>
    <col min="8963" max="8963" width="16.85546875" style="435" bestFit="1" customWidth="1"/>
    <col min="8964" max="8964" width="9.140625" style="435"/>
    <col min="8965" max="8965" width="4.42578125" style="435" customWidth="1"/>
    <col min="8966" max="8966" width="13.7109375" style="435" customWidth="1"/>
    <col min="8967" max="8968" width="9.140625" style="435"/>
    <col min="8969" max="8969" width="19.42578125" style="435" customWidth="1"/>
    <col min="8970" max="9216" width="9.140625" style="435"/>
    <col min="9217" max="9217" width="3.28515625" style="435" customWidth="1"/>
    <col min="9218" max="9218" width="25.42578125" style="435" customWidth="1"/>
    <col min="9219" max="9219" width="16.85546875" style="435" bestFit="1" customWidth="1"/>
    <col min="9220" max="9220" width="9.140625" style="435"/>
    <col min="9221" max="9221" width="4.42578125" style="435" customWidth="1"/>
    <col min="9222" max="9222" width="13.7109375" style="435" customWidth="1"/>
    <col min="9223" max="9224" width="9.140625" style="435"/>
    <col min="9225" max="9225" width="19.42578125" style="435" customWidth="1"/>
    <col min="9226" max="9472" width="9.140625" style="435"/>
    <col min="9473" max="9473" width="3.28515625" style="435" customWidth="1"/>
    <col min="9474" max="9474" width="25.42578125" style="435" customWidth="1"/>
    <col min="9475" max="9475" width="16.85546875" style="435" bestFit="1" customWidth="1"/>
    <col min="9476" max="9476" width="9.140625" style="435"/>
    <col min="9477" max="9477" width="4.42578125" style="435" customWidth="1"/>
    <col min="9478" max="9478" width="13.7109375" style="435" customWidth="1"/>
    <col min="9479" max="9480" width="9.140625" style="435"/>
    <col min="9481" max="9481" width="19.42578125" style="435" customWidth="1"/>
    <col min="9482" max="9728" width="9.140625" style="435"/>
    <col min="9729" max="9729" width="3.28515625" style="435" customWidth="1"/>
    <col min="9730" max="9730" width="25.42578125" style="435" customWidth="1"/>
    <col min="9731" max="9731" width="16.85546875" style="435" bestFit="1" customWidth="1"/>
    <col min="9732" max="9732" width="9.140625" style="435"/>
    <col min="9733" max="9733" width="4.42578125" style="435" customWidth="1"/>
    <col min="9734" max="9734" width="13.7109375" style="435" customWidth="1"/>
    <col min="9735" max="9736" width="9.140625" style="435"/>
    <col min="9737" max="9737" width="19.42578125" style="435" customWidth="1"/>
    <col min="9738" max="9984" width="9.140625" style="435"/>
    <col min="9985" max="9985" width="3.28515625" style="435" customWidth="1"/>
    <col min="9986" max="9986" width="25.42578125" style="435" customWidth="1"/>
    <col min="9987" max="9987" width="16.85546875" style="435" bestFit="1" customWidth="1"/>
    <col min="9988" max="9988" width="9.140625" style="435"/>
    <col min="9989" max="9989" width="4.42578125" style="435" customWidth="1"/>
    <col min="9990" max="9990" width="13.7109375" style="435" customWidth="1"/>
    <col min="9991" max="9992" width="9.140625" style="435"/>
    <col min="9993" max="9993" width="19.42578125" style="435" customWidth="1"/>
    <col min="9994" max="10240" width="9.140625" style="435"/>
    <col min="10241" max="10241" width="3.28515625" style="435" customWidth="1"/>
    <col min="10242" max="10242" width="25.42578125" style="435" customWidth="1"/>
    <col min="10243" max="10243" width="16.85546875" style="435" bestFit="1" customWidth="1"/>
    <col min="10244" max="10244" width="9.140625" style="435"/>
    <col min="10245" max="10245" width="4.42578125" style="435" customWidth="1"/>
    <col min="10246" max="10246" width="13.7109375" style="435" customWidth="1"/>
    <col min="10247" max="10248" width="9.140625" style="435"/>
    <col min="10249" max="10249" width="19.42578125" style="435" customWidth="1"/>
    <col min="10250" max="10496" width="9.140625" style="435"/>
    <col min="10497" max="10497" width="3.28515625" style="435" customWidth="1"/>
    <col min="10498" max="10498" width="25.42578125" style="435" customWidth="1"/>
    <col min="10499" max="10499" width="16.85546875" style="435" bestFit="1" customWidth="1"/>
    <col min="10500" max="10500" width="9.140625" style="435"/>
    <col min="10501" max="10501" width="4.42578125" style="435" customWidth="1"/>
    <col min="10502" max="10502" width="13.7109375" style="435" customWidth="1"/>
    <col min="10503" max="10504" width="9.140625" style="435"/>
    <col min="10505" max="10505" width="19.42578125" style="435" customWidth="1"/>
    <col min="10506" max="10752" width="9.140625" style="435"/>
    <col min="10753" max="10753" width="3.28515625" style="435" customWidth="1"/>
    <col min="10754" max="10754" width="25.42578125" style="435" customWidth="1"/>
    <col min="10755" max="10755" width="16.85546875" style="435" bestFit="1" customWidth="1"/>
    <col min="10756" max="10756" width="9.140625" style="435"/>
    <col min="10757" max="10757" width="4.42578125" style="435" customWidth="1"/>
    <col min="10758" max="10758" width="13.7109375" style="435" customWidth="1"/>
    <col min="10759" max="10760" width="9.140625" style="435"/>
    <col min="10761" max="10761" width="19.42578125" style="435" customWidth="1"/>
    <col min="10762" max="11008" width="9.140625" style="435"/>
    <col min="11009" max="11009" width="3.28515625" style="435" customWidth="1"/>
    <col min="11010" max="11010" width="25.42578125" style="435" customWidth="1"/>
    <col min="11011" max="11011" width="16.85546875" style="435" bestFit="1" customWidth="1"/>
    <col min="11012" max="11012" width="9.140625" style="435"/>
    <col min="11013" max="11013" width="4.42578125" style="435" customWidth="1"/>
    <col min="11014" max="11014" width="13.7109375" style="435" customWidth="1"/>
    <col min="11015" max="11016" width="9.140625" style="435"/>
    <col min="11017" max="11017" width="19.42578125" style="435" customWidth="1"/>
    <col min="11018" max="11264" width="9.140625" style="435"/>
    <col min="11265" max="11265" width="3.28515625" style="435" customWidth="1"/>
    <col min="11266" max="11266" width="25.42578125" style="435" customWidth="1"/>
    <col min="11267" max="11267" width="16.85546875" style="435" bestFit="1" customWidth="1"/>
    <col min="11268" max="11268" width="9.140625" style="435"/>
    <col min="11269" max="11269" width="4.42578125" style="435" customWidth="1"/>
    <col min="11270" max="11270" width="13.7109375" style="435" customWidth="1"/>
    <col min="11271" max="11272" width="9.140625" style="435"/>
    <col min="11273" max="11273" width="19.42578125" style="435" customWidth="1"/>
    <col min="11274" max="11520" width="9.140625" style="435"/>
    <col min="11521" max="11521" width="3.28515625" style="435" customWidth="1"/>
    <col min="11522" max="11522" width="25.42578125" style="435" customWidth="1"/>
    <col min="11523" max="11523" width="16.85546875" style="435" bestFit="1" customWidth="1"/>
    <col min="11524" max="11524" width="9.140625" style="435"/>
    <col min="11525" max="11525" width="4.42578125" style="435" customWidth="1"/>
    <col min="11526" max="11526" width="13.7109375" style="435" customWidth="1"/>
    <col min="11527" max="11528" width="9.140625" style="435"/>
    <col min="11529" max="11529" width="19.42578125" style="435" customWidth="1"/>
    <col min="11530" max="11776" width="9.140625" style="435"/>
    <col min="11777" max="11777" width="3.28515625" style="435" customWidth="1"/>
    <col min="11778" max="11778" width="25.42578125" style="435" customWidth="1"/>
    <col min="11779" max="11779" width="16.85546875" style="435" bestFit="1" customWidth="1"/>
    <col min="11780" max="11780" width="9.140625" style="435"/>
    <col min="11781" max="11781" width="4.42578125" style="435" customWidth="1"/>
    <col min="11782" max="11782" width="13.7109375" style="435" customWidth="1"/>
    <col min="11783" max="11784" width="9.140625" style="435"/>
    <col min="11785" max="11785" width="19.42578125" style="435" customWidth="1"/>
    <col min="11786" max="12032" width="9.140625" style="435"/>
    <col min="12033" max="12033" width="3.28515625" style="435" customWidth="1"/>
    <col min="12034" max="12034" width="25.42578125" style="435" customWidth="1"/>
    <col min="12035" max="12035" width="16.85546875" style="435" bestFit="1" customWidth="1"/>
    <col min="12036" max="12036" width="9.140625" style="435"/>
    <col min="12037" max="12037" width="4.42578125" style="435" customWidth="1"/>
    <col min="12038" max="12038" width="13.7109375" style="435" customWidth="1"/>
    <col min="12039" max="12040" width="9.140625" style="435"/>
    <col min="12041" max="12041" width="19.42578125" style="435" customWidth="1"/>
    <col min="12042" max="12288" width="9.140625" style="435"/>
    <col min="12289" max="12289" width="3.28515625" style="435" customWidth="1"/>
    <col min="12290" max="12290" width="25.42578125" style="435" customWidth="1"/>
    <col min="12291" max="12291" width="16.85546875" style="435" bestFit="1" customWidth="1"/>
    <col min="12292" max="12292" width="9.140625" style="435"/>
    <col min="12293" max="12293" width="4.42578125" style="435" customWidth="1"/>
    <col min="12294" max="12294" width="13.7109375" style="435" customWidth="1"/>
    <col min="12295" max="12296" width="9.140625" style="435"/>
    <col min="12297" max="12297" width="19.42578125" style="435" customWidth="1"/>
    <col min="12298" max="12544" width="9.140625" style="435"/>
    <col min="12545" max="12545" width="3.28515625" style="435" customWidth="1"/>
    <col min="12546" max="12546" width="25.42578125" style="435" customWidth="1"/>
    <col min="12547" max="12547" width="16.85546875" style="435" bestFit="1" customWidth="1"/>
    <col min="12548" max="12548" width="9.140625" style="435"/>
    <col min="12549" max="12549" width="4.42578125" style="435" customWidth="1"/>
    <col min="12550" max="12550" width="13.7109375" style="435" customWidth="1"/>
    <col min="12551" max="12552" width="9.140625" style="435"/>
    <col min="12553" max="12553" width="19.42578125" style="435" customWidth="1"/>
    <col min="12554" max="12800" width="9.140625" style="435"/>
    <col min="12801" max="12801" width="3.28515625" style="435" customWidth="1"/>
    <col min="12802" max="12802" width="25.42578125" style="435" customWidth="1"/>
    <col min="12803" max="12803" width="16.85546875" style="435" bestFit="1" customWidth="1"/>
    <col min="12804" max="12804" width="9.140625" style="435"/>
    <col min="12805" max="12805" width="4.42578125" style="435" customWidth="1"/>
    <col min="12806" max="12806" width="13.7109375" style="435" customWidth="1"/>
    <col min="12807" max="12808" width="9.140625" style="435"/>
    <col min="12809" max="12809" width="19.42578125" style="435" customWidth="1"/>
    <col min="12810" max="13056" width="9.140625" style="435"/>
    <col min="13057" max="13057" width="3.28515625" style="435" customWidth="1"/>
    <col min="13058" max="13058" width="25.42578125" style="435" customWidth="1"/>
    <col min="13059" max="13059" width="16.85546875" style="435" bestFit="1" customWidth="1"/>
    <col min="13060" max="13060" width="9.140625" style="435"/>
    <col min="13061" max="13061" width="4.42578125" style="435" customWidth="1"/>
    <col min="13062" max="13062" width="13.7109375" style="435" customWidth="1"/>
    <col min="13063" max="13064" width="9.140625" style="435"/>
    <col min="13065" max="13065" width="19.42578125" style="435" customWidth="1"/>
    <col min="13066" max="13312" width="9.140625" style="435"/>
    <col min="13313" max="13313" width="3.28515625" style="435" customWidth="1"/>
    <col min="13314" max="13314" width="25.42578125" style="435" customWidth="1"/>
    <col min="13315" max="13315" width="16.85546875" style="435" bestFit="1" customWidth="1"/>
    <col min="13316" max="13316" width="9.140625" style="435"/>
    <col min="13317" max="13317" width="4.42578125" style="435" customWidth="1"/>
    <col min="13318" max="13318" width="13.7109375" style="435" customWidth="1"/>
    <col min="13319" max="13320" width="9.140625" style="435"/>
    <col min="13321" max="13321" width="19.42578125" style="435" customWidth="1"/>
    <col min="13322" max="13568" width="9.140625" style="435"/>
    <col min="13569" max="13569" width="3.28515625" style="435" customWidth="1"/>
    <col min="13570" max="13570" width="25.42578125" style="435" customWidth="1"/>
    <col min="13571" max="13571" width="16.85546875" style="435" bestFit="1" customWidth="1"/>
    <col min="13572" max="13572" width="9.140625" style="435"/>
    <col min="13573" max="13573" width="4.42578125" style="435" customWidth="1"/>
    <col min="13574" max="13574" width="13.7109375" style="435" customWidth="1"/>
    <col min="13575" max="13576" width="9.140625" style="435"/>
    <col min="13577" max="13577" width="19.42578125" style="435" customWidth="1"/>
    <col min="13578" max="13824" width="9.140625" style="435"/>
    <col min="13825" max="13825" width="3.28515625" style="435" customWidth="1"/>
    <col min="13826" max="13826" width="25.42578125" style="435" customWidth="1"/>
    <col min="13827" max="13827" width="16.85546875" style="435" bestFit="1" customWidth="1"/>
    <col min="13828" max="13828" width="9.140625" style="435"/>
    <col min="13829" max="13829" width="4.42578125" style="435" customWidth="1"/>
    <col min="13830" max="13830" width="13.7109375" style="435" customWidth="1"/>
    <col min="13831" max="13832" width="9.140625" style="435"/>
    <col min="13833" max="13833" width="19.42578125" style="435" customWidth="1"/>
    <col min="13834" max="14080" width="9.140625" style="435"/>
    <col min="14081" max="14081" width="3.28515625" style="435" customWidth="1"/>
    <col min="14082" max="14082" width="25.42578125" style="435" customWidth="1"/>
    <col min="14083" max="14083" width="16.85546875" style="435" bestFit="1" customWidth="1"/>
    <col min="14084" max="14084" width="9.140625" style="435"/>
    <col min="14085" max="14085" width="4.42578125" style="435" customWidth="1"/>
    <col min="14086" max="14086" width="13.7109375" style="435" customWidth="1"/>
    <col min="14087" max="14088" width="9.140625" style="435"/>
    <col min="14089" max="14089" width="19.42578125" style="435" customWidth="1"/>
    <col min="14090" max="14336" width="9.140625" style="435"/>
    <col min="14337" max="14337" width="3.28515625" style="435" customWidth="1"/>
    <col min="14338" max="14338" width="25.42578125" style="435" customWidth="1"/>
    <col min="14339" max="14339" width="16.85546875" style="435" bestFit="1" customWidth="1"/>
    <col min="14340" max="14340" width="9.140625" style="435"/>
    <col min="14341" max="14341" width="4.42578125" style="435" customWidth="1"/>
    <col min="14342" max="14342" width="13.7109375" style="435" customWidth="1"/>
    <col min="14343" max="14344" width="9.140625" style="435"/>
    <col min="14345" max="14345" width="19.42578125" style="435" customWidth="1"/>
    <col min="14346" max="14592" width="9.140625" style="435"/>
    <col min="14593" max="14593" width="3.28515625" style="435" customWidth="1"/>
    <col min="14594" max="14594" width="25.42578125" style="435" customWidth="1"/>
    <col min="14595" max="14595" width="16.85546875" style="435" bestFit="1" customWidth="1"/>
    <col min="14596" max="14596" width="9.140625" style="435"/>
    <col min="14597" max="14597" width="4.42578125" style="435" customWidth="1"/>
    <col min="14598" max="14598" width="13.7109375" style="435" customWidth="1"/>
    <col min="14599" max="14600" width="9.140625" style="435"/>
    <col min="14601" max="14601" width="19.42578125" style="435" customWidth="1"/>
    <col min="14602" max="14848" width="9.140625" style="435"/>
    <col min="14849" max="14849" width="3.28515625" style="435" customWidth="1"/>
    <col min="14850" max="14850" width="25.42578125" style="435" customWidth="1"/>
    <col min="14851" max="14851" width="16.85546875" style="435" bestFit="1" customWidth="1"/>
    <col min="14852" max="14852" width="9.140625" style="435"/>
    <col min="14853" max="14853" width="4.42578125" style="435" customWidth="1"/>
    <col min="14854" max="14854" width="13.7109375" style="435" customWidth="1"/>
    <col min="14855" max="14856" width="9.140625" style="435"/>
    <col min="14857" max="14857" width="19.42578125" style="435" customWidth="1"/>
    <col min="14858" max="15104" width="9.140625" style="435"/>
    <col min="15105" max="15105" width="3.28515625" style="435" customWidth="1"/>
    <col min="15106" max="15106" width="25.42578125" style="435" customWidth="1"/>
    <col min="15107" max="15107" width="16.85546875" style="435" bestFit="1" customWidth="1"/>
    <col min="15108" max="15108" width="9.140625" style="435"/>
    <col min="15109" max="15109" width="4.42578125" style="435" customWidth="1"/>
    <col min="15110" max="15110" width="13.7109375" style="435" customWidth="1"/>
    <col min="15111" max="15112" width="9.140625" style="435"/>
    <col min="15113" max="15113" width="19.42578125" style="435" customWidth="1"/>
    <col min="15114" max="15360" width="9.140625" style="435"/>
    <col min="15361" max="15361" width="3.28515625" style="435" customWidth="1"/>
    <col min="15362" max="15362" width="25.42578125" style="435" customWidth="1"/>
    <col min="15363" max="15363" width="16.85546875" style="435" bestFit="1" customWidth="1"/>
    <col min="15364" max="15364" width="9.140625" style="435"/>
    <col min="15365" max="15365" width="4.42578125" style="435" customWidth="1"/>
    <col min="15366" max="15366" width="13.7109375" style="435" customWidth="1"/>
    <col min="15367" max="15368" width="9.140625" style="435"/>
    <col min="15369" max="15369" width="19.42578125" style="435" customWidth="1"/>
    <col min="15370" max="15616" width="9.140625" style="435"/>
    <col min="15617" max="15617" width="3.28515625" style="435" customWidth="1"/>
    <col min="15618" max="15618" width="25.42578125" style="435" customWidth="1"/>
    <col min="15619" max="15619" width="16.85546875" style="435" bestFit="1" customWidth="1"/>
    <col min="15620" max="15620" width="9.140625" style="435"/>
    <col min="15621" max="15621" width="4.42578125" style="435" customWidth="1"/>
    <col min="15622" max="15622" width="13.7109375" style="435" customWidth="1"/>
    <col min="15623" max="15624" width="9.140625" style="435"/>
    <col min="15625" max="15625" width="19.42578125" style="435" customWidth="1"/>
    <col min="15626" max="15872" width="9.140625" style="435"/>
    <col min="15873" max="15873" width="3.28515625" style="435" customWidth="1"/>
    <col min="15874" max="15874" width="25.42578125" style="435" customWidth="1"/>
    <col min="15875" max="15875" width="16.85546875" style="435" bestFit="1" customWidth="1"/>
    <col min="15876" max="15876" width="9.140625" style="435"/>
    <col min="15877" max="15877" width="4.42578125" style="435" customWidth="1"/>
    <col min="15878" max="15878" width="13.7109375" style="435" customWidth="1"/>
    <col min="15879" max="15880" width="9.140625" style="435"/>
    <col min="15881" max="15881" width="19.42578125" style="435" customWidth="1"/>
    <col min="15882" max="16128" width="9.140625" style="435"/>
    <col min="16129" max="16129" width="3.28515625" style="435" customWidth="1"/>
    <col min="16130" max="16130" width="25.42578125" style="435" customWidth="1"/>
    <col min="16131" max="16131" width="16.85546875" style="435" bestFit="1" customWidth="1"/>
    <col min="16132" max="16132" width="9.140625" style="435"/>
    <col min="16133" max="16133" width="4.42578125" style="435" customWidth="1"/>
    <col min="16134" max="16134" width="13.7109375" style="435" customWidth="1"/>
    <col min="16135" max="16136" width="9.140625" style="435"/>
    <col min="16137" max="16137" width="19.42578125" style="435" customWidth="1"/>
    <col min="16138" max="16384" width="9.140625" style="435"/>
  </cols>
  <sheetData>
    <row r="1" spans="2:14" ht="24" thickBot="1">
      <c r="G1" s="2777" t="s">
        <v>1749</v>
      </c>
      <c r="H1" s="2778"/>
      <c r="I1" s="2779"/>
    </row>
    <row r="2" spans="2:14" ht="14.45" customHeight="1">
      <c r="B2" s="3080" t="s">
        <v>1631</v>
      </c>
      <c r="C2" s="3081"/>
      <c r="D2" s="3081"/>
      <c r="E2" s="3082"/>
    </row>
    <row r="3" spans="2:14" ht="15.75">
      <c r="B3" s="489"/>
      <c r="C3" s="863" t="s">
        <v>927</v>
      </c>
      <c r="D3" s="438"/>
      <c r="E3" s="439"/>
    </row>
    <row r="4" spans="2:14" hidden="1">
      <c r="B4" s="611" t="s">
        <v>985</v>
      </c>
      <c r="C4" s="714">
        <v>20</v>
      </c>
      <c r="D4" s="715" t="s">
        <v>732</v>
      </c>
      <c r="E4" s="439"/>
    </row>
    <row r="5" spans="2:14" hidden="1">
      <c r="B5" s="611" t="s">
        <v>986</v>
      </c>
      <c r="C5" s="714">
        <v>1</v>
      </c>
      <c r="D5" s="715" t="s">
        <v>732</v>
      </c>
      <c r="E5" s="439"/>
    </row>
    <row r="6" spans="2:14">
      <c r="B6" s="611" t="s">
        <v>987</v>
      </c>
      <c r="C6" s="714">
        <v>1400</v>
      </c>
      <c r="D6" s="715" t="s">
        <v>357</v>
      </c>
      <c r="E6" s="439"/>
    </row>
    <row r="7" spans="2:14">
      <c r="B7" s="611" t="s">
        <v>988</v>
      </c>
      <c r="C7" s="714">
        <v>25.3</v>
      </c>
      <c r="D7" s="715" t="s">
        <v>575</v>
      </c>
      <c r="E7" s="439"/>
    </row>
    <row r="8" spans="2:14">
      <c r="B8" s="489"/>
      <c r="C8" s="586"/>
      <c r="D8" s="438"/>
      <c r="E8" s="439"/>
    </row>
    <row r="9" spans="2:14">
      <c r="B9" s="489"/>
      <c r="C9" s="438"/>
      <c r="D9" s="438"/>
      <c r="E9" s="439"/>
    </row>
    <row r="10" spans="2:14" ht="18" customHeight="1">
      <c r="B10" s="489" t="s">
        <v>989</v>
      </c>
      <c r="C10" s="2699">
        <f>(0.0909*(C6^0.438))+C7</f>
        <v>27.470540845456831</v>
      </c>
      <c r="D10" s="2700" t="s">
        <v>575</v>
      </c>
      <c r="E10" s="439"/>
    </row>
    <row r="11" spans="2:14" ht="13.5" thickBot="1">
      <c r="B11" s="488"/>
      <c r="C11" s="448"/>
      <c r="D11" s="448"/>
      <c r="E11" s="450"/>
    </row>
    <row r="12" spans="2:14" ht="13.5" thickBot="1"/>
    <row r="13" spans="2:14" ht="15">
      <c r="B13" s="543" t="s">
        <v>990</v>
      </c>
      <c r="C13" s="507"/>
      <c r="D13" s="507"/>
      <c r="E13" s="507"/>
      <c r="F13" s="507"/>
      <c r="G13" s="507"/>
      <c r="H13" s="507"/>
      <c r="I13" s="509"/>
    </row>
    <row r="14" spans="2:14" ht="15">
      <c r="B14" s="544"/>
      <c r="C14" s="438"/>
      <c r="D14" s="438"/>
      <c r="E14" s="438"/>
      <c r="F14" s="438"/>
      <c r="G14" s="438"/>
      <c r="H14" s="438"/>
      <c r="I14" s="439"/>
    </row>
    <row r="15" spans="2:14" ht="14.25">
      <c r="B15" s="545" t="s">
        <v>991</v>
      </c>
      <c r="C15" s="437"/>
      <c r="D15" s="438"/>
      <c r="E15" s="546"/>
      <c r="F15" s="437"/>
      <c r="G15" s="438"/>
      <c r="H15" s="438"/>
      <c r="I15" s="439"/>
      <c r="K15" s="2693"/>
      <c r="L15" s="2693"/>
      <c r="M15" s="2691"/>
      <c r="N15" s="2692"/>
    </row>
    <row r="16" spans="2:14" ht="14.25">
      <c r="B16" s="436" t="s">
        <v>598</v>
      </c>
      <c r="C16" s="437"/>
      <c r="D16" s="438"/>
      <c r="E16" s="438"/>
      <c r="F16" s="438"/>
      <c r="G16" s="438"/>
      <c r="H16" s="438"/>
      <c r="I16" s="439"/>
      <c r="K16" s="648"/>
      <c r="L16" s="648"/>
      <c r="M16" s="648"/>
      <c r="N16" s="648"/>
    </row>
    <row r="17" spans="2:14" ht="14.25">
      <c r="B17" s="436" t="s">
        <v>778</v>
      </c>
      <c r="C17" s="477">
        <v>0</v>
      </c>
      <c r="D17" s="478" t="s">
        <v>357</v>
      </c>
      <c r="E17" s="479"/>
      <c r="F17" s="437"/>
      <c r="G17" s="438"/>
      <c r="H17" s="438"/>
      <c r="I17" s="439"/>
    </row>
    <row r="18" spans="2:14" ht="14.25">
      <c r="B18" s="436" t="s">
        <v>779</v>
      </c>
      <c r="C18" s="477">
        <v>1600</v>
      </c>
      <c r="D18" s="478" t="s">
        <v>357</v>
      </c>
      <c r="E18" s="479"/>
      <c r="F18" s="437"/>
      <c r="G18" s="438"/>
      <c r="H18" s="438"/>
      <c r="I18" s="439"/>
    </row>
    <row r="19" spans="2:14" ht="15">
      <c r="B19" s="436" t="s">
        <v>992</v>
      </c>
      <c r="C19" s="2695">
        <f>C18-C17</f>
        <v>1600</v>
      </c>
      <c r="D19" s="478" t="s">
        <v>2178</v>
      </c>
      <c r="E19" s="479"/>
      <c r="F19" s="437"/>
      <c r="G19" s="438"/>
      <c r="H19" s="438"/>
      <c r="I19" s="439"/>
    </row>
    <row r="20" spans="2:14" ht="15" thickBot="1">
      <c r="B20" s="842" t="s">
        <v>2179</v>
      </c>
      <c r="C20" s="2694">
        <v>9.7899999999999991</v>
      </c>
      <c r="D20" s="478" t="s">
        <v>2169</v>
      </c>
      <c r="E20" s="479" t="s">
        <v>600</v>
      </c>
      <c r="F20" s="437" t="s">
        <v>993</v>
      </c>
      <c r="G20" s="438"/>
      <c r="H20" s="438"/>
      <c r="I20" s="439"/>
    </row>
    <row r="21" spans="2:14" ht="16.5" thickBot="1">
      <c r="B21" s="2697" t="s">
        <v>994</v>
      </c>
      <c r="C21" s="2696">
        <f>(C20*C19)/1000</f>
        <v>15.663999999999998</v>
      </c>
      <c r="D21" s="2698" t="s">
        <v>575</v>
      </c>
      <c r="E21" s="511"/>
      <c r="F21" s="438"/>
      <c r="G21" s="438"/>
      <c r="H21" s="438"/>
      <c r="I21" s="439"/>
    </row>
    <row r="22" spans="2:14" ht="13.5" thickBot="1">
      <c r="B22" s="446"/>
      <c r="C22" s="447"/>
      <c r="D22" s="448"/>
      <c r="E22" s="449"/>
      <c r="F22" s="448"/>
      <c r="G22" s="448"/>
      <c r="H22" s="448"/>
      <c r="I22" s="450"/>
    </row>
    <row r="23" spans="2:14" ht="13.5" thickBot="1"/>
    <row r="24" spans="2:14" ht="14.45" customHeight="1">
      <c r="B24" s="543" t="s">
        <v>995</v>
      </c>
      <c r="C24" s="507"/>
      <c r="D24" s="507"/>
      <c r="E24" s="507"/>
      <c r="F24" s="507"/>
      <c r="G24" s="509"/>
      <c r="I24" s="3072" t="s">
        <v>996</v>
      </c>
      <c r="J24" s="3073"/>
      <c r="K24" s="3073"/>
      <c r="L24" s="3073"/>
      <c r="M24" s="3073"/>
      <c r="N24" s="3074"/>
    </row>
    <row r="25" spans="2:14" ht="14.25">
      <c r="B25" s="436"/>
      <c r="C25" s="437"/>
      <c r="D25" s="438"/>
      <c r="E25" s="438"/>
      <c r="F25" s="438"/>
      <c r="G25" s="439"/>
      <c r="I25" s="436"/>
      <c r="J25" s="437"/>
      <c r="K25" s="438"/>
      <c r="L25" s="438"/>
      <c r="M25" s="438"/>
      <c r="N25" s="439"/>
    </row>
    <row r="26" spans="2:14" ht="14.25">
      <c r="B26" s="436"/>
      <c r="C26" s="864">
        <v>1700</v>
      </c>
      <c r="D26" s="865" t="s">
        <v>357</v>
      </c>
      <c r="E26" s="479" t="s">
        <v>600</v>
      </c>
      <c r="F26" s="437" t="s">
        <v>2181</v>
      </c>
      <c r="G26" s="439"/>
      <c r="I26" s="2773" t="s">
        <v>536</v>
      </c>
      <c r="J26" s="2774"/>
      <c r="K26" s="2774"/>
      <c r="L26" s="866">
        <v>1.1299999999999999E-2</v>
      </c>
      <c r="M26" s="441" t="s">
        <v>997</v>
      </c>
      <c r="N26" s="442" t="s">
        <v>573</v>
      </c>
    </row>
    <row r="27" spans="2:14" ht="15.75">
      <c r="B27" s="2701" t="s">
        <v>998</v>
      </c>
      <c r="C27" s="2702">
        <f>16+(0.0105*$C$26)</f>
        <v>33.85</v>
      </c>
      <c r="D27" s="2703" t="s">
        <v>575</v>
      </c>
      <c r="E27" s="479"/>
      <c r="F27" s="437"/>
      <c r="G27" s="439"/>
      <c r="I27" s="2773" t="s">
        <v>2182</v>
      </c>
      <c r="J27" s="2774"/>
      <c r="K27" s="2774"/>
      <c r="L27" s="443">
        <v>21</v>
      </c>
      <c r="M27" s="441" t="s">
        <v>575</v>
      </c>
      <c r="N27" s="442" t="s">
        <v>573</v>
      </c>
    </row>
    <row r="28" spans="2:14" ht="16.5" thickBot="1">
      <c r="B28" s="2701" t="s">
        <v>999</v>
      </c>
      <c r="C28" s="2702">
        <f>20+(0.0146*$C$26)</f>
        <v>44.82</v>
      </c>
      <c r="D28" s="2703" t="s">
        <v>575</v>
      </c>
      <c r="E28" s="479"/>
      <c r="F28" s="437"/>
      <c r="G28" s="439"/>
      <c r="I28" s="3077" t="s">
        <v>518</v>
      </c>
      <c r="J28" s="2910"/>
      <c r="K28" s="2910"/>
      <c r="L28" s="691">
        <v>2716</v>
      </c>
      <c r="M28" s="652" t="s">
        <v>357</v>
      </c>
      <c r="N28" s="442" t="s">
        <v>573</v>
      </c>
    </row>
    <row r="29" spans="2:14" ht="16.5" thickBot="1">
      <c r="B29" s="2701" t="s">
        <v>1000</v>
      </c>
      <c r="C29" s="2702">
        <f>22+(0.0105*$C$26)</f>
        <v>39.85</v>
      </c>
      <c r="D29" s="2703" t="s">
        <v>575</v>
      </c>
      <c r="E29" s="479"/>
      <c r="F29" s="437"/>
      <c r="G29" s="439"/>
      <c r="I29" s="3078" t="s">
        <v>1001</v>
      </c>
      <c r="J29" s="3079"/>
      <c r="K29" s="3079"/>
      <c r="L29" s="2704">
        <f>L27+(L26*L28)</f>
        <v>51.690799999999996</v>
      </c>
      <c r="M29" s="2600" t="s">
        <v>575</v>
      </c>
      <c r="N29" s="439"/>
    </row>
    <row r="30" spans="2:14" ht="16.5" thickBot="1">
      <c r="B30" s="2701" t="s">
        <v>2180</v>
      </c>
      <c r="C30" s="2702">
        <f>27+(0.0186*$C$26)</f>
        <v>58.62</v>
      </c>
      <c r="D30" s="2703" t="s">
        <v>575</v>
      </c>
      <c r="E30" s="479"/>
      <c r="F30" s="437"/>
      <c r="G30" s="439"/>
      <c r="I30" s="446"/>
      <c r="J30" s="447"/>
      <c r="K30" s="448"/>
      <c r="L30" s="449"/>
      <c r="M30" s="448"/>
      <c r="N30" s="450"/>
    </row>
    <row r="31" spans="2:14" ht="13.5" thickBot="1">
      <c r="B31" s="446"/>
      <c r="C31" s="447"/>
      <c r="D31" s="448"/>
      <c r="E31" s="449"/>
      <c r="F31" s="448"/>
      <c r="G31" s="450"/>
    </row>
    <row r="32" spans="2:14" ht="13.5" thickBot="1"/>
    <row r="33" spans="2:9" ht="15">
      <c r="B33" s="543" t="s">
        <v>1002</v>
      </c>
      <c r="C33" s="507"/>
      <c r="D33" s="507"/>
      <c r="E33" s="507"/>
      <c r="F33" s="507"/>
      <c r="G33" s="509"/>
    </row>
    <row r="34" spans="2:9" ht="15">
      <c r="B34" s="544"/>
      <c r="C34" s="438"/>
      <c r="D34" s="438"/>
      <c r="E34" s="438"/>
      <c r="F34" s="438"/>
      <c r="G34" s="439"/>
    </row>
    <row r="35" spans="2:9" ht="14.25">
      <c r="B35" s="436" t="s">
        <v>1003</v>
      </c>
      <c r="C35" s="437"/>
      <c r="D35" s="438"/>
      <c r="E35" s="546"/>
      <c r="F35" s="437"/>
      <c r="G35" s="439"/>
    </row>
    <row r="36" spans="2:9" ht="14.25">
      <c r="B36" s="436"/>
      <c r="C36" s="437"/>
      <c r="D36" s="438"/>
      <c r="E36" s="438"/>
      <c r="F36" s="438"/>
      <c r="G36" s="439"/>
    </row>
    <row r="37" spans="2:9" ht="14.25">
      <c r="B37" s="436"/>
      <c r="C37" s="477">
        <v>33</v>
      </c>
      <c r="D37" s="513" t="s">
        <v>1004</v>
      </c>
      <c r="E37" s="479"/>
      <c r="F37" s="437"/>
      <c r="G37" s="439"/>
    </row>
    <row r="38" spans="2:9" ht="14.25">
      <c r="B38" s="489"/>
      <c r="C38" s="477">
        <v>0.3</v>
      </c>
      <c r="D38" s="513" t="s">
        <v>1005</v>
      </c>
      <c r="E38" s="479"/>
      <c r="F38" s="437"/>
      <c r="G38" s="439"/>
    </row>
    <row r="39" spans="2:9" ht="16.5" thickBot="1">
      <c r="B39" s="436"/>
      <c r="C39" s="2705">
        <f>36.5-C37</f>
        <v>3.5</v>
      </c>
      <c r="D39" s="2706" t="s">
        <v>1006</v>
      </c>
      <c r="E39" s="479"/>
      <c r="F39" s="437"/>
      <c r="G39" s="439"/>
      <c r="I39" s="793"/>
    </row>
    <row r="40" spans="2:9" ht="16.5" thickBot="1">
      <c r="B40" s="2707" t="s">
        <v>1007</v>
      </c>
      <c r="C40" s="2708">
        <f>0.7*(C39)+(C39*(SQRT(C38)))</f>
        <v>4.3670289512680807</v>
      </c>
      <c r="D40" s="3075" t="s">
        <v>1008</v>
      </c>
      <c r="E40" s="3075"/>
      <c r="F40" s="3076"/>
      <c r="G40" s="439"/>
    </row>
    <row r="41" spans="2:9" ht="13.5" thickBot="1">
      <c r="B41" s="446"/>
      <c r="C41" s="447"/>
      <c r="D41" s="448"/>
      <c r="E41" s="449"/>
      <c r="F41" s="448"/>
      <c r="G41" s="450"/>
    </row>
    <row r="42" spans="2:9" ht="13.5" thickBot="1">
      <c r="I42" s="509"/>
    </row>
    <row r="43" spans="2:9" ht="15">
      <c r="B43" s="543" t="s">
        <v>1009</v>
      </c>
      <c r="C43" s="507"/>
      <c r="D43" s="507"/>
      <c r="E43" s="507"/>
      <c r="F43" s="507"/>
      <c r="G43" s="507"/>
      <c r="H43" s="507"/>
      <c r="I43" s="439"/>
    </row>
    <row r="44" spans="2:9" ht="15">
      <c r="B44" s="544"/>
      <c r="C44" s="438"/>
      <c r="D44" s="438"/>
      <c r="E44" s="438"/>
      <c r="F44" s="438"/>
      <c r="G44" s="438"/>
      <c r="H44" s="438"/>
      <c r="I44" s="439"/>
    </row>
    <row r="45" spans="2:9" ht="14.25">
      <c r="B45" s="436" t="s">
        <v>1010</v>
      </c>
      <c r="C45" s="437"/>
      <c r="D45" s="438"/>
      <c r="E45" s="546"/>
      <c r="F45" s="437"/>
      <c r="G45" s="438"/>
      <c r="H45" s="438"/>
      <c r="I45" s="439"/>
    </row>
    <row r="46" spans="2:9" ht="14.25">
      <c r="B46" s="436"/>
      <c r="C46" s="437"/>
      <c r="D46" s="438"/>
      <c r="E46" s="438"/>
      <c r="F46" s="438"/>
      <c r="G46" s="438"/>
      <c r="H46" s="438"/>
      <c r="I46" s="439"/>
    </row>
    <row r="47" spans="2:9" ht="14.25">
      <c r="B47" s="436"/>
      <c r="C47" s="477">
        <v>63</v>
      </c>
      <c r="D47" s="478">
        <v>1</v>
      </c>
      <c r="E47" s="479" t="s">
        <v>600</v>
      </c>
      <c r="F47" s="437" t="s">
        <v>1011</v>
      </c>
      <c r="G47" s="438"/>
      <c r="H47" s="438"/>
      <c r="I47" s="439"/>
    </row>
    <row r="48" spans="2:9" ht="14.25">
      <c r="B48" s="436"/>
      <c r="C48" s="477">
        <v>37</v>
      </c>
      <c r="D48" s="478">
        <v>2</v>
      </c>
      <c r="E48" s="479" t="s">
        <v>600</v>
      </c>
      <c r="F48" s="437" t="s">
        <v>1012</v>
      </c>
      <c r="G48" s="438"/>
      <c r="H48" s="438"/>
      <c r="I48" s="439"/>
    </row>
    <row r="49" spans="2:9" ht="14.25">
      <c r="B49" s="436"/>
      <c r="C49" s="477">
        <v>0.09</v>
      </c>
      <c r="D49" s="478" t="s">
        <v>203</v>
      </c>
      <c r="E49" s="479" t="s">
        <v>600</v>
      </c>
      <c r="F49" s="523" t="s">
        <v>1013</v>
      </c>
      <c r="G49" s="438"/>
      <c r="H49" s="438"/>
      <c r="I49" s="439"/>
    </row>
    <row r="50" spans="2:9" ht="14.25">
      <c r="B50" s="436"/>
      <c r="C50" s="864">
        <v>45</v>
      </c>
      <c r="D50" s="478" t="s">
        <v>896</v>
      </c>
      <c r="E50" s="479" t="s">
        <v>600</v>
      </c>
      <c r="F50" s="523" t="s">
        <v>1014</v>
      </c>
      <c r="G50" s="438"/>
      <c r="H50" s="438"/>
      <c r="I50" s="439"/>
    </row>
    <row r="51" spans="2:9" ht="15" thickBot="1">
      <c r="B51" s="489"/>
      <c r="C51" s="864">
        <v>0.05</v>
      </c>
      <c r="D51" s="478" t="s">
        <v>433</v>
      </c>
      <c r="E51" s="479" t="s">
        <v>600</v>
      </c>
      <c r="F51" s="437" t="s">
        <v>1015</v>
      </c>
      <c r="G51" s="438"/>
      <c r="H51" s="438"/>
      <c r="I51" s="439"/>
    </row>
    <row r="52" spans="2:9" ht="16.5" thickBot="1">
      <c r="B52" s="2707" t="s">
        <v>1016</v>
      </c>
      <c r="C52" s="2704">
        <f>C49*C50*(C47-C48)/C51</f>
        <v>2106</v>
      </c>
      <c r="D52" s="2709" t="s">
        <v>221</v>
      </c>
      <c r="E52" s="867" t="s">
        <v>600</v>
      </c>
      <c r="F52" s="523" t="s">
        <v>1017</v>
      </c>
      <c r="G52" s="438"/>
      <c r="H52" s="438"/>
      <c r="I52" s="439"/>
    </row>
    <row r="53" spans="2:9" ht="16.5" thickBot="1">
      <c r="B53" s="2710" t="s">
        <v>1018</v>
      </c>
      <c r="C53" s="2704">
        <f>C52*4</f>
        <v>8424</v>
      </c>
      <c r="D53" s="2709" t="s">
        <v>221</v>
      </c>
      <c r="E53" s="867"/>
      <c r="F53" s="523"/>
      <c r="G53" s="438"/>
      <c r="H53" s="438"/>
      <c r="I53" s="450"/>
    </row>
    <row r="54" spans="2:9" ht="13.5" thickBot="1">
      <c r="B54" s="446"/>
      <c r="C54" s="447"/>
      <c r="D54" s="448"/>
      <c r="E54" s="449"/>
      <c r="F54" s="448"/>
      <c r="G54" s="448"/>
      <c r="H54" s="448"/>
    </row>
  </sheetData>
  <mergeCells count="8">
    <mergeCell ref="I24:N24"/>
    <mergeCell ref="D40:F40"/>
    <mergeCell ref="G1:I1"/>
    <mergeCell ref="I26:K26"/>
    <mergeCell ref="I27:K27"/>
    <mergeCell ref="I28:K28"/>
    <mergeCell ref="I29:K29"/>
    <mergeCell ref="B2:E2"/>
  </mergeCells>
  <hyperlinks>
    <hyperlink ref="G1" location="INDEX!A1" display="INDEX!A1"/>
  </hyperlinks>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Equation.3" shapeId="16385" r:id="rId4">
          <objectPr defaultSize="0" autoPict="0" r:id="rId5">
            <anchor moveWithCells="1" sizeWithCells="1">
              <from>
                <xdr:col>2</xdr:col>
                <xdr:colOff>38100</xdr:colOff>
                <xdr:row>13</xdr:row>
                <xdr:rowOff>38100</xdr:rowOff>
              </from>
              <to>
                <xdr:col>2</xdr:col>
                <xdr:colOff>885825</xdr:colOff>
                <xdr:row>15</xdr:row>
                <xdr:rowOff>114300</xdr:rowOff>
              </to>
            </anchor>
          </objectPr>
        </oleObject>
      </mc:Choice>
      <mc:Fallback>
        <oleObject progId="Equation.3" shapeId="16385" r:id="rId4"/>
      </mc:Fallback>
    </mc:AlternateContent>
    <mc:AlternateContent xmlns:mc="http://schemas.openxmlformats.org/markup-compatibility/2006">
      <mc:Choice Requires="x14">
        <oleObject progId="Equation.3" shapeId="16386" r:id="rId6">
          <objectPr defaultSize="0" autoPict="0" r:id="rId7">
            <anchor moveWithCells="1" sizeWithCells="1">
              <from>
                <xdr:col>1</xdr:col>
                <xdr:colOff>381000</xdr:colOff>
                <xdr:row>33</xdr:row>
                <xdr:rowOff>123825</xdr:rowOff>
              </from>
              <to>
                <xdr:col>1</xdr:col>
                <xdr:colOff>1304925</xdr:colOff>
                <xdr:row>35</xdr:row>
                <xdr:rowOff>57150</xdr:rowOff>
              </to>
            </anchor>
          </objectPr>
        </oleObject>
      </mc:Choice>
      <mc:Fallback>
        <oleObject progId="Equation.3" shapeId="16386" r:id="rId6"/>
      </mc:Fallback>
    </mc:AlternateContent>
    <mc:AlternateContent xmlns:mc="http://schemas.openxmlformats.org/markup-compatibility/2006">
      <mc:Choice Requires="x14">
        <oleObject progId="Equation.3" shapeId="16387" r:id="rId8">
          <objectPr defaultSize="0" autoPict="0" r:id="rId9">
            <anchor moveWithCells="1" sizeWithCells="1">
              <from>
                <xdr:col>1</xdr:col>
                <xdr:colOff>352425</xdr:colOff>
                <xdr:row>43</xdr:row>
                <xdr:rowOff>133350</xdr:rowOff>
              </from>
              <to>
                <xdr:col>1</xdr:col>
                <xdr:colOff>1190625</xdr:colOff>
                <xdr:row>45</xdr:row>
                <xdr:rowOff>133350</xdr:rowOff>
              </to>
            </anchor>
          </objectPr>
        </oleObject>
      </mc:Choice>
      <mc:Fallback>
        <oleObject progId="Equation.3" shapeId="16387" r:id="rId8"/>
      </mc:Fallback>
    </mc:AlternateContent>
  </oleObjec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3300"/>
  </sheetPr>
  <dimension ref="A1:BT73"/>
  <sheetViews>
    <sheetView zoomScale="55" zoomScaleNormal="55" zoomScaleSheetLayoutView="55" workbookViewId="0">
      <pane xSplit="1" ySplit="3" topLeftCell="G4" activePane="bottomRight" state="frozen"/>
      <selection pane="topRight" activeCell="B1" sqref="B1"/>
      <selection pane="bottomLeft" activeCell="A4" sqref="A4"/>
      <selection pane="bottomRight" sqref="A1:C1"/>
    </sheetView>
  </sheetViews>
  <sheetFormatPr defaultRowHeight="12.75"/>
  <cols>
    <col min="1" max="1" width="8" style="878" bestFit="1" customWidth="1"/>
    <col min="2" max="2" width="8" style="877" bestFit="1" customWidth="1"/>
    <col min="3" max="3" width="8" style="878" bestFit="1" customWidth="1"/>
    <col min="4" max="4" width="8" style="877" bestFit="1" customWidth="1"/>
    <col min="5" max="5" width="8" style="878" bestFit="1" customWidth="1"/>
    <col min="6" max="6" width="8" style="877" bestFit="1" customWidth="1"/>
    <col min="7" max="7" width="8" style="878" bestFit="1" customWidth="1"/>
    <col min="8" max="8" width="8" style="877" bestFit="1" customWidth="1"/>
    <col min="9" max="9" width="9.7109375" style="878" bestFit="1" customWidth="1"/>
    <col min="10" max="10" width="9.7109375" style="877" bestFit="1" customWidth="1"/>
    <col min="11" max="11" width="9.7109375" style="878" bestFit="1" customWidth="1"/>
    <col min="12" max="12" width="9.7109375" style="877" bestFit="1" customWidth="1"/>
    <col min="13" max="13" width="9.7109375" style="878" bestFit="1" customWidth="1"/>
    <col min="14" max="14" width="9.7109375" style="877" bestFit="1" customWidth="1"/>
    <col min="15" max="15" width="9.7109375" style="878" bestFit="1" customWidth="1"/>
    <col min="16" max="16" width="9.7109375" style="877" bestFit="1" customWidth="1"/>
    <col min="17" max="17" width="9.7109375" style="878" bestFit="1" customWidth="1"/>
    <col min="18" max="18" width="9.7109375" style="877" bestFit="1" customWidth="1"/>
    <col min="19" max="19" width="9.7109375" style="878" bestFit="1" customWidth="1"/>
    <col min="20" max="20" width="9.7109375" style="877" bestFit="1" customWidth="1"/>
    <col min="21" max="21" width="9.7109375" style="878" bestFit="1" customWidth="1"/>
    <col min="22" max="22" width="9.7109375" style="877" bestFit="1" customWidth="1"/>
    <col min="23" max="23" width="9.7109375" style="878" bestFit="1" customWidth="1"/>
    <col min="24" max="24" width="9.7109375" style="877" bestFit="1" customWidth="1"/>
    <col min="25" max="25" width="9.7109375" style="878" bestFit="1" customWidth="1"/>
    <col min="26" max="26" width="9.7109375" style="877" bestFit="1" customWidth="1"/>
    <col min="27" max="27" width="9.7109375" style="878" bestFit="1" customWidth="1"/>
    <col min="28" max="28" width="9.7109375" style="877" bestFit="1" customWidth="1"/>
    <col min="29" max="29" width="9.7109375" style="878" bestFit="1" customWidth="1"/>
    <col min="30" max="30" width="9.7109375" style="877" bestFit="1" customWidth="1"/>
    <col min="31" max="31" width="9.7109375" style="878" bestFit="1" customWidth="1"/>
    <col min="32" max="32" width="9.7109375" style="877" bestFit="1" customWidth="1"/>
    <col min="33" max="33" width="8" style="878" bestFit="1" customWidth="1"/>
    <col min="34" max="34" width="9.7109375" style="878" bestFit="1" customWidth="1"/>
    <col min="35" max="35" width="9.7109375" style="877" bestFit="1" customWidth="1"/>
    <col min="36" max="36" width="9.7109375" style="878" bestFit="1" customWidth="1"/>
    <col min="37" max="37" width="9.7109375" style="877" bestFit="1" customWidth="1"/>
    <col min="38" max="38" width="9.7109375" style="878" bestFit="1" customWidth="1"/>
    <col min="39" max="39" width="9.7109375" style="877" bestFit="1" customWidth="1"/>
    <col min="40" max="40" width="9.7109375" style="878" bestFit="1" customWidth="1"/>
    <col min="41" max="41" width="9.7109375" style="877" bestFit="1" customWidth="1"/>
    <col min="42" max="42" width="9.7109375" style="878" bestFit="1" customWidth="1"/>
    <col min="43" max="43" width="9.7109375" style="877" bestFit="1" customWidth="1"/>
    <col min="44" max="44" width="9.7109375" style="878" bestFit="1" customWidth="1"/>
    <col min="45" max="45" width="9.7109375" style="877" bestFit="1" customWidth="1"/>
    <col min="46" max="46" width="9.7109375" style="878" bestFit="1" customWidth="1"/>
    <col min="47" max="47" width="9.7109375" style="877" bestFit="1" customWidth="1"/>
    <col min="48" max="48" width="9.7109375" style="878" bestFit="1" customWidth="1"/>
    <col min="49" max="49" width="9.7109375" style="877" bestFit="1" customWidth="1"/>
    <col min="50" max="50" width="9.7109375" style="878" bestFit="1" customWidth="1"/>
    <col min="51" max="51" width="9.7109375" style="877" bestFit="1" customWidth="1"/>
    <col min="52" max="52" width="9.7109375" style="878" bestFit="1" customWidth="1"/>
    <col min="53" max="53" width="9.7109375" style="877" bestFit="1" customWidth="1"/>
    <col min="54" max="55" width="9.7109375" style="878" bestFit="1" customWidth="1"/>
    <col min="56" max="56" width="9.7109375" style="877" bestFit="1" customWidth="1"/>
    <col min="57" max="57" width="9.7109375" style="878" bestFit="1" customWidth="1"/>
    <col min="58" max="58" width="9.7109375" style="877" bestFit="1" customWidth="1"/>
    <col min="59" max="59" width="9.7109375" style="878" bestFit="1" customWidth="1"/>
    <col min="60" max="60" width="9.7109375" style="877" bestFit="1" customWidth="1"/>
    <col min="61" max="61" width="9.7109375" style="878" bestFit="1" customWidth="1"/>
    <col min="62" max="62" width="9.7109375" style="877" bestFit="1" customWidth="1"/>
    <col min="63" max="63" width="9.7109375" style="878" bestFit="1" customWidth="1"/>
    <col min="64" max="64" width="9.7109375" style="877" bestFit="1" customWidth="1"/>
    <col min="65" max="65" width="9.7109375" style="878" bestFit="1" customWidth="1"/>
    <col min="66" max="66" width="9.7109375" style="877" bestFit="1" customWidth="1"/>
    <col min="67" max="67" width="9.7109375" style="878" bestFit="1" customWidth="1"/>
    <col min="68" max="68" width="9.7109375" style="877" bestFit="1" customWidth="1"/>
    <col min="69" max="69" width="9.7109375" style="878" bestFit="1" customWidth="1"/>
    <col min="70" max="70" width="11.5703125" style="877" bestFit="1" customWidth="1"/>
    <col min="71" max="71" width="11.5703125" style="878" customWidth="1"/>
    <col min="72" max="72" width="11.5703125" style="877" bestFit="1" customWidth="1"/>
    <col min="73" max="256" width="9.140625" style="878"/>
    <col min="257" max="264" width="12.140625" style="878" bestFit="1" customWidth="1"/>
    <col min="265" max="288" width="14.42578125" style="878" bestFit="1" customWidth="1"/>
    <col min="289" max="319" width="13" style="878" customWidth="1"/>
    <col min="320" max="512" width="9.140625" style="878"/>
    <col min="513" max="520" width="12.140625" style="878" bestFit="1" customWidth="1"/>
    <col min="521" max="544" width="14.42578125" style="878" bestFit="1" customWidth="1"/>
    <col min="545" max="575" width="13" style="878" customWidth="1"/>
    <col min="576" max="768" width="9.140625" style="878"/>
    <col min="769" max="776" width="12.140625" style="878" bestFit="1" customWidth="1"/>
    <col min="777" max="800" width="14.42578125" style="878" bestFit="1" customWidth="1"/>
    <col min="801" max="831" width="13" style="878" customWidth="1"/>
    <col min="832" max="1024" width="9.140625" style="878"/>
    <col min="1025" max="1032" width="12.140625" style="878" bestFit="1" customWidth="1"/>
    <col min="1033" max="1056" width="14.42578125" style="878" bestFit="1" customWidth="1"/>
    <col min="1057" max="1087" width="13" style="878" customWidth="1"/>
    <col min="1088" max="1280" width="9.140625" style="878"/>
    <col min="1281" max="1288" width="12.140625" style="878" bestFit="1" customWidth="1"/>
    <col min="1289" max="1312" width="14.42578125" style="878" bestFit="1" customWidth="1"/>
    <col min="1313" max="1343" width="13" style="878" customWidth="1"/>
    <col min="1344" max="1536" width="9.140625" style="878"/>
    <col min="1537" max="1544" width="12.140625" style="878" bestFit="1" customWidth="1"/>
    <col min="1545" max="1568" width="14.42578125" style="878" bestFit="1" customWidth="1"/>
    <col min="1569" max="1599" width="13" style="878" customWidth="1"/>
    <col min="1600" max="1792" width="9.140625" style="878"/>
    <col min="1793" max="1800" width="12.140625" style="878" bestFit="1" customWidth="1"/>
    <col min="1801" max="1824" width="14.42578125" style="878" bestFit="1" customWidth="1"/>
    <col min="1825" max="1855" width="13" style="878" customWidth="1"/>
    <col min="1856" max="2048" width="9.140625" style="878"/>
    <col min="2049" max="2056" width="12.140625" style="878" bestFit="1" customWidth="1"/>
    <col min="2057" max="2080" width="14.42578125" style="878" bestFit="1" customWidth="1"/>
    <col min="2081" max="2111" width="13" style="878" customWidth="1"/>
    <col min="2112" max="2304" width="9.140625" style="878"/>
    <col min="2305" max="2312" width="12.140625" style="878" bestFit="1" customWidth="1"/>
    <col min="2313" max="2336" width="14.42578125" style="878" bestFit="1" customWidth="1"/>
    <col min="2337" max="2367" width="13" style="878" customWidth="1"/>
    <col min="2368" max="2560" width="9.140625" style="878"/>
    <col min="2561" max="2568" width="12.140625" style="878" bestFit="1" customWidth="1"/>
    <col min="2569" max="2592" width="14.42578125" style="878" bestFit="1" customWidth="1"/>
    <col min="2593" max="2623" width="13" style="878" customWidth="1"/>
    <col min="2624" max="2816" width="9.140625" style="878"/>
    <col min="2817" max="2824" width="12.140625" style="878" bestFit="1" customWidth="1"/>
    <col min="2825" max="2848" width="14.42578125" style="878" bestFit="1" customWidth="1"/>
    <col min="2849" max="2879" width="13" style="878" customWidth="1"/>
    <col min="2880" max="3072" width="9.140625" style="878"/>
    <col min="3073" max="3080" width="12.140625" style="878" bestFit="1" customWidth="1"/>
    <col min="3081" max="3104" width="14.42578125" style="878" bestFit="1" customWidth="1"/>
    <col min="3105" max="3135" width="13" style="878" customWidth="1"/>
    <col min="3136" max="3328" width="9.140625" style="878"/>
    <col min="3329" max="3336" width="12.140625" style="878" bestFit="1" customWidth="1"/>
    <col min="3337" max="3360" width="14.42578125" style="878" bestFit="1" customWidth="1"/>
    <col min="3361" max="3391" width="13" style="878" customWidth="1"/>
    <col min="3392" max="3584" width="9.140625" style="878"/>
    <col min="3585" max="3592" width="12.140625" style="878" bestFit="1" customWidth="1"/>
    <col min="3593" max="3616" width="14.42578125" style="878" bestFit="1" customWidth="1"/>
    <col min="3617" max="3647" width="13" style="878" customWidth="1"/>
    <col min="3648" max="3840" width="9.140625" style="878"/>
    <col min="3841" max="3848" width="12.140625" style="878" bestFit="1" customWidth="1"/>
    <col min="3849" max="3872" width="14.42578125" style="878" bestFit="1" customWidth="1"/>
    <col min="3873" max="3903" width="13" style="878" customWidth="1"/>
    <col min="3904" max="4096" width="9.140625" style="878"/>
    <col min="4097" max="4104" width="12.140625" style="878" bestFit="1" customWidth="1"/>
    <col min="4105" max="4128" width="14.42578125" style="878" bestFit="1" customWidth="1"/>
    <col min="4129" max="4159" width="13" style="878" customWidth="1"/>
    <col min="4160" max="4352" width="9.140625" style="878"/>
    <col min="4353" max="4360" width="12.140625" style="878" bestFit="1" customWidth="1"/>
    <col min="4361" max="4384" width="14.42578125" style="878" bestFit="1" customWidth="1"/>
    <col min="4385" max="4415" width="13" style="878" customWidth="1"/>
    <col min="4416" max="4608" width="9.140625" style="878"/>
    <col min="4609" max="4616" width="12.140625" style="878" bestFit="1" customWidth="1"/>
    <col min="4617" max="4640" width="14.42578125" style="878" bestFit="1" customWidth="1"/>
    <col min="4641" max="4671" width="13" style="878" customWidth="1"/>
    <col min="4672" max="4864" width="9.140625" style="878"/>
    <col min="4865" max="4872" width="12.140625" style="878" bestFit="1" customWidth="1"/>
    <col min="4873" max="4896" width="14.42578125" style="878" bestFit="1" customWidth="1"/>
    <col min="4897" max="4927" width="13" style="878" customWidth="1"/>
    <col min="4928" max="5120" width="9.140625" style="878"/>
    <col min="5121" max="5128" width="12.140625" style="878" bestFit="1" customWidth="1"/>
    <col min="5129" max="5152" width="14.42578125" style="878" bestFit="1" customWidth="1"/>
    <col min="5153" max="5183" width="13" style="878" customWidth="1"/>
    <col min="5184" max="5376" width="9.140625" style="878"/>
    <col min="5377" max="5384" width="12.140625" style="878" bestFit="1" customWidth="1"/>
    <col min="5385" max="5408" width="14.42578125" style="878" bestFit="1" customWidth="1"/>
    <col min="5409" max="5439" width="13" style="878" customWidth="1"/>
    <col min="5440" max="5632" width="9.140625" style="878"/>
    <col min="5633" max="5640" width="12.140625" style="878" bestFit="1" customWidth="1"/>
    <col min="5641" max="5664" width="14.42578125" style="878" bestFit="1" customWidth="1"/>
    <col min="5665" max="5695" width="13" style="878" customWidth="1"/>
    <col min="5696" max="5888" width="9.140625" style="878"/>
    <col min="5889" max="5896" width="12.140625" style="878" bestFit="1" customWidth="1"/>
    <col min="5897" max="5920" width="14.42578125" style="878" bestFit="1" customWidth="1"/>
    <col min="5921" max="5951" width="13" style="878" customWidth="1"/>
    <col min="5952" max="6144" width="9.140625" style="878"/>
    <col min="6145" max="6152" width="12.140625" style="878" bestFit="1" customWidth="1"/>
    <col min="6153" max="6176" width="14.42578125" style="878" bestFit="1" customWidth="1"/>
    <col min="6177" max="6207" width="13" style="878" customWidth="1"/>
    <col min="6208" max="6400" width="9.140625" style="878"/>
    <col min="6401" max="6408" width="12.140625" style="878" bestFit="1" customWidth="1"/>
    <col min="6409" max="6432" width="14.42578125" style="878" bestFit="1" customWidth="1"/>
    <col min="6433" max="6463" width="13" style="878" customWidth="1"/>
    <col min="6464" max="6656" width="9.140625" style="878"/>
    <col min="6657" max="6664" width="12.140625" style="878" bestFit="1" customWidth="1"/>
    <col min="6665" max="6688" width="14.42578125" style="878" bestFit="1" customWidth="1"/>
    <col min="6689" max="6719" width="13" style="878" customWidth="1"/>
    <col min="6720" max="6912" width="9.140625" style="878"/>
    <col min="6913" max="6920" width="12.140625" style="878" bestFit="1" customWidth="1"/>
    <col min="6921" max="6944" width="14.42578125" style="878" bestFit="1" customWidth="1"/>
    <col min="6945" max="6975" width="13" style="878" customWidth="1"/>
    <col min="6976" max="7168" width="9.140625" style="878"/>
    <col min="7169" max="7176" width="12.140625" style="878" bestFit="1" customWidth="1"/>
    <col min="7177" max="7200" width="14.42578125" style="878" bestFit="1" customWidth="1"/>
    <col min="7201" max="7231" width="13" style="878" customWidth="1"/>
    <col min="7232" max="7424" width="9.140625" style="878"/>
    <col min="7425" max="7432" width="12.140625" style="878" bestFit="1" customWidth="1"/>
    <col min="7433" max="7456" width="14.42578125" style="878" bestFit="1" customWidth="1"/>
    <col min="7457" max="7487" width="13" style="878" customWidth="1"/>
    <col min="7488" max="7680" width="9.140625" style="878"/>
    <col min="7681" max="7688" width="12.140625" style="878" bestFit="1" customWidth="1"/>
    <col min="7689" max="7712" width="14.42578125" style="878" bestFit="1" customWidth="1"/>
    <col min="7713" max="7743" width="13" style="878" customWidth="1"/>
    <col min="7744" max="7936" width="9.140625" style="878"/>
    <col min="7937" max="7944" width="12.140625" style="878" bestFit="1" customWidth="1"/>
    <col min="7945" max="7968" width="14.42578125" style="878" bestFit="1" customWidth="1"/>
    <col min="7969" max="7999" width="13" style="878" customWidth="1"/>
    <col min="8000" max="8192" width="9.140625" style="878"/>
    <col min="8193" max="8200" width="12.140625" style="878" bestFit="1" customWidth="1"/>
    <col min="8201" max="8224" width="14.42578125" style="878" bestFit="1" customWidth="1"/>
    <col min="8225" max="8255" width="13" style="878" customWidth="1"/>
    <col min="8256" max="8448" width="9.140625" style="878"/>
    <col min="8449" max="8456" width="12.140625" style="878" bestFit="1" customWidth="1"/>
    <col min="8457" max="8480" width="14.42578125" style="878" bestFit="1" customWidth="1"/>
    <col min="8481" max="8511" width="13" style="878" customWidth="1"/>
    <col min="8512" max="8704" width="9.140625" style="878"/>
    <col min="8705" max="8712" width="12.140625" style="878" bestFit="1" customWidth="1"/>
    <col min="8713" max="8736" width="14.42578125" style="878" bestFit="1" customWidth="1"/>
    <col min="8737" max="8767" width="13" style="878" customWidth="1"/>
    <col min="8768" max="8960" width="9.140625" style="878"/>
    <col min="8961" max="8968" width="12.140625" style="878" bestFit="1" customWidth="1"/>
    <col min="8969" max="8992" width="14.42578125" style="878" bestFit="1" customWidth="1"/>
    <col min="8993" max="9023" width="13" style="878" customWidth="1"/>
    <col min="9024" max="9216" width="9.140625" style="878"/>
    <col min="9217" max="9224" width="12.140625" style="878" bestFit="1" customWidth="1"/>
    <col min="9225" max="9248" width="14.42578125" style="878" bestFit="1" customWidth="1"/>
    <col min="9249" max="9279" width="13" style="878" customWidth="1"/>
    <col min="9280" max="9472" width="9.140625" style="878"/>
    <col min="9473" max="9480" width="12.140625" style="878" bestFit="1" customWidth="1"/>
    <col min="9481" max="9504" width="14.42578125" style="878" bestFit="1" customWidth="1"/>
    <col min="9505" max="9535" width="13" style="878" customWidth="1"/>
    <col min="9536" max="9728" width="9.140625" style="878"/>
    <col min="9729" max="9736" width="12.140625" style="878" bestFit="1" customWidth="1"/>
    <col min="9737" max="9760" width="14.42578125" style="878" bestFit="1" customWidth="1"/>
    <col min="9761" max="9791" width="13" style="878" customWidth="1"/>
    <col min="9792" max="9984" width="9.140625" style="878"/>
    <col min="9985" max="9992" width="12.140625" style="878" bestFit="1" customWidth="1"/>
    <col min="9993" max="10016" width="14.42578125" style="878" bestFit="1" customWidth="1"/>
    <col min="10017" max="10047" width="13" style="878" customWidth="1"/>
    <col min="10048" max="10240" width="9.140625" style="878"/>
    <col min="10241" max="10248" width="12.140625" style="878" bestFit="1" customWidth="1"/>
    <col min="10249" max="10272" width="14.42578125" style="878" bestFit="1" customWidth="1"/>
    <col min="10273" max="10303" width="13" style="878" customWidth="1"/>
    <col min="10304" max="10496" width="9.140625" style="878"/>
    <col min="10497" max="10504" width="12.140625" style="878" bestFit="1" customWidth="1"/>
    <col min="10505" max="10528" width="14.42578125" style="878" bestFit="1" customWidth="1"/>
    <col min="10529" max="10559" width="13" style="878" customWidth="1"/>
    <col min="10560" max="10752" width="9.140625" style="878"/>
    <col min="10753" max="10760" width="12.140625" style="878" bestFit="1" customWidth="1"/>
    <col min="10761" max="10784" width="14.42578125" style="878" bestFit="1" customWidth="1"/>
    <col min="10785" max="10815" width="13" style="878" customWidth="1"/>
    <col min="10816" max="11008" width="9.140625" style="878"/>
    <col min="11009" max="11016" width="12.140625" style="878" bestFit="1" customWidth="1"/>
    <col min="11017" max="11040" width="14.42578125" style="878" bestFit="1" customWidth="1"/>
    <col min="11041" max="11071" width="13" style="878" customWidth="1"/>
    <col min="11072" max="11264" width="9.140625" style="878"/>
    <col min="11265" max="11272" width="12.140625" style="878" bestFit="1" customWidth="1"/>
    <col min="11273" max="11296" width="14.42578125" style="878" bestFit="1" customWidth="1"/>
    <col min="11297" max="11327" width="13" style="878" customWidth="1"/>
    <col min="11328" max="11520" width="9.140625" style="878"/>
    <col min="11521" max="11528" width="12.140625" style="878" bestFit="1" customWidth="1"/>
    <col min="11529" max="11552" width="14.42578125" style="878" bestFit="1" customWidth="1"/>
    <col min="11553" max="11583" width="13" style="878" customWidth="1"/>
    <col min="11584" max="11776" width="9.140625" style="878"/>
    <col min="11777" max="11784" width="12.140625" style="878" bestFit="1" customWidth="1"/>
    <col min="11785" max="11808" width="14.42578125" style="878" bestFit="1" customWidth="1"/>
    <col min="11809" max="11839" width="13" style="878" customWidth="1"/>
    <col min="11840" max="12032" width="9.140625" style="878"/>
    <col min="12033" max="12040" width="12.140625" style="878" bestFit="1" customWidth="1"/>
    <col min="12041" max="12064" width="14.42578125" style="878" bestFit="1" customWidth="1"/>
    <col min="12065" max="12095" width="13" style="878" customWidth="1"/>
    <col min="12096" max="12288" width="9.140625" style="878"/>
    <col min="12289" max="12296" width="12.140625" style="878" bestFit="1" customWidth="1"/>
    <col min="12297" max="12320" width="14.42578125" style="878" bestFit="1" customWidth="1"/>
    <col min="12321" max="12351" width="13" style="878" customWidth="1"/>
    <col min="12352" max="12544" width="9.140625" style="878"/>
    <col min="12545" max="12552" width="12.140625" style="878" bestFit="1" customWidth="1"/>
    <col min="12553" max="12576" width="14.42578125" style="878" bestFit="1" customWidth="1"/>
    <col min="12577" max="12607" width="13" style="878" customWidth="1"/>
    <col min="12608" max="12800" width="9.140625" style="878"/>
    <col min="12801" max="12808" width="12.140625" style="878" bestFit="1" customWidth="1"/>
    <col min="12809" max="12832" width="14.42578125" style="878" bestFit="1" customWidth="1"/>
    <col min="12833" max="12863" width="13" style="878" customWidth="1"/>
    <col min="12864" max="13056" width="9.140625" style="878"/>
    <col min="13057" max="13064" width="12.140625" style="878" bestFit="1" customWidth="1"/>
    <col min="13065" max="13088" width="14.42578125" style="878" bestFit="1" customWidth="1"/>
    <col min="13089" max="13119" width="13" style="878" customWidth="1"/>
    <col min="13120" max="13312" width="9.140625" style="878"/>
    <col min="13313" max="13320" width="12.140625" style="878" bestFit="1" customWidth="1"/>
    <col min="13321" max="13344" width="14.42578125" style="878" bestFit="1" customWidth="1"/>
    <col min="13345" max="13375" width="13" style="878" customWidth="1"/>
    <col min="13376" max="13568" width="9.140625" style="878"/>
    <col min="13569" max="13576" width="12.140625" style="878" bestFit="1" customWidth="1"/>
    <col min="13577" max="13600" width="14.42578125" style="878" bestFit="1" customWidth="1"/>
    <col min="13601" max="13631" width="13" style="878" customWidth="1"/>
    <col min="13632" max="13824" width="9.140625" style="878"/>
    <col min="13825" max="13832" width="12.140625" style="878" bestFit="1" customWidth="1"/>
    <col min="13833" max="13856" width="14.42578125" style="878" bestFit="1" customWidth="1"/>
    <col min="13857" max="13887" width="13" style="878" customWidth="1"/>
    <col min="13888" max="14080" width="9.140625" style="878"/>
    <col min="14081" max="14088" width="12.140625" style="878" bestFit="1" customWidth="1"/>
    <col min="14089" max="14112" width="14.42578125" style="878" bestFit="1" customWidth="1"/>
    <col min="14113" max="14143" width="13" style="878" customWidth="1"/>
    <col min="14144" max="14336" width="9.140625" style="878"/>
    <col min="14337" max="14344" width="12.140625" style="878" bestFit="1" customWidth="1"/>
    <col min="14345" max="14368" width="14.42578125" style="878" bestFit="1" customWidth="1"/>
    <col min="14369" max="14399" width="13" style="878" customWidth="1"/>
    <col min="14400" max="14592" width="9.140625" style="878"/>
    <col min="14593" max="14600" width="12.140625" style="878" bestFit="1" customWidth="1"/>
    <col min="14601" max="14624" width="14.42578125" style="878" bestFit="1" customWidth="1"/>
    <col min="14625" max="14655" width="13" style="878" customWidth="1"/>
    <col min="14656" max="14848" width="9.140625" style="878"/>
    <col min="14849" max="14856" width="12.140625" style="878" bestFit="1" customWidth="1"/>
    <col min="14857" max="14880" width="14.42578125" style="878" bestFit="1" customWidth="1"/>
    <col min="14881" max="14911" width="13" style="878" customWidth="1"/>
    <col min="14912" max="15104" width="9.140625" style="878"/>
    <col min="15105" max="15112" width="12.140625" style="878" bestFit="1" customWidth="1"/>
    <col min="15113" max="15136" width="14.42578125" style="878" bestFit="1" customWidth="1"/>
    <col min="15137" max="15167" width="13" style="878" customWidth="1"/>
    <col min="15168" max="15360" width="9.140625" style="878"/>
    <col min="15361" max="15368" width="12.140625" style="878" bestFit="1" customWidth="1"/>
    <col min="15369" max="15392" width="14.42578125" style="878" bestFit="1" customWidth="1"/>
    <col min="15393" max="15423" width="13" style="878" customWidth="1"/>
    <col min="15424" max="15616" width="9.140625" style="878"/>
    <col min="15617" max="15624" width="12.140625" style="878" bestFit="1" customWidth="1"/>
    <col min="15625" max="15648" width="14.42578125" style="878" bestFit="1" customWidth="1"/>
    <col min="15649" max="15679" width="13" style="878" customWidth="1"/>
    <col min="15680" max="15872" width="9.140625" style="878"/>
    <col min="15873" max="15880" width="12.140625" style="878" bestFit="1" customWidth="1"/>
    <col min="15881" max="15904" width="14.42578125" style="878" bestFit="1" customWidth="1"/>
    <col min="15905" max="15935" width="13" style="878" customWidth="1"/>
    <col min="15936" max="16128" width="9.140625" style="878"/>
    <col min="16129" max="16136" width="12.140625" style="878" bestFit="1" customWidth="1"/>
    <col min="16137" max="16160" width="14.42578125" style="878" bestFit="1" customWidth="1"/>
    <col min="16161" max="16191" width="13" style="878" customWidth="1"/>
    <col min="16192" max="16384" width="9.140625" style="878"/>
  </cols>
  <sheetData>
    <row r="1" spans="1:72" ht="24" thickBot="1">
      <c r="A1" s="2997" t="s">
        <v>1749</v>
      </c>
      <c r="B1" s="2998"/>
      <c r="C1" s="2999"/>
      <c r="D1" s="1942"/>
      <c r="E1" s="1942"/>
      <c r="F1" s="1942"/>
      <c r="G1" s="1942"/>
      <c r="H1" s="1942"/>
      <c r="I1" s="1942"/>
      <c r="J1" s="1942"/>
      <c r="K1" s="1942"/>
      <c r="L1" s="1942"/>
      <c r="M1" s="1942"/>
      <c r="N1" s="1942"/>
      <c r="O1" s="1942"/>
      <c r="P1" s="1942"/>
      <c r="Q1" s="1942"/>
      <c r="R1" s="1942"/>
      <c r="S1" s="1942"/>
      <c r="T1" s="1942"/>
      <c r="U1" s="1942"/>
      <c r="V1" s="1942"/>
      <c r="W1" s="1942"/>
      <c r="X1" s="1942"/>
      <c r="Y1" s="1942"/>
      <c r="Z1" s="1942"/>
      <c r="AA1" s="1942"/>
      <c r="AB1" s="1942"/>
      <c r="AC1" s="1942"/>
      <c r="AD1" s="1942"/>
      <c r="AE1" s="1942"/>
      <c r="AF1" s="1942"/>
      <c r="AG1" s="2997" t="s">
        <v>1749</v>
      </c>
      <c r="AH1" s="2998"/>
      <c r="AI1" s="2999"/>
      <c r="AJ1" s="1942"/>
      <c r="AK1" s="1942"/>
      <c r="AL1" s="1942"/>
      <c r="AM1" s="1942"/>
      <c r="AN1" s="1942"/>
      <c r="AO1" s="1942"/>
      <c r="AP1" s="1942"/>
      <c r="AQ1" s="1942"/>
      <c r="AR1" s="1942"/>
      <c r="AS1" s="1942"/>
      <c r="AT1" s="1942"/>
      <c r="AU1" s="1942"/>
      <c r="AV1" s="1942"/>
      <c r="AW1" s="1942"/>
      <c r="AX1" s="1942"/>
      <c r="AY1" s="1942"/>
      <c r="AZ1" s="1942"/>
      <c r="BA1" s="1942"/>
      <c r="BB1" s="1942"/>
      <c r="BC1" s="1942"/>
      <c r="BD1" s="1942"/>
      <c r="BE1" s="1942"/>
      <c r="BF1" s="1942"/>
      <c r="BG1" s="1942"/>
      <c r="BH1" s="1942"/>
      <c r="BI1" s="1942"/>
      <c r="BJ1" s="1942"/>
      <c r="BK1" s="1942"/>
      <c r="BL1" s="1942"/>
      <c r="BM1" s="1942"/>
      <c r="BN1" s="1942"/>
      <c r="BO1" s="1942"/>
      <c r="BP1" s="1942"/>
      <c r="BQ1" s="1942"/>
      <c r="BR1" s="1942"/>
      <c r="BS1" s="1942"/>
      <c r="BT1" s="1942"/>
    </row>
    <row r="2" spans="1:72" s="1912" customFormat="1" ht="18.75" customHeight="1" thickBot="1">
      <c r="A2" s="1914" t="s">
        <v>896</v>
      </c>
      <c r="B2" s="3085">
        <v>1.5</v>
      </c>
      <c r="C2" s="3083">
        <v>1.6</v>
      </c>
      <c r="D2" s="3083">
        <v>1.7</v>
      </c>
      <c r="E2" s="3083">
        <v>1.8</v>
      </c>
      <c r="F2" s="3083">
        <v>1.9</v>
      </c>
      <c r="G2" s="3083">
        <v>2</v>
      </c>
      <c r="H2" s="3083">
        <v>2.1</v>
      </c>
      <c r="I2" s="3083">
        <v>2.2000000000000002</v>
      </c>
      <c r="J2" s="3083">
        <v>2.2999999999999998</v>
      </c>
      <c r="K2" s="3083">
        <v>2.4</v>
      </c>
      <c r="L2" s="3083">
        <v>2.5</v>
      </c>
      <c r="M2" s="3083">
        <v>2.6</v>
      </c>
      <c r="N2" s="3083">
        <v>2.7</v>
      </c>
      <c r="O2" s="3083">
        <v>2.8</v>
      </c>
      <c r="P2" s="3083">
        <v>2.9</v>
      </c>
      <c r="Q2" s="3083">
        <v>3</v>
      </c>
      <c r="R2" s="3083">
        <v>3.1</v>
      </c>
      <c r="S2" s="3083">
        <v>3.2</v>
      </c>
      <c r="T2" s="3083">
        <v>3.3</v>
      </c>
      <c r="U2" s="3083">
        <v>3.4</v>
      </c>
      <c r="V2" s="3083">
        <v>3.5</v>
      </c>
      <c r="W2" s="3083">
        <v>3.6</v>
      </c>
      <c r="X2" s="3083">
        <v>3.7</v>
      </c>
      <c r="Y2" s="3083">
        <v>3.8</v>
      </c>
      <c r="Z2" s="3083">
        <v>3.9</v>
      </c>
      <c r="AA2" s="3083">
        <v>4</v>
      </c>
      <c r="AB2" s="3083">
        <v>4.0999999999999996</v>
      </c>
      <c r="AC2" s="3083">
        <v>4.2</v>
      </c>
      <c r="AD2" s="3083">
        <v>4.3</v>
      </c>
      <c r="AE2" s="3083">
        <v>4.4000000000000004</v>
      </c>
      <c r="AF2" s="3087">
        <v>4.5</v>
      </c>
      <c r="AG2" s="1913" t="s">
        <v>896</v>
      </c>
      <c r="AH2" s="3083">
        <v>6.3</v>
      </c>
      <c r="AI2" s="3083">
        <v>6.8</v>
      </c>
      <c r="AJ2" s="3083">
        <v>7.3</v>
      </c>
      <c r="AK2" s="3083">
        <v>7.6</v>
      </c>
      <c r="AL2" s="3083">
        <v>7.8</v>
      </c>
      <c r="AM2" s="3083">
        <v>8.1</v>
      </c>
      <c r="AN2" s="3083">
        <v>8.6999999999999993</v>
      </c>
      <c r="AO2" s="3083">
        <v>9</v>
      </c>
      <c r="AP2" s="3083">
        <v>9.1999999999999993</v>
      </c>
      <c r="AQ2" s="3083">
        <v>9.3000000000000007</v>
      </c>
      <c r="AR2" s="3083">
        <v>9.4</v>
      </c>
      <c r="AS2" s="3083">
        <v>9.5</v>
      </c>
      <c r="AT2" s="3083">
        <v>9.6</v>
      </c>
      <c r="AU2" s="3083">
        <v>9.6999999999999993</v>
      </c>
      <c r="AV2" s="3083">
        <v>9.8000000000000007</v>
      </c>
      <c r="AW2" s="3083">
        <v>9.9</v>
      </c>
      <c r="AX2" s="3083">
        <v>10.1</v>
      </c>
      <c r="AY2" s="3083">
        <v>10.199999999999999</v>
      </c>
      <c r="AZ2" s="3083">
        <v>10.4</v>
      </c>
      <c r="BA2" s="3083">
        <v>10.6</v>
      </c>
      <c r="BB2" s="3083">
        <v>10.8</v>
      </c>
      <c r="BC2" s="3083">
        <v>11</v>
      </c>
      <c r="BD2" s="3083">
        <v>11.5</v>
      </c>
      <c r="BE2" s="3083">
        <v>12</v>
      </c>
      <c r="BF2" s="3083">
        <v>12.5</v>
      </c>
      <c r="BG2" s="3083">
        <v>13</v>
      </c>
      <c r="BH2" s="3083">
        <v>13.5</v>
      </c>
      <c r="BI2" s="3083">
        <v>14</v>
      </c>
      <c r="BJ2" s="3083">
        <v>14.5</v>
      </c>
      <c r="BK2" s="3083">
        <v>15</v>
      </c>
      <c r="BL2" s="3083">
        <v>16</v>
      </c>
      <c r="BM2" s="3083">
        <v>17</v>
      </c>
      <c r="BN2" s="3083">
        <v>18</v>
      </c>
      <c r="BO2" s="3083">
        <v>19</v>
      </c>
      <c r="BP2" s="3083">
        <v>20</v>
      </c>
      <c r="BQ2" s="3083">
        <v>21</v>
      </c>
      <c r="BR2" s="3083">
        <v>22</v>
      </c>
      <c r="BS2" s="3083">
        <v>23</v>
      </c>
      <c r="BT2" s="3087">
        <v>24</v>
      </c>
    </row>
    <row r="3" spans="1:72" s="1912" customFormat="1" ht="18.75" customHeight="1" thickBot="1">
      <c r="A3" s="1915" t="s">
        <v>1781</v>
      </c>
      <c r="B3" s="3086"/>
      <c r="C3" s="3084"/>
      <c r="D3" s="3084"/>
      <c r="E3" s="3084"/>
      <c r="F3" s="3084"/>
      <c r="G3" s="3084"/>
      <c r="H3" s="3084"/>
      <c r="I3" s="3084"/>
      <c r="J3" s="3084"/>
      <c r="K3" s="3084"/>
      <c r="L3" s="3084"/>
      <c r="M3" s="3084"/>
      <c r="N3" s="3084"/>
      <c r="O3" s="3084"/>
      <c r="P3" s="3084"/>
      <c r="Q3" s="3084"/>
      <c r="R3" s="3084"/>
      <c r="S3" s="3084"/>
      <c r="T3" s="3084"/>
      <c r="U3" s="3084"/>
      <c r="V3" s="3084"/>
      <c r="W3" s="3084"/>
      <c r="X3" s="3084"/>
      <c r="Y3" s="3084"/>
      <c r="Z3" s="3084"/>
      <c r="AA3" s="3084"/>
      <c r="AB3" s="3084"/>
      <c r="AC3" s="3084"/>
      <c r="AD3" s="3084"/>
      <c r="AE3" s="3084"/>
      <c r="AF3" s="3088"/>
      <c r="AG3" s="1932" t="s">
        <v>1781</v>
      </c>
      <c r="AH3" s="3086"/>
      <c r="AI3" s="3084"/>
      <c r="AJ3" s="3084"/>
      <c r="AK3" s="3084"/>
      <c r="AL3" s="3084"/>
      <c r="AM3" s="3084"/>
      <c r="AN3" s="3084"/>
      <c r="AO3" s="3084"/>
      <c r="AP3" s="3084"/>
      <c r="AQ3" s="3084"/>
      <c r="AR3" s="3084"/>
      <c r="AS3" s="3084"/>
      <c r="AT3" s="3084"/>
      <c r="AU3" s="3084"/>
      <c r="AV3" s="3084"/>
      <c r="AW3" s="3084"/>
      <c r="AX3" s="3084"/>
      <c r="AY3" s="3084"/>
      <c r="AZ3" s="3084"/>
      <c r="BA3" s="3084"/>
      <c r="BB3" s="3084"/>
      <c r="BC3" s="3084"/>
      <c r="BD3" s="3084"/>
      <c r="BE3" s="3084"/>
      <c r="BF3" s="3084"/>
      <c r="BG3" s="3084"/>
      <c r="BH3" s="3084"/>
      <c r="BI3" s="3084"/>
      <c r="BJ3" s="3084"/>
      <c r="BK3" s="3084"/>
      <c r="BL3" s="3084"/>
      <c r="BM3" s="3084"/>
      <c r="BN3" s="3084"/>
      <c r="BO3" s="3084"/>
      <c r="BP3" s="3084"/>
      <c r="BQ3" s="3084"/>
      <c r="BR3" s="3084"/>
      <c r="BS3" s="3084"/>
      <c r="BT3" s="3088"/>
    </row>
    <row r="4" spans="1:72" s="870" customFormat="1" ht="33.75" customHeight="1">
      <c r="A4" s="1916">
        <v>0.1</v>
      </c>
      <c r="B4" s="1922">
        <f>B2*$A$4</f>
        <v>0.15000000000000002</v>
      </c>
      <c r="C4" s="1923">
        <f>C2*$A$4</f>
        <v>0.16000000000000003</v>
      </c>
      <c r="D4" s="1924">
        <f t="shared" ref="D4:BK4" si="0">D2*$A$4</f>
        <v>0.17</v>
      </c>
      <c r="E4" s="1923">
        <f t="shared" si="0"/>
        <v>0.18000000000000002</v>
      </c>
      <c r="F4" s="1924">
        <f t="shared" si="0"/>
        <v>0.19</v>
      </c>
      <c r="G4" s="1923">
        <f t="shared" si="0"/>
        <v>0.2</v>
      </c>
      <c r="H4" s="1924">
        <f t="shared" si="0"/>
        <v>0.21000000000000002</v>
      </c>
      <c r="I4" s="1923">
        <f t="shared" si="0"/>
        <v>0.22000000000000003</v>
      </c>
      <c r="J4" s="1924">
        <f t="shared" si="0"/>
        <v>0.22999999999999998</v>
      </c>
      <c r="K4" s="1923">
        <f t="shared" si="0"/>
        <v>0.24</v>
      </c>
      <c r="L4" s="1924">
        <f t="shared" si="0"/>
        <v>0.25</v>
      </c>
      <c r="M4" s="1923">
        <f t="shared" si="0"/>
        <v>0.26</v>
      </c>
      <c r="N4" s="1924">
        <f t="shared" si="0"/>
        <v>0.27</v>
      </c>
      <c r="O4" s="1923">
        <f t="shared" si="0"/>
        <v>0.27999999999999997</v>
      </c>
      <c r="P4" s="1924">
        <f t="shared" si="0"/>
        <v>0.28999999999999998</v>
      </c>
      <c r="Q4" s="1923">
        <f t="shared" si="0"/>
        <v>0.30000000000000004</v>
      </c>
      <c r="R4" s="1924">
        <f t="shared" si="0"/>
        <v>0.31000000000000005</v>
      </c>
      <c r="S4" s="1923">
        <f t="shared" si="0"/>
        <v>0.32000000000000006</v>
      </c>
      <c r="T4" s="1924">
        <f t="shared" si="0"/>
        <v>0.33</v>
      </c>
      <c r="U4" s="1923">
        <f t="shared" si="0"/>
        <v>0.34</v>
      </c>
      <c r="V4" s="1924">
        <f t="shared" si="0"/>
        <v>0.35000000000000003</v>
      </c>
      <c r="W4" s="1923">
        <f t="shared" si="0"/>
        <v>0.36000000000000004</v>
      </c>
      <c r="X4" s="1924">
        <f t="shared" si="0"/>
        <v>0.37000000000000005</v>
      </c>
      <c r="Y4" s="1923">
        <f t="shared" si="0"/>
        <v>0.38</v>
      </c>
      <c r="Z4" s="1924">
        <f t="shared" si="0"/>
        <v>0.39</v>
      </c>
      <c r="AA4" s="1923">
        <f t="shared" si="0"/>
        <v>0.4</v>
      </c>
      <c r="AB4" s="1924">
        <f t="shared" si="0"/>
        <v>0.41</v>
      </c>
      <c r="AC4" s="1923">
        <f t="shared" si="0"/>
        <v>0.42000000000000004</v>
      </c>
      <c r="AD4" s="1924">
        <f t="shared" si="0"/>
        <v>0.43</v>
      </c>
      <c r="AE4" s="1923">
        <f t="shared" si="0"/>
        <v>0.44000000000000006</v>
      </c>
      <c r="AF4" s="1925">
        <f t="shared" si="0"/>
        <v>0.45</v>
      </c>
      <c r="AG4" s="1916">
        <v>0.1</v>
      </c>
      <c r="AH4" s="1933">
        <f t="shared" si="0"/>
        <v>0.63</v>
      </c>
      <c r="AI4" s="1924">
        <f t="shared" si="0"/>
        <v>0.68</v>
      </c>
      <c r="AJ4" s="1923">
        <f t="shared" si="0"/>
        <v>0.73</v>
      </c>
      <c r="AK4" s="1924">
        <f t="shared" si="0"/>
        <v>0.76</v>
      </c>
      <c r="AL4" s="1923">
        <f t="shared" si="0"/>
        <v>0.78</v>
      </c>
      <c r="AM4" s="1924">
        <f t="shared" si="0"/>
        <v>0.81</v>
      </c>
      <c r="AN4" s="1923">
        <f t="shared" si="0"/>
        <v>0.87</v>
      </c>
      <c r="AO4" s="1924">
        <f t="shared" si="0"/>
        <v>0.9</v>
      </c>
      <c r="AP4" s="1923">
        <f t="shared" si="0"/>
        <v>0.91999999999999993</v>
      </c>
      <c r="AQ4" s="1924">
        <f t="shared" si="0"/>
        <v>0.93000000000000016</v>
      </c>
      <c r="AR4" s="1923">
        <f t="shared" si="0"/>
        <v>0.94000000000000006</v>
      </c>
      <c r="AS4" s="1924">
        <f t="shared" si="0"/>
        <v>0.95000000000000007</v>
      </c>
      <c r="AT4" s="1923">
        <f t="shared" si="0"/>
        <v>0.96</v>
      </c>
      <c r="AU4" s="1924">
        <f t="shared" si="0"/>
        <v>0.97</v>
      </c>
      <c r="AV4" s="1923">
        <f t="shared" si="0"/>
        <v>0.98000000000000009</v>
      </c>
      <c r="AW4" s="1924">
        <f t="shared" si="0"/>
        <v>0.9900000000000001</v>
      </c>
      <c r="AX4" s="1923">
        <f t="shared" si="0"/>
        <v>1.01</v>
      </c>
      <c r="AY4" s="1924">
        <f t="shared" si="0"/>
        <v>1.02</v>
      </c>
      <c r="AZ4" s="1923">
        <f t="shared" si="0"/>
        <v>1.04</v>
      </c>
      <c r="BA4" s="1924">
        <f t="shared" si="0"/>
        <v>1.06</v>
      </c>
      <c r="BB4" s="1923">
        <f t="shared" si="0"/>
        <v>1.08</v>
      </c>
      <c r="BC4" s="1924">
        <f t="shared" si="0"/>
        <v>1.1000000000000001</v>
      </c>
      <c r="BD4" s="1923">
        <f t="shared" si="0"/>
        <v>1.1500000000000001</v>
      </c>
      <c r="BE4" s="1924">
        <f t="shared" si="0"/>
        <v>1.2000000000000002</v>
      </c>
      <c r="BF4" s="1923">
        <f t="shared" si="0"/>
        <v>1.25</v>
      </c>
      <c r="BG4" s="1924">
        <f t="shared" si="0"/>
        <v>1.3</v>
      </c>
      <c r="BH4" s="1934">
        <f t="shared" si="0"/>
        <v>1.35</v>
      </c>
      <c r="BI4" s="1924">
        <f t="shared" si="0"/>
        <v>1.4000000000000001</v>
      </c>
      <c r="BJ4" s="1923">
        <f t="shared" si="0"/>
        <v>1.4500000000000002</v>
      </c>
      <c r="BK4" s="1924">
        <f t="shared" si="0"/>
        <v>1.5</v>
      </c>
      <c r="BL4" s="1923">
        <f t="shared" ref="BL4:BT4" si="1">BL2*$A$4</f>
        <v>1.6</v>
      </c>
      <c r="BM4" s="1924">
        <f t="shared" si="1"/>
        <v>1.7000000000000002</v>
      </c>
      <c r="BN4" s="1923">
        <f t="shared" si="1"/>
        <v>1.8</v>
      </c>
      <c r="BO4" s="1924">
        <f t="shared" si="1"/>
        <v>1.9000000000000001</v>
      </c>
      <c r="BP4" s="1923">
        <f t="shared" si="1"/>
        <v>2</v>
      </c>
      <c r="BQ4" s="1924">
        <f t="shared" si="1"/>
        <v>2.1</v>
      </c>
      <c r="BR4" s="1923">
        <f t="shared" si="1"/>
        <v>2.2000000000000002</v>
      </c>
      <c r="BS4" s="1924">
        <f t="shared" si="1"/>
        <v>2.3000000000000003</v>
      </c>
      <c r="BT4" s="1935">
        <f t="shared" si="1"/>
        <v>2.4000000000000004</v>
      </c>
    </row>
    <row r="5" spans="1:72" s="872" customFormat="1" ht="33.75" customHeight="1">
      <c r="A5" s="1917">
        <v>0.2</v>
      </c>
      <c r="B5" s="1926">
        <f>B2*$A$5</f>
        <v>0.30000000000000004</v>
      </c>
      <c r="C5" s="868">
        <f>C2*$A$5</f>
        <v>0.32000000000000006</v>
      </c>
      <c r="D5" s="868">
        <f t="shared" ref="D5:BK5" si="2">D2*$A$5</f>
        <v>0.34</v>
      </c>
      <c r="E5" s="868">
        <f t="shared" si="2"/>
        <v>0.36000000000000004</v>
      </c>
      <c r="F5" s="868">
        <f t="shared" si="2"/>
        <v>0.38</v>
      </c>
      <c r="G5" s="868">
        <f t="shared" si="2"/>
        <v>0.4</v>
      </c>
      <c r="H5" s="868">
        <f t="shared" si="2"/>
        <v>0.42000000000000004</v>
      </c>
      <c r="I5" s="868">
        <f t="shared" si="2"/>
        <v>0.44000000000000006</v>
      </c>
      <c r="J5" s="868">
        <f t="shared" si="2"/>
        <v>0.45999999999999996</v>
      </c>
      <c r="K5" s="868">
        <f t="shared" si="2"/>
        <v>0.48</v>
      </c>
      <c r="L5" s="868">
        <f t="shared" si="2"/>
        <v>0.5</v>
      </c>
      <c r="M5" s="868">
        <f t="shared" si="2"/>
        <v>0.52</v>
      </c>
      <c r="N5" s="868">
        <f t="shared" si="2"/>
        <v>0.54</v>
      </c>
      <c r="O5" s="868">
        <f t="shared" si="2"/>
        <v>0.55999999999999994</v>
      </c>
      <c r="P5" s="868">
        <f t="shared" si="2"/>
        <v>0.57999999999999996</v>
      </c>
      <c r="Q5" s="868">
        <f t="shared" si="2"/>
        <v>0.60000000000000009</v>
      </c>
      <c r="R5" s="868">
        <f t="shared" si="2"/>
        <v>0.62000000000000011</v>
      </c>
      <c r="S5" s="868">
        <f t="shared" si="2"/>
        <v>0.64000000000000012</v>
      </c>
      <c r="T5" s="868">
        <f t="shared" si="2"/>
        <v>0.66</v>
      </c>
      <c r="U5" s="868">
        <f t="shared" si="2"/>
        <v>0.68</v>
      </c>
      <c r="V5" s="868">
        <f t="shared" si="2"/>
        <v>0.70000000000000007</v>
      </c>
      <c r="W5" s="868">
        <f t="shared" si="2"/>
        <v>0.72000000000000008</v>
      </c>
      <c r="X5" s="868">
        <f t="shared" si="2"/>
        <v>0.7400000000000001</v>
      </c>
      <c r="Y5" s="868">
        <f t="shared" si="2"/>
        <v>0.76</v>
      </c>
      <c r="Z5" s="868">
        <f t="shared" si="2"/>
        <v>0.78</v>
      </c>
      <c r="AA5" s="868">
        <f t="shared" si="2"/>
        <v>0.8</v>
      </c>
      <c r="AB5" s="868">
        <f t="shared" si="2"/>
        <v>0.82</v>
      </c>
      <c r="AC5" s="868">
        <f t="shared" si="2"/>
        <v>0.84000000000000008</v>
      </c>
      <c r="AD5" s="868">
        <f t="shared" si="2"/>
        <v>0.86</v>
      </c>
      <c r="AE5" s="868">
        <f t="shared" si="2"/>
        <v>0.88000000000000012</v>
      </c>
      <c r="AF5" s="1927">
        <f t="shared" si="2"/>
        <v>0.9</v>
      </c>
      <c r="AG5" s="1917">
        <v>0.2</v>
      </c>
      <c r="AH5" s="1926">
        <f t="shared" si="2"/>
        <v>1.26</v>
      </c>
      <c r="AI5" s="868">
        <f t="shared" si="2"/>
        <v>1.36</v>
      </c>
      <c r="AJ5" s="868">
        <f t="shared" si="2"/>
        <v>1.46</v>
      </c>
      <c r="AK5" s="868">
        <f t="shared" si="2"/>
        <v>1.52</v>
      </c>
      <c r="AL5" s="868">
        <f t="shared" si="2"/>
        <v>1.56</v>
      </c>
      <c r="AM5" s="868">
        <f t="shared" si="2"/>
        <v>1.62</v>
      </c>
      <c r="AN5" s="868">
        <f t="shared" si="2"/>
        <v>1.74</v>
      </c>
      <c r="AO5" s="868">
        <f t="shared" si="2"/>
        <v>1.8</v>
      </c>
      <c r="AP5" s="868">
        <f t="shared" si="2"/>
        <v>1.8399999999999999</v>
      </c>
      <c r="AQ5" s="868">
        <f t="shared" si="2"/>
        <v>1.8600000000000003</v>
      </c>
      <c r="AR5" s="868">
        <f t="shared" si="2"/>
        <v>1.8800000000000001</v>
      </c>
      <c r="AS5" s="868">
        <f t="shared" si="2"/>
        <v>1.9000000000000001</v>
      </c>
      <c r="AT5" s="868">
        <f t="shared" si="2"/>
        <v>1.92</v>
      </c>
      <c r="AU5" s="868">
        <f t="shared" si="2"/>
        <v>1.94</v>
      </c>
      <c r="AV5" s="868">
        <f t="shared" si="2"/>
        <v>1.9600000000000002</v>
      </c>
      <c r="AW5" s="868">
        <f t="shared" si="2"/>
        <v>1.9800000000000002</v>
      </c>
      <c r="AX5" s="868">
        <f t="shared" si="2"/>
        <v>2.02</v>
      </c>
      <c r="AY5" s="868">
        <f t="shared" si="2"/>
        <v>2.04</v>
      </c>
      <c r="AZ5" s="868">
        <f t="shared" si="2"/>
        <v>2.08</v>
      </c>
      <c r="BA5" s="868">
        <f t="shared" si="2"/>
        <v>2.12</v>
      </c>
      <c r="BB5" s="868">
        <f t="shared" si="2"/>
        <v>2.16</v>
      </c>
      <c r="BC5" s="868">
        <f t="shared" si="2"/>
        <v>2.2000000000000002</v>
      </c>
      <c r="BD5" s="868">
        <f t="shared" si="2"/>
        <v>2.3000000000000003</v>
      </c>
      <c r="BE5" s="868">
        <f t="shared" si="2"/>
        <v>2.4000000000000004</v>
      </c>
      <c r="BF5" s="868">
        <f t="shared" si="2"/>
        <v>2.5</v>
      </c>
      <c r="BG5" s="868">
        <f t="shared" si="2"/>
        <v>2.6</v>
      </c>
      <c r="BH5" s="868">
        <f t="shared" si="2"/>
        <v>2.7</v>
      </c>
      <c r="BI5" s="868">
        <f t="shared" si="2"/>
        <v>2.8000000000000003</v>
      </c>
      <c r="BJ5" s="868">
        <f t="shared" si="2"/>
        <v>2.9000000000000004</v>
      </c>
      <c r="BK5" s="868">
        <f t="shared" si="2"/>
        <v>3</v>
      </c>
      <c r="BL5" s="868">
        <f t="shared" ref="BL5:BT5" si="3">BL2*$A$5</f>
        <v>3.2</v>
      </c>
      <c r="BM5" s="868">
        <f t="shared" si="3"/>
        <v>3.4000000000000004</v>
      </c>
      <c r="BN5" s="868">
        <f t="shared" si="3"/>
        <v>3.6</v>
      </c>
      <c r="BO5" s="868">
        <f t="shared" si="3"/>
        <v>3.8000000000000003</v>
      </c>
      <c r="BP5" s="868">
        <f t="shared" si="3"/>
        <v>4</v>
      </c>
      <c r="BQ5" s="868">
        <f t="shared" si="3"/>
        <v>4.2</v>
      </c>
      <c r="BR5" s="868">
        <f t="shared" si="3"/>
        <v>4.4000000000000004</v>
      </c>
      <c r="BS5" s="868">
        <f t="shared" si="3"/>
        <v>4.6000000000000005</v>
      </c>
      <c r="BT5" s="1927">
        <f t="shared" si="3"/>
        <v>4.8000000000000007</v>
      </c>
    </row>
    <row r="6" spans="1:72" s="870" customFormat="1" ht="33.75" customHeight="1">
      <c r="A6" s="1918">
        <v>0.3</v>
      </c>
      <c r="B6" s="1926">
        <f>B2*$A$6</f>
        <v>0.44999999999999996</v>
      </c>
      <c r="C6" s="869">
        <f t="shared" ref="C6:BK6" si="4">C2*$A$6</f>
        <v>0.48</v>
      </c>
      <c r="D6" s="868">
        <f t="shared" si="4"/>
        <v>0.51</v>
      </c>
      <c r="E6" s="869">
        <f t="shared" si="4"/>
        <v>0.54</v>
      </c>
      <c r="F6" s="868">
        <f t="shared" si="4"/>
        <v>0.56999999999999995</v>
      </c>
      <c r="G6" s="869">
        <f t="shared" si="4"/>
        <v>0.6</v>
      </c>
      <c r="H6" s="868">
        <f t="shared" si="4"/>
        <v>0.63</v>
      </c>
      <c r="I6" s="869">
        <f t="shared" si="4"/>
        <v>0.66</v>
      </c>
      <c r="J6" s="868">
        <f t="shared" si="4"/>
        <v>0.69</v>
      </c>
      <c r="K6" s="869">
        <f t="shared" si="4"/>
        <v>0.72</v>
      </c>
      <c r="L6" s="868">
        <f t="shared" si="4"/>
        <v>0.75</v>
      </c>
      <c r="M6" s="869">
        <f t="shared" si="4"/>
        <v>0.78</v>
      </c>
      <c r="N6" s="868">
        <f t="shared" si="4"/>
        <v>0.81</v>
      </c>
      <c r="O6" s="869">
        <f t="shared" si="4"/>
        <v>0.84</v>
      </c>
      <c r="P6" s="868">
        <f t="shared" si="4"/>
        <v>0.87</v>
      </c>
      <c r="Q6" s="869">
        <f t="shared" si="4"/>
        <v>0.89999999999999991</v>
      </c>
      <c r="R6" s="868">
        <f t="shared" si="4"/>
        <v>0.92999999999999994</v>
      </c>
      <c r="S6" s="869">
        <f t="shared" si="4"/>
        <v>0.96</v>
      </c>
      <c r="T6" s="868">
        <f t="shared" si="4"/>
        <v>0.98999999999999988</v>
      </c>
      <c r="U6" s="869">
        <f t="shared" si="4"/>
        <v>1.02</v>
      </c>
      <c r="V6" s="868">
        <f t="shared" si="4"/>
        <v>1.05</v>
      </c>
      <c r="W6" s="869">
        <f t="shared" si="4"/>
        <v>1.08</v>
      </c>
      <c r="X6" s="868">
        <f t="shared" si="4"/>
        <v>1.1100000000000001</v>
      </c>
      <c r="Y6" s="869">
        <f t="shared" si="4"/>
        <v>1.1399999999999999</v>
      </c>
      <c r="Z6" s="868">
        <f t="shared" si="4"/>
        <v>1.17</v>
      </c>
      <c r="AA6" s="869">
        <f t="shared" si="4"/>
        <v>1.2</v>
      </c>
      <c r="AB6" s="868">
        <f t="shared" si="4"/>
        <v>1.2299999999999998</v>
      </c>
      <c r="AC6" s="869">
        <f t="shared" si="4"/>
        <v>1.26</v>
      </c>
      <c r="AD6" s="868">
        <f t="shared" si="4"/>
        <v>1.2899999999999998</v>
      </c>
      <c r="AE6" s="869">
        <f t="shared" si="4"/>
        <v>1.32</v>
      </c>
      <c r="AF6" s="1927">
        <f t="shared" si="4"/>
        <v>1.3499999999999999</v>
      </c>
      <c r="AG6" s="1918">
        <v>0.3</v>
      </c>
      <c r="AH6" s="1936">
        <f t="shared" si="4"/>
        <v>1.89</v>
      </c>
      <c r="AI6" s="868">
        <f t="shared" si="4"/>
        <v>2.04</v>
      </c>
      <c r="AJ6" s="869">
        <f t="shared" si="4"/>
        <v>2.19</v>
      </c>
      <c r="AK6" s="868">
        <f t="shared" si="4"/>
        <v>2.2799999999999998</v>
      </c>
      <c r="AL6" s="869">
        <f t="shared" si="4"/>
        <v>2.34</v>
      </c>
      <c r="AM6" s="868">
        <f t="shared" si="4"/>
        <v>2.4299999999999997</v>
      </c>
      <c r="AN6" s="869">
        <f t="shared" si="4"/>
        <v>2.61</v>
      </c>
      <c r="AO6" s="868">
        <f t="shared" si="4"/>
        <v>2.6999999999999997</v>
      </c>
      <c r="AP6" s="869">
        <f t="shared" si="4"/>
        <v>2.76</v>
      </c>
      <c r="AQ6" s="868">
        <f t="shared" si="4"/>
        <v>2.79</v>
      </c>
      <c r="AR6" s="869">
        <f t="shared" si="4"/>
        <v>2.82</v>
      </c>
      <c r="AS6" s="868">
        <f t="shared" si="4"/>
        <v>2.85</v>
      </c>
      <c r="AT6" s="869">
        <f t="shared" si="4"/>
        <v>2.88</v>
      </c>
      <c r="AU6" s="868">
        <f t="shared" si="4"/>
        <v>2.9099999999999997</v>
      </c>
      <c r="AV6" s="869">
        <f t="shared" si="4"/>
        <v>2.94</v>
      </c>
      <c r="AW6" s="868">
        <f t="shared" si="4"/>
        <v>2.97</v>
      </c>
      <c r="AX6" s="869">
        <f t="shared" si="4"/>
        <v>3.03</v>
      </c>
      <c r="AY6" s="868">
        <f t="shared" si="4"/>
        <v>3.0599999999999996</v>
      </c>
      <c r="AZ6" s="869">
        <f t="shared" si="4"/>
        <v>3.12</v>
      </c>
      <c r="BA6" s="868">
        <f t="shared" si="4"/>
        <v>3.1799999999999997</v>
      </c>
      <c r="BB6" s="869">
        <f t="shared" si="4"/>
        <v>3.24</v>
      </c>
      <c r="BC6" s="868">
        <f t="shared" si="4"/>
        <v>3.3</v>
      </c>
      <c r="BD6" s="869">
        <f t="shared" si="4"/>
        <v>3.4499999999999997</v>
      </c>
      <c r="BE6" s="868">
        <f t="shared" si="4"/>
        <v>3.5999999999999996</v>
      </c>
      <c r="BF6" s="869">
        <f t="shared" si="4"/>
        <v>3.75</v>
      </c>
      <c r="BG6" s="868">
        <f t="shared" si="4"/>
        <v>3.9</v>
      </c>
      <c r="BH6" s="869">
        <f t="shared" si="4"/>
        <v>4.05</v>
      </c>
      <c r="BI6" s="868">
        <f t="shared" si="4"/>
        <v>4.2</v>
      </c>
      <c r="BJ6" s="869">
        <f t="shared" si="4"/>
        <v>4.3499999999999996</v>
      </c>
      <c r="BK6" s="868">
        <f t="shared" si="4"/>
        <v>4.5</v>
      </c>
      <c r="BL6" s="869">
        <f t="shared" ref="BL6:BT6" si="5">BL2*$A$6</f>
        <v>4.8</v>
      </c>
      <c r="BM6" s="868">
        <f t="shared" si="5"/>
        <v>5.0999999999999996</v>
      </c>
      <c r="BN6" s="869">
        <f t="shared" si="5"/>
        <v>5.3999999999999995</v>
      </c>
      <c r="BO6" s="868">
        <f t="shared" si="5"/>
        <v>5.7</v>
      </c>
      <c r="BP6" s="869">
        <f t="shared" si="5"/>
        <v>6</v>
      </c>
      <c r="BQ6" s="868">
        <f t="shared" si="5"/>
        <v>6.3</v>
      </c>
      <c r="BR6" s="869">
        <f t="shared" si="5"/>
        <v>6.6</v>
      </c>
      <c r="BS6" s="868">
        <f t="shared" si="5"/>
        <v>6.8999999999999995</v>
      </c>
      <c r="BT6" s="1937">
        <f t="shared" si="5"/>
        <v>7.1999999999999993</v>
      </c>
    </row>
    <row r="7" spans="1:72" s="872" customFormat="1" ht="33.75" customHeight="1">
      <c r="A7" s="1917">
        <v>0.4</v>
      </c>
      <c r="B7" s="1926">
        <f>B2*$A$7</f>
        <v>0.60000000000000009</v>
      </c>
      <c r="C7" s="868">
        <f t="shared" ref="C7:BK7" si="6">C2*$A$7</f>
        <v>0.64000000000000012</v>
      </c>
      <c r="D7" s="868">
        <f t="shared" si="6"/>
        <v>0.68</v>
      </c>
      <c r="E7" s="868">
        <f t="shared" si="6"/>
        <v>0.72000000000000008</v>
      </c>
      <c r="F7" s="868">
        <f t="shared" si="6"/>
        <v>0.76</v>
      </c>
      <c r="G7" s="868">
        <f t="shared" si="6"/>
        <v>0.8</v>
      </c>
      <c r="H7" s="868">
        <f t="shared" si="6"/>
        <v>0.84000000000000008</v>
      </c>
      <c r="I7" s="868">
        <f t="shared" si="6"/>
        <v>0.88000000000000012</v>
      </c>
      <c r="J7" s="868">
        <f t="shared" si="6"/>
        <v>0.91999999999999993</v>
      </c>
      <c r="K7" s="868">
        <f t="shared" si="6"/>
        <v>0.96</v>
      </c>
      <c r="L7" s="868">
        <f t="shared" si="6"/>
        <v>1</v>
      </c>
      <c r="M7" s="868">
        <f t="shared" si="6"/>
        <v>1.04</v>
      </c>
      <c r="N7" s="868">
        <f t="shared" si="6"/>
        <v>1.08</v>
      </c>
      <c r="O7" s="868">
        <f t="shared" si="6"/>
        <v>1.1199999999999999</v>
      </c>
      <c r="P7" s="868">
        <f t="shared" si="6"/>
        <v>1.1599999999999999</v>
      </c>
      <c r="Q7" s="868">
        <f t="shared" si="6"/>
        <v>1.2000000000000002</v>
      </c>
      <c r="R7" s="868">
        <f t="shared" si="6"/>
        <v>1.2400000000000002</v>
      </c>
      <c r="S7" s="868">
        <f t="shared" si="6"/>
        <v>1.2800000000000002</v>
      </c>
      <c r="T7" s="868">
        <f t="shared" si="6"/>
        <v>1.32</v>
      </c>
      <c r="U7" s="868">
        <f t="shared" si="6"/>
        <v>1.36</v>
      </c>
      <c r="V7" s="868">
        <f t="shared" si="6"/>
        <v>1.4000000000000001</v>
      </c>
      <c r="W7" s="868">
        <f t="shared" si="6"/>
        <v>1.4400000000000002</v>
      </c>
      <c r="X7" s="868">
        <f t="shared" si="6"/>
        <v>1.4800000000000002</v>
      </c>
      <c r="Y7" s="868">
        <f t="shared" si="6"/>
        <v>1.52</v>
      </c>
      <c r="Z7" s="868">
        <f t="shared" si="6"/>
        <v>1.56</v>
      </c>
      <c r="AA7" s="868">
        <f t="shared" si="6"/>
        <v>1.6</v>
      </c>
      <c r="AB7" s="868">
        <f t="shared" si="6"/>
        <v>1.64</v>
      </c>
      <c r="AC7" s="868">
        <f t="shared" si="6"/>
        <v>1.6800000000000002</v>
      </c>
      <c r="AD7" s="868">
        <f t="shared" si="6"/>
        <v>1.72</v>
      </c>
      <c r="AE7" s="868">
        <f t="shared" si="6"/>
        <v>1.7600000000000002</v>
      </c>
      <c r="AF7" s="1927">
        <f t="shared" si="6"/>
        <v>1.8</v>
      </c>
      <c r="AG7" s="1917">
        <v>0.4</v>
      </c>
      <c r="AH7" s="1926">
        <f t="shared" si="6"/>
        <v>2.52</v>
      </c>
      <c r="AI7" s="868">
        <f t="shared" si="6"/>
        <v>2.72</v>
      </c>
      <c r="AJ7" s="868">
        <f t="shared" si="6"/>
        <v>2.92</v>
      </c>
      <c r="AK7" s="868">
        <f t="shared" si="6"/>
        <v>3.04</v>
      </c>
      <c r="AL7" s="868">
        <f t="shared" si="6"/>
        <v>3.12</v>
      </c>
      <c r="AM7" s="868">
        <f t="shared" si="6"/>
        <v>3.24</v>
      </c>
      <c r="AN7" s="868">
        <f t="shared" si="6"/>
        <v>3.48</v>
      </c>
      <c r="AO7" s="868">
        <f t="shared" si="6"/>
        <v>3.6</v>
      </c>
      <c r="AP7" s="868">
        <f t="shared" si="6"/>
        <v>3.6799999999999997</v>
      </c>
      <c r="AQ7" s="868">
        <f t="shared" si="6"/>
        <v>3.7200000000000006</v>
      </c>
      <c r="AR7" s="868">
        <f t="shared" si="6"/>
        <v>3.7600000000000002</v>
      </c>
      <c r="AS7" s="868">
        <f t="shared" si="6"/>
        <v>3.8000000000000003</v>
      </c>
      <c r="AT7" s="868">
        <f t="shared" si="6"/>
        <v>3.84</v>
      </c>
      <c r="AU7" s="868">
        <f t="shared" si="6"/>
        <v>3.88</v>
      </c>
      <c r="AV7" s="868">
        <f t="shared" si="6"/>
        <v>3.9200000000000004</v>
      </c>
      <c r="AW7" s="868">
        <f t="shared" si="6"/>
        <v>3.9600000000000004</v>
      </c>
      <c r="AX7" s="868">
        <f t="shared" si="6"/>
        <v>4.04</v>
      </c>
      <c r="AY7" s="868">
        <f t="shared" si="6"/>
        <v>4.08</v>
      </c>
      <c r="AZ7" s="868">
        <f t="shared" si="6"/>
        <v>4.16</v>
      </c>
      <c r="BA7" s="868">
        <f t="shared" si="6"/>
        <v>4.24</v>
      </c>
      <c r="BB7" s="868">
        <f t="shared" si="6"/>
        <v>4.32</v>
      </c>
      <c r="BC7" s="868">
        <f t="shared" si="6"/>
        <v>4.4000000000000004</v>
      </c>
      <c r="BD7" s="868">
        <f t="shared" si="6"/>
        <v>4.6000000000000005</v>
      </c>
      <c r="BE7" s="868">
        <f t="shared" si="6"/>
        <v>4.8000000000000007</v>
      </c>
      <c r="BF7" s="868">
        <f t="shared" si="6"/>
        <v>5</v>
      </c>
      <c r="BG7" s="868">
        <f t="shared" si="6"/>
        <v>5.2</v>
      </c>
      <c r="BH7" s="868">
        <f t="shared" si="6"/>
        <v>5.4</v>
      </c>
      <c r="BI7" s="868">
        <f t="shared" si="6"/>
        <v>5.6000000000000005</v>
      </c>
      <c r="BJ7" s="868">
        <f t="shared" si="6"/>
        <v>5.8000000000000007</v>
      </c>
      <c r="BK7" s="868">
        <f t="shared" si="6"/>
        <v>6</v>
      </c>
      <c r="BL7" s="868">
        <f t="shared" ref="BL7:BT7" si="7">BL2*$A$7</f>
        <v>6.4</v>
      </c>
      <c r="BM7" s="868">
        <f t="shared" si="7"/>
        <v>6.8000000000000007</v>
      </c>
      <c r="BN7" s="868">
        <f t="shared" si="7"/>
        <v>7.2</v>
      </c>
      <c r="BO7" s="868">
        <f t="shared" si="7"/>
        <v>7.6000000000000005</v>
      </c>
      <c r="BP7" s="868">
        <f t="shared" si="7"/>
        <v>8</v>
      </c>
      <c r="BQ7" s="868">
        <f t="shared" si="7"/>
        <v>8.4</v>
      </c>
      <c r="BR7" s="868">
        <f t="shared" si="7"/>
        <v>8.8000000000000007</v>
      </c>
      <c r="BS7" s="868">
        <f t="shared" si="7"/>
        <v>9.2000000000000011</v>
      </c>
      <c r="BT7" s="1927">
        <f t="shared" si="7"/>
        <v>9.6000000000000014</v>
      </c>
    </row>
    <row r="8" spans="1:72" s="870" customFormat="1" ht="33.75" customHeight="1">
      <c r="A8" s="1918">
        <v>0.5</v>
      </c>
      <c r="B8" s="1926">
        <f>B2*$A$8</f>
        <v>0.75</v>
      </c>
      <c r="C8" s="869">
        <f t="shared" ref="C8:BK8" si="8">C2*$A$8</f>
        <v>0.8</v>
      </c>
      <c r="D8" s="868">
        <f t="shared" si="8"/>
        <v>0.85</v>
      </c>
      <c r="E8" s="869">
        <f t="shared" si="8"/>
        <v>0.9</v>
      </c>
      <c r="F8" s="868">
        <f t="shared" si="8"/>
        <v>0.95</v>
      </c>
      <c r="G8" s="869">
        <f t="shared" si="8"/>
        <v>1</v>
      </c>
      <c r="H8" s="868">
        <f t="shared" si="8"/>
        <v>1.05</v>
      </c>
      <c r="I8" s="869">
        <f t="shared" si="8"/>
        <v>1.1000000000000001</v>
      </c>
      <c r="J8" s="868">
        <f t="shared" si="8"/>
        <v>1.1499999999999999</v>
      </c>
      <c r="K8" s="869">
        <f t="shared" si="8"/>
        <v>1.2</v>
      </c>
      <c r="L8" s="868">
        <f t="shared" si="8"/>
        <v>1.25</v>
      </c>
      <c r="M8" s="869">
        <f t="shared" si="8"/>
        <v>1.3</v>
      </c>
      <c r="N8" s="868">
        <f t="shared" si="8"/>
        <v>1.35</v>
      </c>
      <c r="O8" s="869">
        <f t="shared" si="8"/>
        <v>1.4</v>
      </c>
      <c r="P8" s="868">
        <f t="shared" si="8"/>
        <v>1.45</v>
      </c>
      <c r="Q8" s="869">
        <f t="shared" si="8"/>
        <v>1.5</v>
      </c>
      <c r="R8" s="868">
        <f t="shared" si="8"/>
        <v>1.55</v>
      </c>
      <c r="S8" s="869">
        <f t="shared" si="8"/>
        <v>1.6</v>
      </c>
      <c r="T8" s="868">
        <f t="shared" si="8"/>
        <v>1.65</v>
      </c>
      <c r="U8" s="869">
        <f t="shared" si="8"/>
        <v>1.7</v>
      </c>
      <c r="V8" s="868">
        <f t="shared" si="8"/>
        <v>1.75</v>
      </c>
      <c r="W8" s="869">
        <f t="shared" si="8"/>
        <v>1.8</v>
      </c>
      <c r="X8" s="868">
        <f t="shared" si="8"/>
        <v>1.85</v>
      </c>
      <c r="Y8" s="869">
        <f t="shared" si="8"/>
        <v>1.9</v>
      </c>
      <c r="Z8" s="868">
        <f t="shared" si="8"/>
        <v>1.95</v>
      </c>
      <c r="AA8" s="869">
        <f t="shared" si="8"/>
        <v>2</v>
      </c>
      <c r="AB8" s="868">
        <f t="shared" si="8"/>
        <v>2.0499999999999998</v>
      </c>
      <c r="AC8" s="869">
        <f t="shared" si="8"/>
        <v>2.1</v>
      </c>
      <c r="AD8" s="868">
        <f t="shared" si="8"/>
        <v>2.15</v>
      </c>
      <c r="AE8" s="869">
        <f t="shared" si="8"/>
        <v>2.2000000000000002</v>
      </c>
      <c r="AF8" s="1927">
        <f t="shared" si="8"/>
        <v>2.25</v>
      </c>
      <c r="AG8" s="1918">
        <v>0.5</v>
      </c>
      <c r="AH8" s="1936">
        <f t="shared" si="8"/>
        <v>3.15</v>
      </c>
      <c r="AI8" s="868">
        <f t="shared" si="8"/>
        <v>3.4</v>
      </c>
      <c r="AJ8" s="869">
        <f t="shared" si="8"/>
        <v>3.65</v>
      </c>
      <c r="AK8" s="868">
        <f t="shared" si="8"/>
        <v>3.8</v>
      </c>
      <c r="AL8" s="869">
        <f t="shared" si="8"/>
        <v>3.9</v>
      </c>
      <c r="AM8" s="868">
        <f t="shared" si="8"/>
        <v>4.05</v>
      </c>
      <c r="AN8" s="869">
        <f t="shared" si="8"/>
        <v>4.3499999999999996</v>
      </c>
      <c r="AO8" s="868">
        <f t="shared" si="8"/>
        <v>4.5</v>
      </c>
      <c r="AP8" s="869">
        <f t="shared" si="8"/>
        <v>4.5999999999999996</v>
      </c>
      <c r="AQ8" s="868">
        <f t="shared" si="8"/>
        <v>4.6500000000000004</v>
      </c>
      <c r="AR8" s="869">
        <f t="shared" si="8"/>
        <v>4.7</v>
      </c>
      <c r="AS8" s="868">
        <f t="shared" si="8"/>
        <v>4.75</v>
      </c>
      <c r="AT8" s="869">
        <f t="shared" si="8"/>
        <v>4.8</v>
      </c>
      <c r="AU8" s="868">
        <f t="shared" si="8"/>
        <v>4.8499999999999996</v>
      </c>
      <c r="AV8" s="869">
        <f t="shared" si="8"/>
        <v>4.9000000000000004</v>
      </c>
      <c r="AW8" s="868">
        <f t="shared" si="8"/>
        <v>4.95</v>
      </c>
      <c r="AX8" s="869">
        <f t="shared" si="8"/>
        <v>5.05</v>
      </c>
      <c r="AY8" s="868">
        <f t="shared" si="8"/>
        <v>5.0999999999999996</v>
      </c>
      <c r="AZ8" s="869">
        <f t="shared" si="8"/>
        <v>5.2</v>
      </c>
      <c r="BA8" s="868">
        <f t="shared" si="8"/>
        <v>5.3</v>
      </c>
      <c r="BB8" s="869">
        <f t="shared" si="8"/>
        <v>5.4</v>
      </c>
      <c r="BC8" s="868">
        <f t="shared" si="8"/>
        <v>5.5</v>
      </c>
      <c r="BD8" s="869">
        <f t="shared" si="8"/>
        <v>5.75</v>
      </c>
      <c r="BE8" s="868">
        <f t="shared" si="8"/>
        <v>6</v>
      </c>
      <c r="BF8" s="869">
        <f t="shared" si="8"/>
        <v>6.25</v>
      </c>
      <c r="BG8" s="868">
        <f t="shared" si="8"/>
        <v>6.5</v>
      </c>
      <c r="BH8" s="869">
        <f t="shared" si="8"/>
        <v>6.75</v>
      </c>
      <c r="BI8" s="868">
        <f t="shared" si="8"/>
        <v>7</v>
      </c>
      <c r="BJ8" s="869">
        <f t="shared" si="8"/>
        <v>7.25</v>
      </c>
      <c r="BK8" s="868">
        <f t="shared" si="8"/>
        <v>7.5</v>
      </c>
      <c r="BL8" s="869">
        <f t="shared" ref="BL8:BT8" si="9">BL2*$A$8</f>
        <v>8</v>
      </c>
      <c r="BM8" s="868">
        <f t="shared" si="9"/>
        <v>8.5</v>
      </c>
      <c r="BN8" s="869">
        <f t="shared" si="9"/>
        <v>9</v>
      </c>
      <c r="BO8" s="868">
        <f t="shared" si="9"/>
        <v>9.5</v>
      </c>
      <c r="BP8" s="869">
        <f t="shared" si="9"/>
        <v>10</v>
      </c>
      <c r="BQ8" s="868">
        <f t="shared" si="9"/>
        <v>10.5</v>
      </c>
      <c r="BR8" s="869">
        <f t="shared" si="9"/>
        <v>11</v>
      </c>
      <c r="BS8" s="868">
        <f t="shared" si="9"/>
        <v>11.5</v>
      </c>
      <c r="BT8" s="1937">
        <f t="shared" si="9"/>
        <v>12</v>
      </c>
    </row>
    <row r="9" spans="1:72" s="872" customFormat="1" ht="33.75" customHeight="1">
      <c r="A9" s="1917">
        <v>0.6</v>
      </c>
      <c r="B9" s="1926">
        <f>B2*$A$9</f>
        <v>0.89999999999999991</v>
      </c>
      <c r="C9" s="868">
        <f t="shared" ref="C9:BK9" si="10">C2*$A$9</f>
        <v>0.96</v>
      </c>
      <c r="D9" s="868">
        <f t="shared" si="10"/>
        <v>1.02</v>
      </c>
      <c r="E9" s="868">
        <f t="shared" si="10"/>
        <v>1.08</v>
      </c>
      <c r="F9" s="868">
        <f t="shared" si="10"/>
        <v>1.1399999999999999</v>
      </c>
      <c r="G9" s="868">
        <f t="shared" si="10"/>
        <v>1.2</v>
      </c>
      <c r="H9" s="868">
        <f t="shared" si="10"/>
        <v>1.26</v>
      </c>
      <c r="I9" s="868">
        <f t="shared" si="10"/>
        <v>1.32</v>
      </c>
      <c r="J9" s="868">
        <f t="shared" si="10"/>
        <v>1.38</v>
      </c>
      <c r="K9" s="868">
        <f t="shared" si="10"/>
        <v>1.44</v>
      </c>
      <c r="L9" s="868">
        <f t="shared" si="10"/>
        <v>1.5</v>
      </c>
      <c r="M9" s="868">
        <f t="shared" si="10"/>
        <v>1.56</v>
      </c>
      <c r="N9" s="868">
        <f t="shared" si="10"/>
        <v>1.62</v>
      </c>
      <c r="O9" s="868">
        <f t="shared" si="10"/>
        <v>1.68</v>
      </c>
      <c r="P9" s="868">
        <f t="shared" si="10"/>
        <v>1.74</v>
      </c>
      <c r="Q9" s="868">
        <f t="shared" si="10"/>
        <v>1.7999999999999998</v>
      </c>
      <c r="R9" s="868">
        <f t="shared" si="10"/>
        <v>1.8599999999999999</v>
      </c>
      <c r="S9" s="868">
        <f t="shared" si="10"/>
        <v>1.92</v>
      </c>
      <c r="T9" s="868">
        <f t="shared" si="10"/>
        <v>1.9799999999999998</v>
      </c>
      <c r="U9" s="868">
        <f t="shared" si="10"/>
        <v>2.04</v>
      </c>
      <c r="V9" s="868">
        <f t="shared" si="10"/>
        <v>2.1</v>
      </c>
      <c r="W9" s="868">
        <f t="shared" si="10"/>
        <v>2.16</v>
      </c>
      <c r="X9" s="868">
        <f t="shared" si="10"/>
        <v>2.2200000000000002</v>
      </c>
      <c r="Y9" s="868">
        <f t="shared" si="10"/>
        <v>2.2799999999999998</v>
      </c>
      <c r="Z9" s="868">
        <f t="shared" si="10"/>
        <v>2.34</v>
      </c>
      <c r="AA9" s="868">
        <f t="shared" si="10"/>
        <v>2.4</v>
      </c>
      <c r="AB9" s="868">
        <f t="shared" si="10"/>
        <v>2.4599999999999995</v>
      </c>
      <c r="AC9" s="868">
        <f t="shared" si="10"/>
        <v>2.52</v>
      </c>
      <c r="AD9" s="868">
        <f t="shared" si="10"/>
        <v>2.5799999999999996</v>
      </c>
      <c r="AE9" s="868">
        <f t="shared" si="10"/>
        <v>2.64</v>
      </c>
      <c r="AF9" s="1927">
        <f t="shared" si="10"/>
        <v>2.6999999999999997</v>
      </c>
      <c r="AG9" s="1917">
        <v>0.6</v>
      </c>
      <c r="AH9" s="1926">
        <f t="shared" si="10"/>
        <v>3.78</v>
      </c>
      <c r="AI9" s="868">
        <f t="shared" si="10"/>
        <v>4.08</v>
      </c>
      <c r="AJ9" s="868">
        <f t="shared" si="10"/>
        <v>4.38</v>
      </c>
      <c r="AK9" s="868">
        <f t="shared" si="10"/>
        <v>4.5599999999999996</v>
      </c>
      <c r="AL9" s="868">
        <f t="shared" si="10"/>
        <v>4.68</v>
      </c>
      <c r="AM9" s="868">
        <f t="shared" si="10"/>
        <v>4.8599999999999994</v>
      </c>
      <c r="AN9" s="868">
        <f t="shared" si="10"/>
        <v>5.22</v>
      </c>
      <c r="AO9" s="868">
        <f t="shared" si="10"/>
        <v>5.3999999999999995</v>
      </c>
      <c r="AP9" s="868">
        <f t="shared" si="10"/>
        <v>5.52</v>
      </c>
      <c r="AQ9" s="868">
        <f t="shared" si="10"/>
        <v>5.58</v>
      </c>
      <c r="AR9" s="868">
        <f t="shared" si="10"/>
        <v>5.64</v>
      </c>
      <c r="AS9" s="868">
        <f t="shared" si="10"/>
        <v>5.7</v>
      </c>
      <c r="AT9" s="868">
        <f t="shared" si="10"/>
        <v>5.76</v>
      </c>
      <c r="AU9" s="868">
        <f t="shared" si="10"/>
        <v>5.8199999999999994</v>
      </c>
      <c r="AV9" s="868">
        <f t="shared" si="10"/>
        <v>5.88</v>
      </c>
      <c r="AW9" s="868">
        <f t="shared" si="10"/>
        <v>5.94</v>
      </c>
      <c r="AX9" s="868">
        <f t="shared" si="10"/>
        <v>6.06</v>
      </c>
      <c r="AY9" s="868">
        <f t="shared" si="10"/>
        <v>6.1199999999999992</v>
      </c>
      <c r="AZ9" s="868">
        <f t="shared" si="10"/>
        <v>6.24</v>
      </c>
      <c r="BA9" s="868">
        <f t="shared" si="10"/>
        <v>6.3599999999999994</v>
      </c>
      <c r="BB9" s="868">
        <f t="shared" si="10"/>
        <v>6.48</v>
      </c>
      <c r="BC9" s="868">
        <f t="shared" si="10"/>
        <v>6.6</v>
      </c>
      <c r="BD9" s="868">
        <f t="shared" si="10"/>
        <v>6.8999999999999995</v>
      </c>
      <c r="BE9" s="868">
        <f t="shared" si="10"/>
        <v>7.1999999999999993</v>
      </c>
      <c r="BF9" s="868">
        <f t="shared" si="10"/>
        <v>7.5</v>
      </c>
      <c r="BG9" s="868">
        <f t="shared" si="10"/>
        <v>7.8</v>
      </c>
      <c r="BH9" s="868">
        <f t="shared" si="10"/>
        <v>8.1</v>
      </c>
      <c r="BI9" s="868">
        <f t="shared" si="10"/>
        <v>8.4</v>
      </c>
      <c r="BJ9" s="868">
        <f t="shared" si="10"/>
        <v>8.6999999999999993</v>
      </c>
      <c r="BK9" s="868">
        <f t="shared" si="10"/>
        <v>9</v>
      </c>
      <c r="BL9" s="868">
        <f t="shared" ref="BL9:BT9" si="11">BL2*$A$9</f>
        <v>9.6</v>
      </c>
      <c r="BM9" s="868">
        <f t="shared" si="11"/>
        <v>10.199999999999999</v>
      </c>
      <c r="BN9" s="868">
        <f t="shared" si="11"/>
        <v>10.799999999999999</v>
      </c>
      <c r="BO9" s="868">
        <f t="shared" si="11"/>
        <v>11.4</v>
      </c>
      <c r="BP9" s="868">
        <f t="shared" si="11"/>
        <v>12</v>
      </c>
      <c r="BQ9" s="868">
        <f t="shared" si="11"/>
        <v>12.6</v>
      </c>
      <c r="BR9" s="868">
        <f t="shared" si="11"/>
        <v>13.2</v>
      </c>
      <c r="BS9" s="868">
        <f t="shared" si="11"/>
        <v>13.799999999999999</v>
      </c>
      <c r="BT9" s="1927">
        <f t="shared" si="11"/>
        <v>14.399999999999999</v>
      </c>
    </row>
    <row r="10" spans="1:72" s="870" customFormat="1" ht="33.75" customHeight="1">
      <c r="A10" s="1918">
        <v>0.7</v>
      </c>
      <c r="B10" s="1926">
        <f>B2*$A$10</f>
        <v>1.0499999999999998</v>
      </c>
      <c r="C10" s="869">
        <f t="shared" ref="C10:BK10" si="12">C2*$A$10</f>
        <v>1.1199999999999999</v>
      </c>
      <c r="D10" s="868">
        <f t="shared" si="12"/>
        <v>1.19</v>
      </c>
      <c r="E10" s="869">
        <f t="shared" si="12"/>
        <v>1.26</v>
      </c>
      <c r="F10" s="868">
        <f t="shared" si="12"/>
        <v>1.3299999999999998</v>
      </c>
      <c r="G10" s="869">
        <f t="shared" si="12"/>
        <v>1.4</v>
      </c>
      <c r="H10" s="868">
        <f t="shared" si="12"/>
        <v>1.47</v>
      </c>
      <c r="I10" s="869">
        <f t="shared" si="12"/>
        <v>1.54</v>
      </c>
      <c r="J10" s="868">
        <f t="shared" si="12"/>
        <v>1.6099999999999999</v>
      </c>
      <c r="K10" s="869">
        <f t="shared" si="12"/>
        <v>1.68</v>
      </c>
      <c r="L10" s="868">
        <f t="shared" si="12"/>
        <v>1.75</v>
      </c>
      <c r="M10" s="869">
        <f t="shared" si="12"/>
        <v>1.8199999999999998</v>
      </c>
      <c r="N10" s="868">
        <f t="shared" si="12"/>
        <v>1.89</v>
      </c>
      <c r="O10" s="869">
        <f t="shared" si="12"/>
        <v>1.9599999999999997</v>
      </c>
      <c r="P10" s="868">
        <f t="shared" si="12"/>
        <v>2.0299999999999998</v>
      </c>
      <c r="Q10" s="869">
        <f t="shared" si="12"/>
        <v>2.0999999999999996</v>
      </c>
      <c r="R10" s="868">
        <f t="shared" si="12"/>
        <v>2.17</v>
      </c>
      <c r="S10" s="869">
        <f t="shared" si="12"/>
        <v>2.2399999999999998</v>
      </c>
      <c r="T10" s="868">
        <f t="shared" si="12"/>
        <v>2.3099999999999996</v>
      </c>
      <c r="U10" s="869">
        <f t="shared" si="12"/>
        <v>2.38</v>
      </c>
      <c r="V10" s="868">
        <f t="shared" si="12"/>
        <v>2.4499999999999997</v>
      </c>
      <c r="W10" s="869">
        <f t="shared" si="12"/>
        <v>2.52</v>
      </c>
      <c r="X10" s="868">
        <f t="shared" si="12"/>
        <v>2.59</v>
      </c>
      <c r="Y10" s="869">
        <f t="shared" si="12"/>
        <v>2.6599999999999997</v>
      </c>
      <c r="Z10" s="868">
        <f t="shared" si="12"/>
        <v>2.73</v>
      </c>
      <c r="AA10" s="869">
        <f t="shared" si="12"/>
        <v>2.8</v>
      </c>
      <c r="AB10" s="868">
        <f t="shared" si="12"/>
        <v>2.8699999999999997</v>
      </c>
      <c r="AC10" s="869">
        <f t="shared" si="12"/>
        <v>2.94</v>
      </c>
      <c r="AD10" s="868">
        <f t="shared" si="12"/>
        <v>3.01</v>
      </c>
      <c r="AE10" s="869">
        <f t="shared" si="12"/>
        <v>3.08</v>
      </c>
      <c r="AF10" s="1927">
        <f t="shared" si="12"/>
        <v>3.15</v>
      </c>
      <c r="AG10" s="1918">
        <v>0.7</v>
      </c>
      <c r="AH10" s="1936">
        <f t="shared" si="12"/>
        <v>4.4099999999999993</v>
      </c>
      <c r="AI10" s="868">
        <f t="shared" si="12"/>
        <v>4.76</v>
      </c>
      <c r="AJ10" s="869">
        <f t="shared" si="12"/>
        <v>5.1099999999999994</v>
      </c>
      <c r="AK10" s="868">
        <f t="shared" si="12"/>
        <v>5.3199999999999994</v>
      </c>
      <c r="AL10" s="869">
        <f t="shared" si="12"/>
        <v>5.46</v>
      </c>
      <c r="AM10" s="868">
        <f t="shared" si="12"/>
        <v>5.669999999999999</v>
      </c>
      <c r="AN10" s="869">
        <f t="shared" si="12"/>
        <v>6.089999999999999</v>
      </c>
      <c r="AO10" s="868">
        <f t="shared" si="12"/>
        <v>6.3</v>
      </c>
      <c r="AP10" s="869">
        <f t="shared" si="12"/>
        <v>6.4399999999999995</v>
      </c>
      <c r="AQ10" s="868">
        <f t="shared" si="12"/>
        <v>6.51</v>
      </c>
      <c r="AR10" s="869">
        <f t="shared" si="12"/>
        <v>6.58</v>
      </c>
      <c r="AS10" s="868">
        <f t="shared" si="12"/>
        <v>6.6499999999999995</v>
      </c>
      <c r="AT10" s="869">
        <f t="shared" si="12"/>
        <v>6.72</v>
      </c>
      <c r="AU10" s="868">
        <f t="shared" si="12"/>
        <v>6.7899999999999991</v>
      </c>
      <c r="AV10" s="869">
        <f t="shared" si="12"/>
        <v>6.86</v>
      </c>
      <c r="AW10" s="868">
        <f t="shared" si="12"/>
        <v>6.93</v>
      </c>
      <c r="AX10" s="869">
        <f t="shared" si="12"/>
        <v>7.0699999999999994</v>
      </c>
      <c r="AY10" s="868">
        <f t="shared" si="12"/>
        <v>7.1399999999999988</v>
      </c>
      <c r="AZ10" s="869">
        <f t="shared" si="12"/>
        <v>7.2799999999999994</v>
      </c>
      <c r="BA10" s="868">
        <f t="shared" si="12"/>
        <v>7.419999999999999</v>
      </c>
      <c r="BB10" s="869">
        <f t="shared" si="12"/>
        <v>7.56</v>
      </c>
      <c r="BC10" s="868">
        <f t="shared" si="12"/>
        <v>7.6999999999999993</v>
      </c>
      <c r="BD10" s="869">
        <f t="shared" si="12"/>
        <v>8.0499999999999989</v>
      </c>
      <c r="BE10" s="868">
        <f t="shared" si="12"/>
        <v>8.3999999999999986</v>
      </c>
      <c r="BF10" s="869">
        <f t="shared" si="12"/>
        <v>8.75</v>
      </c>
      <c r="BG10" s="868">
        <f t="shared" si="12"/>
        <v>9.1</v>
      </c>
      <c r="BH10" s="869">
        <f t="shared" si="12"/>
        <v>9.4499999999999993</v>
      </c>
      <c r="BI10" s="868">
        <f t="shared" si="12"/>
        <v>9.7999999999999989</v>
      </c>
      <c r="BJ10" s="869">
        <f t="shared" si="12"/>
        <v>10.149999999999999</v>
      </c>
      <c r="BK10" s="868">
        <f t="shared" si="12"/>
        <v>10.5</v>
      </c>
      <c r="BL10" s="869">
        <f t="shared" ref="BL10:BT10" si="13">BL2*$A$10</f>
        <v>11.2</v>
      </c>
      <c r="BM10" s="868">
        <f t="shared" si="13"/>
        <v>11.899999999999999</v>
      </c>
      <c r="BN10" s="869">
        <f t="shared" si="13"/>
        <v>12.6</v>
      </c>
      <c r="BO10" s="868">
        <f t="shared" si="13"/>
        <v>13.299999999999999</v>
      </c>
      <c r="BP10" s="869">
        <f t="shared" si="13"/>
        <v>14</v>
      </c>
      <c r="BQ10" s="868">
        <f t="shared" si="13"/>
        <v>14.7</v>
      </c>
      <c r="BR10" s="869">
        <f t="shared" si="13"/>
        <v>15.399999999999999</v>
      </c>
      <c r="BS10" s="868">
        <f t="shared" si="13"/>
        <v>16.099999999999998</v>
      </c>
      <c r="BT10" s="1937">
        <f t="shared" si="13"/>
        <v>16.799999999999997</v>
      </c>
    </row>
    <row r="11" spans="1:72" s="872" customFormat="1" ht="33.75" customHeight="1">
      <c r="A11" s="1917">
        <v>0.8</v>
      </c>
      <c r="B11" s="1926">
        <f>B2*$A$11</f>
        <v>1.2000000000000002</v>
      </c>
      <c r="C11" s="868">
        <f t="shared" ref="C11:BK11" si="14">C2*$A$11</f>
        <v>1.2800000000000002</v>
      </c>
      <c r="D11" s="868">
        <f t="shared" si="14"/>
        <v>1.36</v>
      </c>
      <c r="E11" s="868">
        <f t="shared" si="14"/>
        <v>1.4400000000000002</v>
      </c>
      <c r="F11" s="868">
        <f t="shared" si="14"/>
        <v>1.52</v>
      </c>
      <c r="G11" s="868">
        <f t="shared" si="14"/>
        <v>1.6</v>
      </c>
      <c r="H11" s="868">
        <f t="shared" si="14"/>
        <v>1.6800000000000002</v>
      </c>
      <c r="I11" s="868">
        <f t="shared" si="14"/>
        <v>1.7600000000000002</v>
      </c>
      <c r="J11" s="868">
        <f t="shared" si="14"/>
        <v>1.8399999999999999</v>
      </c>
      <c r="K11" s="868">
        <f t="shared" si="14"/>
        <v>1.92</v>
      </c>
      <c r="L11" s="868">
        <f t="shared" si="14"/>
        <v>2</v>
      </c>
      <c r="M11" s="868">
        <f t="shared" si="14"/>
        <v>2.08</v>
      </c>
      <c r="N11" s="868">
        <f t="shared" si="14"/>
        <v>2.16</v>
      </c>
      <c r="O11" s="868">
        <f t="shared" si="14"/>
        <v>2.2399999999999998</v>
      </c>
      <c r="P11" s="868">
        <f t="shared" si="14"/>
        <v>2.3199999999999998</v>
      </c>
      <c r="Q11" s="868">
        <f t="shared" si="14"/>
        <v>2.4000000000000004</v>
      </c>
      <c r="R11" s="868">
        <f t="shared" si="14"/>
        <v>2.4800000000000004</v>
      </c>
      <c r="S11" s="868">
        <f t="shared" si="14"/>
        <v>2.5600000000000005</v>
      </c>
      <c r="T11" s="868">
        <f t="shared" si="14"/>
        <v>2.64</v>
      </c>
      <c r="U11" s="868">
        <f t="shared" si="14"/>
        <v>2.72</v>
      </c>
      <c r="V11" s="868">
        <f t="shared" si="14"/>
        <v>2.8000000000000003</v>
      </c>
      <c r="W11" s="868">
        <f t="shared" si="14"/>
        <v>2.8800000000000003</v>
      </c>
      <c r="X11" s="868">
        <f t="shared" si="14"/>
        <v>2.9600000000000004</v>
      </c>
      <c r="Y11" s="868">
        <f t="shared" si="14"/>
        <v>3.04</v>
      </c>
      <c r="Z11" s="868">
        <f t="shared" si="14"/>
        <v>3.12</v>
      </c>
      <c r="AA11" s="868">
        <f t="shared" si="14"/>
        <v>3.2</v>
      </c>
      <c r="AB11" s="868">
        <f t="shared" si="14"/>
        <v>3.28</v>
      </c>
      <c r="AC11" s="868">
        <f t="shared" si="14"/>
        <v>3.3600000000000003</v>
      </c>
      <c r="AD11" s="868">
        <f t="shared" si="14"/>
        <v>3.44</v>
      </c>
      <c r="AE11" s="868">
        <f t="shared" si="14"/>
        <v>3.5200000000000005</v>
      </c>
      <c r="AF11" s="1927">
        <f t="shared" si="14"/>
        <v>3.6</v>
      </c>
      <c r="AG11" s="1917">
        <v>0.8</v>
      </c>
      <c r="AH11" s="1926">
        <f t="shared" si="14"/>
        <v>5.04</v>
      </c>
      <c r="AI11" s="868">
        <f t="shared" si="14"/>
        <v>5.44</v>
      </c>
      <c r="AJ11" s="868">
        <f t="shared" si="14"/>
        <v>5.84</v>
      </c>
      <c r="AK11" s="868">
        <f t="shared" si="14"/>
        <v>6.08</v>
      </c>
      <c r="AL11" s="868">
        <f t="shared" si="14"/>
        <v>6.24</v>
      </c>
      <c r="AM11" s="868">
        <f t="shared" si="14"/>
        <v>6.48</v>
      </c>
      <c r="AN11" s="868">
        <f t="shared" si="14"/>
        <v>6.96</v>
      </c>
      <c r="AO11" s="868">
        <f t="shared" si="14"/>
        <v>7.2</v>
      </c>
      <c r="AP11" s="868">
        <f t="shared" si="14"/>
        <v>7.3599999999999994</v>
      </c>
      <c r="AQ11" s="868">
        <f t="shared" si="14"/>
        <v>7.4400000000000013</v>
      </c>
      <c r="AR11" s="868">
        <f t="shared" si="14"/>
        <v>7.5200000000000005</v>
      </c>
      <c r="AS11" s="868">
        <f t="shared" si="14"/>
        <v>7.6000000000000005</v>
      </c>
      <c r="AT11" s="868">
        <f t="shared" si="14"/>
        <v>7.68</v>
      </c>
      <c r="AU11" s="868">
        <f t="shared" si="14"/>
        <v>7.76</v>
      </c>
      <c r="AV11" s="868">
        <f t="shared" si="14"/>
        <v>7.8400000000000007</v>
      </c>
      <c r="AW11" s="868">
        <f t="shared" si="14"/>
        <v>7.9200000000000008</v>
      </c>
      <c r="AX11" s="868">
        <f t="shared" si="14"/>
        <v>8.08</v>
      </c>
      <c r="AY11" s="868">
        <f t="shared" si="14"/>
        <v>8.16</v>
      </c>
      <c r="AZ11" s="868">
        <f t="shared" si="14"/>
        <v>8.32</v>
      </c>
      <c r="BA11" s="868">
        <f t="shared" si="14"/>
        <v>8.48</v>
      </c>
      <c r="BB11" s="868">
        <f t="shared" si="14"/>
        <v>8.64</v>
      </c>
      <c r="BC11" s="868">
        <f t="shared" si="14"/>
        <v>8.8000000000000007</v>
      </c>
      <c r="BD11" s="868">
        <f t="shared" si="14"/>
        <v>9.2000000000000011</v>
      </c>
      <c r="BE11" s="868">
        <f t="shared" si="14"/>
        <v>9.6000000000000014</v>
      </c>
      <c r="BF11" s="868">
        <f t="shared" si="14"/>
        <v>10</v>
      </c>
      <c r="BG11" s="868">
        <f t="shared" si="14"/>
        <v>10.4</v>
      </c>
      <c r="BH11" s="868">
        <f t="shared" si="14"/>
        <v>10.8</v>
      </c>
      <c r="BI11" s="868">
        <f t="shared" si="14"/>
        <v>11.200000000000001</v>
      </c>
      <c r="BJ11" s="868">
        <f t="shared" si="14"/>
        <v>11.600000000000001</v>
      </c>
      <c r="BK11" s="868">
        <f t="shared" si="14"/>
        <v>12</v>
      </c>
      <c r="BL11" s="868">
        <f t="shared" ref="BL11:BT11" si="15">BL2*$A$11</f>
        <v>12.8</v>
      </c>
      <c r="BM11" s="868">
        <f t="shared" si="15"/>
        <v>13.600000000000001</v>
      </c>
      <c r="BN11" s="868">
        <f t="shared" si="15"/>
        <v>14.4</v>
      </c>
      <c r="BO11" s="868">
        <f t="shared" si="15"/>
        <v>15.200000000000001</v>
      </c>
      <c r="BP11" s="868">
        <f t="shared" si="15"/>
        <v>16</v>
      </c>
      <c r="BQ11" s="868">
        <f t="shared" si="15"/>
        <v>16.8</v>
      </c>
      <c r="BR11" s="868">
        <f t="shared" si="15"/>
        <v>17.600000000000001</v>
      </c>
      <c r="BS11" s="868">
        <f t="shared" si="15"/>
        <v>18.400000000000002</v>
      </c>
      <c r="BT11" s="1927">
        <f t="shared" si="15"/>
        <v>19.200000000000003</v>
      </c>
    </row>
    <row r="12" spans="1:72" s="870" customFormat="1" ht="33.75" customHeight="1">
      <c r="A12" s="1918">
        <v>0.9</v>
      </c>
      <c r="B12" s="1926">
        <f>B2*$A$12</f>
        <v>1.35</v>
      </c>
      <c r="C12" s="869">
        <f t="shared" ref="C12:BK12" si="16">C2*$A$12</f>
        <v>1.4400000000000002</v>
      </c>
      <c r="D12" s="868">
        <f t="shared" si="16"/>
        <v>1.53</v>
      </c>
      <c r="E12" s="869">
        <f t="shared" si="16"/>
        <v>1.62</v>
      </c>
      <c r="F12" s="868">
        <f t="shared" si="16"/>
        <v>1.71</v>
      </c>
      <c r="G12" s="869">
        <f t="shared" si="16"/>
        <v>1.8</v>
      </c>
      <c r="H12" s="868">
        <f t="shared" si="16"/>
        <v>1.8900000000000001</v>
      </c>
      <c r="I12" s="869">
        <f t="shared" si="16"/>
        <v>1.9800000000000002</v>
      </c>
      <c r="J12" s="868">
        <f t="shared" si="16"/>
        <v>2.0699999999999998</v>
      </c>
      <c r="K12" s="869">
        <f t="shared" si="16"/>
        <v>2.16</v>
      </c>
      <c r="L12" s="868">
        <f t="shared" si="16"/>
        <v>2.25</v>
      </c>
      <c r="M12" s="869">
        <f t="shared" si="16"/>
        <v>2.3400000000000003</v>
      </c>
      <c r="N12" s="868">
        <f t="shared" si="16"/>
        <v>2.4300000000000002</v>
      </c>
      <c r="O12" s="869">
        <f t="shared" si="16"/>
        <v>2.52</v>
      </c>
      <c r="P12" s="868">
        <f t="shared" si="16"/>
        <v>2.61</v>
      </c>
      <c r="Q12" s="869">
        <f t="shared" si="16"/>
        <v>2.7</v>
      </c>
      <c r="R12" s="868">
        <f t="shared" si="16"/>
        <v>2.79</v>
      </c>
      <c r="S12" s="869">
        <f t="shared" si="16"/>
        <v>2.8800000000000003</v>
      </c>
      <c r="T12" s="868">
        <f t="shared" si="16"/>
        <v>2.9699999999999998</v>
      </c>
      <c r="U12" s="869">
        <f t="shared" si="16"/>
        <v>3.06</v>
      </c>
      <c r="V12" s="868">
        <f t="shared" si="16"/>
        <v>3.15</v>
      </c>
      <c r="W12" s="869">
        <f t="shared" si="16"/>
        <v>3.24</v>
      </c>
      <c r="X12" s="868">
        <f t="shared" si="16"/>
        <v>3.33</v>
      </c>
      <c r="Y12" s="869">
        <f t="shared" si="16"/>
        <v>3.42</v>
      </c>
      <c r="Z12" s="868">
        <f t="shared" si="16"/>
        <v>3.51</v>
      </c>
      <c r="AA12" s="869">
        <f t="shared" si="16"/>
        <v>3.6</v>
      </c>
      <c r="AB12" s="868">
        <f t="shared" si="16"/>
        <v>3.69</v>
      </c>
      <c r="AC12" s="869">
        <f t="shared" si="16"/>
        <v>3.7800000000000002</v>
      </c>
      <c r="AD12" s="868">
        <f t="shared" si="16"/>
        <v>3.87</v>
      </c>
      <c r="AE12" s="869">
        <f t="shared" si="16"/>
        <v>3.9600000000000004</v>
      </c>
      <c r="AF12" s="1927">
        <f t="shared" si="16"/>
        <v>4.05</v>
      </c>
      <c r="AG12" s="1918">
        <v>0.9</v>
      </c>
      <c r="AH12" s="1936">
        <f t="shared" si="16"/>
        <v>5.67</v>
      </c>
      <c r="AI12" s="868">
        <f t="shared" si="16"/>
        <v>6.12</v>
      </c>
      <c r="AJ12" s="869">
        <f t="shared" si="16"/>
        <v>6.57</v>
      </c>
      <c r="AK12" s="868">
        <f t="shared" si="16"/>
        <v>6.84</v>
      </c>
      <c r="AL12" s="869">
        <f t="shared" si="16"/>
        <v>7.02</v>
      </c>
      <c r="AM12" s="868">
        <f t="shared" si="16"/>
        <v>7.29</v>
      </c>
      <c r="AN12" s="869">
        <f t="shared" si="16"/>
        <v>7.8299999999999992</v>
      </c>
      <c r="AO12" s="868">
        <f t="shared" si="16"/>
        <v>8.1</v>
      </c>
      <c r="AP12" s="869">
        <f t="shared" si="16"/>
        <v>8.2799999999999994</v>
      </c>
      <c r="AQ12" s="868">
        <f t="shared" si="16"/>
        <v>8.370000000000001</v>
      </c>
      <c r="AR12" s="869">
        <f t="shared" si="16"/>
        <v>8.4600000000000009</v>
      </c>
      <c r="AS12" s="868">
        <f t="shared" si="16"/>
        <v>8.5500000000000007</v>
      </c>
      <c r="AT12" s="869">
        <f t="shared" si="16"/>
        <v>8.64</v>
      </c>
      <c r="AU12" s="868">
        <f t="shared" si="16"/>
        <v>8.73</v>
      </c>
      <c r="AV12" s="869">
        <f t="shared" si="16"/>
        <v>8.82</v>
      </c>
      <c r="AW12" s="868">
        <f t="shared" si="16"/>
        <v>8.91</v>
      </c>
      <c r="AX12" s="869">
        <f t="shared" si="16"/>
        <v>9.09</v>
      </c>
      <c r="AY12" s="868">
        <f t="shared" si="16"/>
        <v>9.18</v>
      </c>
      <c r="AZ12" s="869">
        <f t="shared" si="16"/>
        <v>9.3600000000000012</v>
      </c>
      <c r="BA12" s="868">
        <f t="shared" si="16"/>
        <v>9.5399999999999991</v>
      </c>
      <c r="BB12" s="869">
        <f t="shared" si="16"/>
        <v>9.7200000000000006</v>
      </c>
      <c r="BC12" s="868">
        <f t="shared" si="16"/>
        <v>9.9</v>
      </c>
      <c r="BD12" s="869">
        <f t="shared" si="16"/>
        <v>10.35</v>
      </c>
      <c r="BE12" s="868">
        <f t="shared" si="16"/>
        <v>10.8</v>
      </c>
      <c r="BF12" s="869">
        <f t="shared" si="16"/>
        <v>11.25</v>
      </c>
      <c r="BG12" s="868">
        <f t="shared" si="16"/>
        <v>11.700000000000001</v>
      </c>
      <c r="BH12" s="869">
        <f t="shared" si="16"/>
        <v>12.15</v>
      </c>
      <c r="BI12" s="868">
        <f t="shared" si="16"/>
        <v>12.6</v>
      </c>
      <c r="BJ12" s="869">
        <f t="shared" si="16"/>
        <v>13.05</v>
      </c>
      <c r="BK12" s="868">
        <f t="shared" si="16"/>
        <v>13.5</v>
      </c>
      <c r="BL12" s="869">
        <f t="shared" ref="BL12:BT12" si="17">BL2*$A$12</f>
        <v>14.4</v>
      </c>
      <c r="BM12" s="868">
        <f t="shared" si="17"/>
        <v>15.3</v>
      </c>
      <c r="BN12" s="869">
        <f t="shared" si="17"/>
        <v>16.2</v>
      </c>
      <c r="BO12" s="868">
        <f t="shared" si="17"/>
        <v>17.100000000000001</v>
      </c>
      <c r="BP12" s="869">
        <f t="shared" si="17"/>
        <v>18</v>
      </c>
      <c r="BQ12" s="868">
        <f t="shared" si="17"/>
        <v>18.900000000000002</v>
      </c>
      <c r="BR12" s="869">
        <f t="shared" si="17"/>
        <v>19.8</v>
      </c>
      <c r="BS12" s="868">
        <f t="shared" si="17"/>
        <v>20.7</v>
      </c>
      <c r="BT12" s="1937">
        <f t="shared" si="17"/>
        <v>21.6</v>
      </c>
    </row>
    <row r="13" spans="1:72" s="872" customFormat="1" ht="33.75" customHeight="1">
      <c r="A13" s="1917">
        <v>1</v>
      </c>
      <c r="B13" s="1926">
        <f>B2*$A$13</f>
        <v>1.5</v>
      </c>
      <c r="C13" s="868">
        <f t="shared" ref="C13:BK13" si="18">C2*$A$13</f>
        <v>1.6</v>
      </c>
      <c r="D13" s="868">
        <f t="shared" si="18"/>
        <v>1.7</v>
      </c>
      <c r="E13" s="868">
        <f t="shared" si="18"/>
        <v>1.8</v>
      </c>
      <c r="F13" s="868">
        <f t="shared" si="18"/>
        <v>1.9</v>
      </c>
      <c r="G13" s="868">
        <f t="shared" si="18"/>
        <v>2</v>
      </c>
      <c r="H13" s="868">
        <f t="shared" si="18"/>
        <v>2.1</v>
      </c>
      <c r="I13" s="868">
        <f t="shared" si="18"/>
        <v>2.2000000000000002</v>
      </c>
      <c r="J13" s="868">
        <f t="shared" si="18"/>
        <v>2.2999999999999998</v>
      </c>
      <c r="K13" s="868">
        <f t="shared" si="18"/>
        <v>2.4</v>
      </c>
      <c r="L13" s="868">
        <f t="shared" si="18"/>
        <v>2.5</v>
      </c>
      <c r="M13" s="868">
        <f t="shared" si="18"/>
        <v>2.6</v>
      </c>
      <c r="N13" s="868">
        <f t="shared" si="18"/>
        <v>2.7</v>
      </c>
      <c r="O13" s="868">
        <f t="shared" si="18"/>
        <v>2.8</v>
      </c>
      <c r="P13" s="868">
        <f t="shared" si="18"/>
        <v>2.9</v>
      </c>
      <c r="Q13" s="868">
        <f t="shared" si="18"/>
        <v>3</v>
      </c>
      <c r="R13" s="868">
        <f t="shared" si="18"/>
        <v>3.1</v>
      </c>
      <c r="S13" s="868">
        <f t="shared" si="18"/>
        <v>3.2</v>
      </c>
      <c r="T13" s="868">
        <f t="shared" si="18"/>
        <v>3.3</v>
      </c>
      <c r="U13" s="868">
        <f t="shared" si="18"/>
        <v>3.4</v>
      </c>
      <c r="V13" s="868">
        <f t="shared" si="18"/>
        <v>3.5</v>
      </c>
      <c r="W13" s="868">
        <f t="shared" si="18"/>
        <v>3.6</v>
      </c>
      <c r="X13" s="868">
        <f t="shared" si="18"/>
        <v>3.7</v>
      </c>
      <c r="Y13" s="868">
        <f t="shared" si="18"/>
        <v>3.8</v>
      </c>
      <c r="Z13" s="868">
        <f t="shared" si="18"/>
        <v>3.9</v>
      </c>
      <c r="AA13" s="868">
        <f t="shared" si="18"/>
        <v>4</v>
      </c>
      <c r="AB13" s="868">
        <f t="shared" si="18"/>
        <v>4.0999999999999996</v>
      </c>
      <c r="AC13" s="868">
        <f t="shared" si="18"/>
        <v>4.2</v>
      </c>
      <c r="AD13" s="868">
        <f t="shared" si="18"/>
        <v>4.3</v>
      </c>
      <c r="AE13" s="868">
        <f t="shared" si="18"/>
        <v>4.4000000000000004</v>
      </c>
      <c r="AF13" s="1927">
        <f t="shared" si="18"/>
        <v>4.5</v>
      </c>
      <c r="AG13" s="1917">
        <v>1</v>
      </c>
      <c r="AH13" s="1926">
        <f t="shared" si="18"/>
        <v>6.3</v>
      </c>
      <c r="AI13" s="868">
        <f t="shared" si="18"/>
        <v>6.8</v>
      </c>
      <c r="AJ13" s="868">
        <f t="shared" si="18"/>
        <v>7.3</v>
      </c>
      <c r="AK13" s="868">
        <f t="shared" si="18"/>
        <v>7.6</v>
      </c>
      <c r="AL13" s="868">
        <f t="shared" si="18"/>
        <v>7.8</v>
      </c>
      <c r="AM13" s="868">
        <f t="shared" si="18"/>
        <v>8.1</v>
      </c>
      <c r="AN13" s="868">
        <f t="shared" si="18"/>
        <v>8.6999999999999993</v>
      </c>
      <c r="AO13" s="868">
        <f t="shared" si="18"/>
        <v>9</v>
      </c>
      <c r="AP13" s="868">
        <f t="shared" si="18"/>
        <v>9.1999999999999993</v>
      </c>
      <c r="AQ13" s="868">
        <f t="shared" si="18"/>
        <v>9.3000000000000007</v>
      </c>
      <c r="AR13" s="868">
        <f t="shared" si="18"/>
        <v>9.4</v>
      </c>
      <c r="AS13" s="868">
        <f t="shared" si="18"/>
        <v>9.5</v>
      </c>
      <c r="AT13" s="868">
        <f t="shared" si="18"/>
        <v>9.6</v>
      </c>
      <c r="AU13" s="868">
        <f t="shared" si="18"/>
        <v>9.6999999999999993</v>
      </c>
      <c r="AV13" s="868">
        <f t="shared" si="18"/>
        <v>9.8000000000000007</v>
      </c>
      <c r="AW13" s="868">
        <f t="shared" si="18"/>
        <v>9.9</v>
      </c>
      <c r="AX13" s="868">
        <f t="shared" si="18"/>
        <v>10.1</v>
      </c>
      <c r="AY13" s="868">
        <f t="shared" si="18"/>
        <v>10.199999999999999</v>
      </c>
      <c r="AZ13" s="868">
        <f t="shared" si="18"/>
        <v>10.4</v>
      </c>
      <c r="BA13" s="868">
        <f t="shared" si="18"/>
        <v>10.6</v>
      </c>
      <c r="BB13" s="868">
        <f t="shared" si="18"/>
        <v>10.8</v>
      </c>
      <c r="BC13" s="868">
        <f t="shared" si="18"/>
        <v>11</v>
      </c>
      <c r="BD13" s="868">
        <f t="shared" si="18"/>
        <v>11.5</v>
      </c>
      <c r="BE13" s="868">
        <f t="shared" si="18"/>
        <v>12</v>
      </c>
      <c r="BF13" s="868">
        <f t="shared" si="18"/>
        <v>12.5</v>
      </c>
      <c r="BG13" s="868">
        <f t="shared" si="18"/>
        <v>13</v>
      </c>
      <c r="BH13" s="868">
        <f t="shared" si="18"/>
        <v>13.5</v>
      </c>
      <c r="BI13" s="868">
        <f t="shared" si="18"/>
        <v>14</v>
      </c>
      <c r="BJ13" s="868">
        <f t="shared" si="18"/>
        <v>14.5</v>
      </c>
      <c r="BK13" s="868">
        <f t="shared" si="18"/>
        <v>15</v>
      </c>
      <c r="BL13" s="868">
        <f t="shared" ref="BL13:BT13" si="19">BL2*$A$13</f>
        <v>16</v>
      </c>
      <c r="BM13" s="868">
        <f t="shared" si="19"/>
        <v>17</v>
      </c>
      <c r="BN13" s="868">
        <f t="shared" si="19"/>
        <v>18</v>
      </c>
      <c r="BO13" s="868">
        <f t="shared" si="19"/>
        <v>19</v>
      </c>
      <c r="BP13" s="868">
        <f t="shared" si="19"/>
        <v>20</v>
      </c>
      <c r="BQ13" s="868">
        <f t="shared" si="19"/>
        <v>21</v>
      </c>
      <c r="BR13" s="868">
        <f t="shared" si="19"/>
        <v>22</v>
      </c>
      <c r="BS13" s="868">
        <f t="shared" si="19"/>
        <v>23</v>
      </c>
      <c r="BT13" s="1927">
        <f t="shared" si="19"/>
        <v>24</v>
      </c>
    </row>
    <row r="14" spans="1:72" s="870" customFormat="1" ht="33.75" customHeight="1">
      <c r="A14" s="1918">
        <v>1.1000000000000001</v>
      </c>
      <c r="B14" s="1926">
        <f>B2*$A$14</f>
        <v>1.6500000000000001</v>
      </c>
      <c r="C14" s="869">
        <f t="shared" ref="C14:BK14" si="20">C2*$A$14</f>
        <v>1.7600000000000002</v>
      </c>
      <c r="D14" s="868">
        <f t="shared" si="20"/>
        <v>1.87</v>
      </c>
      <c r="E14" s="869">
        <f t="shared" si="20"/>
        <v>1.9800000000000002</v>
      </c>
      <c r="F14" s="868">
        <f t="shared" si="20"/>
        <v>2.09</v>
      </c>
      <c r="G14" s="869">
        <f t="shared" si="20"/>
        <v>2.2000000000000002</v>
      </c>
      <c r="H14" s="868">
        <f t="shared" si="20"/>
        <v>2.3100000000000005</v>
      </c>
      <c r="I14" s="869">
        <f t="shared" si="20"/>
        <v>2.4200000000000004</v>
      </c>
      <c r="J14" s="868">
        <f t="shared" si="20"/>
        <v>2.5299999999999998</v>
      </c>
      <c r="K14" s="869">
        <f t="shared" si="20"/>
        <v>2.64</v>
      </c>
      <c r="L14" s="868">
        <f t="shared" si="20"/>
        <v>2.75</v>
      </c>
      <c r="M14" s="869">
        <f t="shared" si="20"/>
        <v>2.8600000000000003</v>
      </c>
      <c r="N14" s="868">
        <f t="shared" si="20"/>
        <v>2.9700000000000006</v>
      </c>
      <c r="O14" s="869">
        <f t="shared" si="20"/>
        <v>3.08</v>
      </c>
      <c r="P14" s="868">
        <f t="shared" si="20"/>
        <v>3.19</v>
      </c>
      <c r="Q14" s="869">
        <f t="shared" si="20"/>
        <v>3.3000000000000003</v>
      </c>
      <c r="R14" s="868">
        <f t="shared" si="20"/>
        <v>3.4100000000000006</v>
      </c>
      <c r="S14" s="869">
        <f t="shared" si="20"/>
        <v>3.5200000000000005</v>
      </c>
      <c r="T14" s="868">
        <f t="shared" si="20"/>
        <v>3.63</v>
      </c>
      <c r="U14" s="869">
        <f t="shared" si="20"/>
        <v>3.74</v>
      </c>
      <c r="V14" s="868">
        <f t="shared" si="20"/>
        <v>3.8500000000000005</v>
      </c>
      <c r="W14" s="869">
        <f t="shared" si="20"/>
        <v>3.9600000000000004</v>
      </c>
      <c r="X14" s="868">
        <f t="shared" si="20"/>
        <v>4.07</v>
      </c>
      <c r="Y14" s="869">
        <f t="shared" si="20"/>
        <v>4.18</v>
      </c>
      <c r="Z14" s="868">
        <f t="shared" si="20"/>
        <v>4.29</v>
      </c>
      <c r="AA14" s="869">
        <f t="shared" si="20"/>
        <v>4.4000000000000004</v>
      </c>
      <c r="AB14" s="868">
        <f t="shared" si="20"/>
        <v>4.51</v>
      </c>
      <c r="AC14" s="869">
        <f t="shared" si="20"/>
        <v>4.620000000000001</v>
      </c>
      <c r="AD14" s="868">
        <f t="shared" si="20"/>
        <v>4.7300000000000004</v>
      </c>
      <c r="AE14" s="869">
        <f t="shared" si="20"/>
        <v>4.8400000000000007</v>
      </c>
      <c r="AF14" s="1927">
        <f t="shared" si="20"/>
        <v>4.95</v>
      </c>
      <c r="AG14" s="1918">
        <v>1.1000000000000001</v>
      </c>
      <c r="AH14" s="1936">
        <f t="shared" si="20"/>
        <v>6.9300000000000006</v>
      </c>
      <c r="AI14" s="868">
        <f t="shared" si="20"/>
        <v>7.48</v>
      </c>
      <c r="AJ14" s="869">
        <f t="shared" si="20"/>
        <v>8.0300000000000011</v>
      </c>
      <c r="AK14" s="868">
        <f t="shared" si="20"/>
        <v>8.36</v>
      </c>
      <c r="AL14" s="869">
        <f t="shared" si="20"/>
        <v>8.58</v>
      </c>
      <c r="AM14" s="868">
        <f t="shared" si="20"/>
        <v>8.91</v>
      </c>
      <c r="AN14" s="869">
        <f t="shared" si="20"/>
        <v>9.57</v>
      </c>
      <c r="AO14" s="868">
        <f t="shared" si="20"/>
        <v>9.9</v>
      </c>
      <c r="AP14" s="869">
        <f t="shared" si="20"/>
        <v>10.119999999999999</v>
      </c>
      <c r="AQ14" s="868">
        <f t="shared" si="20"/>
        <v>10.230000000000002</v>
      </c>
      <c r="AR14" s="869">
        <f t="shared" si="20"/>
        <v>10.340000000000002</v>
      </c>
      <c r="AS14" s="868">
        <f t="shared" si="20"/>
        <v>10.450000000000001</v>
      </c>
      <c r="AT14" s="869">
        <f t="shared" si="20"/>
        <v>10.56</v>
      </c>
      <c r="AU14" s="868">
        <f t="shared" si="20"/>
        <v>10.67</v>
      </c>
      <c r="AV14" s="869">
        <f t="shared" si="20"/>
        <v>10.780000000000001</v>
      </c>
      <c r="AW14" s="868">
        <f t="shared" si="20"/>
        <v>10.89</v>
      </c>
      <c r="AX14" s="869">
        <f t="shared" si="20"/>
        <v>11.110000000000001</v>
      </c>
      <c r="AY14" s="868">
        <f t="shared" si="20"/>
        <v>11.22</v>
      </c>
      <c r="AZ14" s="869">
        <f t="shared" si="20"/>
        <v>11.440000000000001</v>
      </c>
      <c r="BA14" s="868">
        <f t="shared" si="20"/>
        <v>11.66</v>
      </c>
      <c r="BB14" s="869">
        <f t="shared" si="20"/>
        <v>11.880000000000003</v>
      </c>
      <c r="BC14" s="868">
        <f t="shared" si="20"/>
        <v>12.100000000000001</v>
      </c>
      <c r="BD14" s="869">
        <f t="shared" si="20"/>
        <v>12.65</v>
      </c>
      <c r="BE14" s="868">
        <f t="shared" si="20"/>
        <v>13.200000000000001</v>
      </c>
      <c r="BF14" s="869">
        <f t="shared" si="20"/>
        <v>13.750000000000002</v>
      </c>
      <c r="BG14" s="868">
        <f t="shared" si="20"/>
        <v>14.3</v>
      </c>
      <c r="BH14" s="869">
        <f t="shared" si="20"/>
        <v>14.850000000000001</v>
      </c>
      <c r="BI14" s="868">
        <f t="shared" si="20"/>
        <v>15.400000000000002</v>
      </c>
      <c r="BJ14" s="869">
        <f t="shared" si="20"/>
        <v>15.950000000000001</v>
      </c>
      <c r="BK14" s="868">
        <f t="shared" si="20"/>
        <v>16.5</v>
      </c>
      <c r="BL14" s="869">
        <f t="shared" ref="BL14:BT14" si="21">BL2*$A$14</f>
        <v>17.600000000000001</v>
      </c>
      <c r="BM14" s="868">
        <f t="shared" si="21"/>
        <v>18.700000000000003</v>
      </c>
      <c r="BN14" s="869">
        <f t="shared" si="21"/>
        <v>19.8</v>
      </c>
      <c r="BO14" s="868">
        <f t="shared" si="21"/>
        <v>20.900000000000002</v>
      </c>
      <c r="BP14" s="869">
        <f t="shared" si="21"/>
        <v>22</v>
      </c>
      <c r="BQ14" s="868">
        <f t="shared" si="21"/>
        <v>23.1</v>
      </c>
      <c r="BR14" s="869">
        <f t="shared" si="21"/>
        <v>24.200000000000003</v>
      </c>
      <c r="BS14" s="868">
        <f t="shared" si="21"/>
        <v>25.3</v>
      </c>
      <c r="BT14" s="1937">
        <f t="shared" si="21"/>
        <v>26.400000000000002</v>
      </c>
    </row>
    <row r="15" spans="1:72" s="872" customFormat="1" ht="33.75" customHeight="1">
      <c r="A15" s="1917">
        <v>1.2</v>
      </c>
      <c r="B15" s="1926">
        <f>B2*$A$15</f>
        <v>1.7999999999999998</v>
      </c>
      <c r="C15" s="868">
        <f t="shared" ref="C15:BK15" si="22">C2*$A$15</f>
        <v>1.92</v>
      </c>
      <c r="D15" s="868">
        <f t="shared" si="22"/>
        <v>2.04</v>
      </c>
      <c r="E15" s="868">
        <f t="shared" si="22"/>
        <v>2.16</v>
      </c>
      <c r="F15" s="868">
        <f t="shared" si="22"/>
        <v>2.2799999999999998</v>
      </c>
      <c r="G15" s="868">
        <f t="shared" si="22"/>
        <v>2.4</v>
      </c>
      <c r="H15" s="868">
        <f t="shared" si="22"/>
        <v>2.52</v>
      </c>
      <c r="I15" s="868">
        <f t="shared" si="22"/>
        <v>2.64</v>
      </c>
      <c r="J15" s="868">
        <f t="shared" si="22"/>
        <v>2.76</v>
      </c>
      <c r="K15" s="868">
        <f t="shared" si="22"/>
        <v>2.88</v>
      </c>
      <c r="L15" s="868">
        <f t="shared" si="22"/>
        <v>3</v>
      </c>
      <c r="M15" s="868">
        <f t="shared" si="22"/>
        <v>3.12</v>
      </c>
      <c r="N15" s="868">
        <f t="shared" si="22"/>
        <v>3.24</v>
      </c>
      <c r="O15" s="868">
        <f t="shared" si="22"/>
        <v>3.36</v>
      </c>
      <c r="P15" s="868">
        <f t="shared" si="22"/>
        <v>3.48</v>
      </c>
      <c r="Q15" s="868">
        <f t="shared" si="22"/>
        <v>3.5999999999999996</v>
      </c>
      <c r="R15" s="868">
        <f t="shared" si="22"/>
        <v>3.7199999999999998</v>
      </c>
      <c r="S15" s="868">
        <f t="shared" si="22"/>
        <v>3.84</v>
      </c>
      <c r="T15" s="868">
        <f t="shared" si="22"/>
        <v>3.9599999999999995</v>
      </c>
      <c r="U15" s="868">
        <f t="shared" si="22"/>
        <v>4.08</v>
      </c>
      <c r="V15" s="868">
        <f t="shared" si="22"/>
        <v>4.2</v>
      </c>
      <c r="W15" s="868">
        <f t="shared" si="22"/>
        <v>4.32</v>
      </c>
      <c r="X15" s="868">
        <f t="shared" si="22"/>
        <v>4.4400000000000004</v>
      </c>
      <c r="Y15" s="868">
        <f t="shared" si="22"/>
        <v>4.5599999999999996</v>
      </c>
      <c r="Z15" s="868">
        <f t="shared" si="22"/>
        <v>4.68</v>
      </c>
      <c r="AA15" s="868">
        <f t="shared" si="22"/>
        <v>4.8</v>
      </c>
      <c r="AB15" s="868">
        <f t="shared" si="22"/>
        <v>4.919999999999999</v>
      </c>
      <c r="AC15" s="868">
        <f t="shared" si="22"/>
        <v>5.04</v>
      </c>
      <c r="AD15" s="868">
        <f t="shared" si="22"/>
        <v>5.1599999999999993</v>
      </c>
      <c r="AE15" s="868">
        <f t="shared" si="22"/>
        <v>5.28</v>
      </c>
      <c r="AF15" s="1927">
        <f t="shared" si="22"/>
        <v>5.3999999999999995</v>
      </c>
      <c r="AG15" s="1917">
        <v>1.2</v>
      </c>
      <c r="AH15" s="1926">
        <f t="shared" si="22"/>
        <v>7.56</v>
      </c>
      <c r="AI15" s="868">
        <f t="shared" si="22"/>
        <v>8.16</v>
      </c>
      <c r="AJ15" s="868">
        <f t="shared" si="22"/>
        <v>8.76</v>
      </c>
      <c r="AK15" s="868">
        <f t="shared" si="22"/>
        <v>9.1199999999999992</v>
      </c>
      <c r="AL15" s="868">
        <f t="shared" si="22"/>
        <v>9.36</v>
      </c>
      <c r="AM15" s="868">
        <f t="shared" si="22"/>
        <v>9.7199999999999989</v>
      </c>
      <c r="AN15" s="868">
        <f t="shared" si="22"/>
        <v>10.44</v>
      </c>
      <c r="AO15" s="868">
        <f t="shared" si="22"/>
        <v>10.799999999999999</v>
      </c>
      <c r="AP15" s="868">
        <f t="shared" si="22"/>
        <v>11.04</v>
      </c>
      <c r="AQ15" s="868">
        <f t="shared" si="22"/>
        <v>11.16</v>
      </c>
      <c r="AR15" s="868">
        <f t="shared" si="22"/>
        <v>11.28</v>
      </c>
      <c r="AS15" s="868">
        <f t="shared" si="22"/>
        <v>11.4</v>
      </c>
      <c r="AT15" s="868">
        <f t="shared" si="22"/>
        <v>11.52</v>
      </c>
      <c r="AU15" s="868">
        <f t="shared" si="22"/>
        <v>11.639999999999999</v>
      </c>
      <c r="AV15" s="868">
        <f t="shared" si="22"/>
        <v>11.76</v>
      </c>
      <c r="AW15" s="868">
        <f t="shared" si="22"/>
        <v>11.88</v>
      </c>
      <c r="AX15" s="868">
        <f t="shared" si="22"/>
        <v>12.12</v>
      </c>
      <c r="AY15" s="868">
        <f t="shared" si="22"/>
        <v>12.239999999999998</v>
      </c>
      <c r="AZ15" s="868">
        <f t="shared" si="22"/>
        <v>12.48</v>
      </c>
      <c r="BA15" s="868">
        <f t="shared" si="22"/>
        <v>12.719999999999999</v>
      </c>
      <c r="BB15" s="868">
        <f t="shared" si="22"/>
        <v>12.96</v>
      </c>
      <c r="BC15" s="868">
        <f t="shared" si="22"/>
        <v>13.2</v>
      </c>
      <c r="BD15" s="868">
        <f t="shared" si="22"/>
        <v>13.799999999999999</v>
      </c>
      <c r="BE15" s="868">
        <f t="shared" si="22"/>
        <v>14.399999999999999</v>
      </c>
      <c r="BF15" s="868">
        <f t="shared" si="22"/>
        <v>15</v>
      </c>
      <c r="BG15" s="868">
        <f t="shared" si="22"/>
        <v>15.6</v>
      </c>
      <c r="BH15" s="868">
        <f t="shared" si="22"/>
        <v>16.2</v>
      </c>
      <c r="BI15" s="868">
        <f t="shared" si="22"/>
        <v>16.8</v>
      </c>
      <c r="BJ15" s="868">
        <f t="shared" si="22"/>
        <v>17.399999999999999</v>
      </c>
      <c r="BK15" s="868">
        <f t="shared" si="22"/>
        <v>18</v>
      </c>
      <c r="BL15" s="868">
        <f t="shared" ref="BL15:BT15" si="23">BL2*$A$15</f>
        <v>19.2</v>
      </c>
      <c r="BM15" s="868">
        <f t="shared" si="23"/>
        <v>20.399999999999999</v>
      </c>
      <c r="BN15" s="868">
        <f t="shared" si="23"/>
        <v>21.599999999999998</v>
      </c>
      <c r="BO15" s="868">
        <f t="shared" si="23"/>
        <v>22.8</v>
      </c>
      <c r="BP15" s="868">
        <f t="shared" si="23"/>
        <v>24</v>
      </c>
      <c r="BQ15" s="868">
        <f t="shared" si="23"/>
        <v>25.2</v>
      </c>
      <c r="BR15" s="868">
        <f t="shared" si="23"/>
        <v>26.4</v>
      </c>
      <c r="BS15" s="868">
        <f t="shared" si="23"/>
        <v>27.599999999999998</v>
      </c>
      <c r="BT15" s="1927">
        <f t="shared" si="23"/>
        <v>28.799999999999997</v>
      </c>
    </row>
    <row r="16" spans="1:72" s="870" customFormat="1" ht="33.75" customHeight="1">
      <c r="A16" s="1918">
        <v>1.3</v>
      </c>
      <c r="B16" s="1926">
        <f>B2*$A$16</f>
        <v>1.9500000000000002</v>
      </c>
      <c r="C16" s="869">
        <f t="shared" ref="C16:BK16" si="24">C2*$A$16</f>
        <v>2.08</v>
      </c>
      <c r="D16" s="868">
        <f t="shared" si="24"/>
        <v>2.21</v>
      </c>
      <c r="E16" s="869">
        <f t="shared" si="24"/>
        <v>2.3400000000000003</v>
      </c>
      <c r="F16" s="868">
        <f t="shared" si="24"/>
        <v>2.4699999999999998</v>
      </c>
      <c r="G16" s="869">
        <f t="shared" si="24"/>
        <v>2.6</v>
      </c>
      <c r="H16" s="868">
        <f t="shared" si="24"/>
        <v>2.7300000000000004</v>
      </c>
      <c r="I16" s="869">
        <f t="shared" si="24"/>
        <v>2.8600000000000003</v>
      </c>
      <c r="J16" s="868">
        <f t="shared" si="24"/>
        <v>2.9899999999999998</v>
      </c>
      <c r="K16" s="869">
        <f t="shared" si="24"/>
        <v>3.12</v>
      </c>
      <c r="L16" s="868">
        <f t="shared" si="24"/>
        <v>3.25</v>
      </c>
      <c r="M16" s="869">
        <f t="shared" si="24"/>
        <v>3.3800000000000003</v>
      </c>
      <c r="N16" s="868">
        <f t="shared" si="24"/>
        <v>3.5100000000000002</v>
      </c>
      <c r="O16" s="869">
        <f t="shared" si="24"/>
        <v>3.6399999999999997</v>
      </c>
      <c r="P16" s="868">
        <f t="shared" si="24"/>
        <v>3.77</v>
      </c>
      <c r="Q16" s="869">
        <f t="shared" si="24"/>
        <v>3.9000000000000004</v>
      </c>
      <c r="R16" s="868">
        <f t="shared" si="24"/>
        <v>4.03</v>
      </c>
      <c r="S16" s="869">
        <f t="shared" si="24"/>
        <v>4.16</v>
      </c>
      <c r="T16" s="868">
        <f t="shared" si="24"/>
        <v>4.29</v>
      </c>
      <c r="U16" s="869">
        <f t="shared" si="24"/>
        <v>4.42</v>
      </c>
      <c r="V16" s="868">
        <f t="shared" si="24"/>
        <v>4.55</v>
      </c>
      <c r="W16" s="869">
        <f t="shared" si="24"/>
        <v>4.6800000000000006</v>
      </c>
      <c r="X16" s="868">
        <f t="shared" si="24"/>
        <v>4.8100000000000005</v>
      </c>
      <c r="Y16" s="869">
        <f t="shared" si="24"/>
        <v>4.9399999999999995</v>
      </c>
      <c r="Z16" s="868">
        <f t="shared" si="24"/>
        <v>5.07</v>
      </c>
      <c r="AA16" s="869">
        <f t="shared" si="24"/>
        <v>5.2</v>
      </c>
      <c r="AB16" s="868">
        <f t="shared" si="24"/>
        <v>5.33</v>
      </c>
      <c r="AC16" s="869">
        <f t="shared" si="24"/>
        <v>5.4600000000000009</v>
      </c>
      <c r="AD16" s="868">
        <f t="shared" si="24"/>
        <v>5.59</v>
      </c>
      <c r="AE16" s="869">
        <f t="shared" si="24"/>
        <v>5.7200000000000006</v>
      </c>
      <c r="AF16" s="1927">
        <f t="shared" si="24"/>
        <v>5.8500000000000005</v>
      </c>
      <c r="AG16" s="1918">
        <v>1.3</v>
      </c>
      <c r="AH16" s="1936">
        <f t="shared" si="24"/>
        <v>8.19</v>
      </c>
      <c r="AI16" s="868">
        <f t="shared" si="24"/>
        <v>8.84</v>
      </c>
      <c r="AJ16" s="869">
        <f t="shared" si="24"/>
        <v>9.49</v>
      </c>
      <c r="AK16" s="868">
        <f t="shared" si="24"/>
        <v>9.879999999999999</v>
      </c>
      <c r="AL16" s="869">
        <f t="shared" si="24"/>
        <v>10.14</v>
      </c>
      <c r="AM16" s="868">
        <f t="shared" si="24"/>
        <v>10.53</v>
      </c>
      <c r="AN16" s="869">
        <f t="shared" si="24"/>
        <v>11.309999999999999</v>
      </c>
      <c r="AO16" s="868">
        <f t="shared" si="24"/>
        <v>11.700000000000001</v>
      </c>
      <c r="AP16" s="869">
        <f t="shared" si="24"/>
        <v>11.959999999999999</v>
      </c>
      <c r="AQ16" s="868">
        <f t="shared" si="24"/>
        <v>12.090000000000002</v>
      </c>
      <c r="AR16" s="869">
        <f t="shared" si="24"/>
        <v>12.22</v>
      </c>
      <c r="AS16" s="868">
        <f t="shared" si="24"/>
        <v>12.35</v>
      </c>
      <c r="AT16" s="869">
        <f t="shared" si="24"/>
        <v>12.48</v>
      </c>
      <c r="AU16" s="868">
        <f t="shared" si="24"/>
        <v>12.61</v>
      </c>
      <c r="AV16" s="869">
        <f t="shared" si="24"/>
        <v>12.740000000000002</v>
      </c>
      <c r="AW16" s="868">
        <f t="shared" si="24"/>
        <v>12.870000000000001</v>
      </c>
      <c r="AX16" s="869">
        <f t="shared" si="24"/>
        <v>13.13</v>
      </c>
      <c r="AY16" s="868">
        <f t="shared" si="24"/>
        <v>13.26</v>
      </c>
      <c r="AZ16" s="869">
        <f t="shared" si="24"/>
        <v>13.520000000000001</v>
      </c>
      <c r="BA16" s="868">
        <f t="shared" si="24"/>
        <v>13.78</v>
      </c>
      <c r="BB16" s="869">
        <f t="shared" si="24"/>
        <v>14.040000000000001</v>
      </c>
      <c r="BC16" s="868">
        <f t="shared" si="24"/>
        <v>14.3</v>
      </c>
      <c r="BD16" s="869">
        <f t="shared" si="24"/>
        <v>14.950000000000001</v>
      </c>
      <c r="BE16" s="868">
        <f t="shared" si="24"/>
        <v>15.600000000000001</v>
      </c>
      <c r="BF16" s="869">
        <f>BF2*$A$16</f>
        <v>16.25</v>
      </c>
      <c r="BG16" s="868">
        <f t="shared" si="24"/>
        <v>16.900000000000002</v>
      </c>
      <c r="BH16" s="869">
        <f t="shared" si="24"/>
        <v>17.55</v>
      </c>
      <c r="BI16" s="868">
        <f t="shared" si="24"/>
        <v>18.2</v>
      </c>
      <c r="BJ16" s="869">
        <f t="shared" si="24"/>
        <v>18.850000000000001</v>
      </c>
      <c r="BK16" s="868">
        <f t="shared" si="24"/>
        <v>19.5</v>
      </c>
      <c r="BL16" s="869">
        <f t="shared" ref="BL16:BT16" si="25">BL2*$A$16</f>
        <v>20.8</v>
      </c>
      <c r="BM16" s="868">
        <f t="shared" si="25"/>
        <v>22.1</v>
      </c>
      <c r="BN16" s="869">
        <f t="shared" si="25"/>
        <v>23.400000000000002</v>
      </c>
      <c r="BO16" s="868">
        <f t="shared" si="25"/>
        <v>24.7</v>
      </c>
      <c r="BP16" s="869">
        <f t="shared" si="25"/>
        <v>26</v>
      </c>
      <c r="BQ16" s="868">
        <f t="shared" si="25"/>
        <v>27.3</v>
      </c>
      <c r="BR16" s="869">
        <f t="shared" si="25"/>
        <v>28.6</v>
      </c>
      <c r="BS16" s="868">
        <f t="shared" si="25"/>
        <v>29.900000000000002</v>
      </c>
      <c r="BT16" s="1937">
        <f t="shared" si="25"/>
        <v>31.200000000000003</v>
      </c>
    </row>
    <row r="17" spans="1:72" s="872" customFormat="1" ht="33.75" customHeight="1">
      <c r="A17" s="1917">
        <v>1.4</v>
      </c>
      <c r="B17" s="1926">
        <f>B2*$A$17</f>
        <v>2.0999999999999996</v>
      </c>
      <c r="C17" s="868">
        <f t="shared" ref="C17:BK17" si="26">C2*$A$17</f>
        <v>2.2399999999999998</v>
      </c>
      <c r="D17" s="868">
        <f t="shared" si="26"/>
        <v>2.38</v>
      </c>
      <c r="E17" s="868">
        <f t="shared" si="26"/>
        <v>2.52</v>
      </c>
      <c r="F17" s="868">
        <f t="shared" si="26"/>
        <v>2.6599999999999997</v>
      </c>
      <c r="G17" s="868">
        <f t="shared" si="26"/>
        <v>2.8</v>
      </c>
      <c r="H17" s="868">
        <f t="shared" si="26"/>
        <v>2.94</v>
      </c>
      <c r="I17" s="868">
        <f t="shared" si="26"/>
        <v>3.08</v>
      </c>
      <c r="J17" s="868">
        <f t="shared" si="26"/>
        <v>3.2199999999999998</v>
      </c>
      <c r="K17" s="868">
        <f t="shared" si="26"/>
        <v>3.36</v>
      </c>
      <c r="L17" s="868">
        <f t="shared" si="26"/>
        <v>3.5</v>
      </c>
      <c r="M17" s="868">
        <f t="shared" si="26"/>
        <v>3.6399999999999997</v>
      </c>
      <c r="N17" s="868">
        <f t="shared" si="26"/>
        <v>3.78</v>
      </c>
      <c r="O17" s="868">
        <f t="shared" si="26"/>
        <v>3.9199999999999995</v>
      </c>
      <c r="P17" s="868">
        <f t="shared" si="26"/>
        <v>4.0599999999999996</v>
      </c>
      <c r="Q17" s="868">
        <f t="shared" si="26"/>
        <v>4.1999999999999993</v>
      </c>
      <c r="R17" s="868">
        <f t="shared" si="26"/>
        <v>4.34</v>
      </c>
      <c r="S17" s="868">
        <f t="shared" si="26"/>
        <v>4.4799999999999995</v>
      </c>
      <c r="T17" s="868">
        <f t="shared" si="26"/>
        <v>4.6199999999999992</v>
      </c>
      <c r="U17" s="868">
        <f t="shared" si="26"/>
        <v>4.76</v>
      </c>
      <c r="V17" s="868">
        <f>V2*$A$17</f>
        <v>4.8999999999999995</v>
      </c>
      <c r="W17" s="868">
        <f t="shared" si="26"/>
        <v>5.04</v>
      </c>
      <c r="X17" s="868">
        <f t="shared" si="26"/>
        <v>5.18</v>
      </c>
      <c r="Y17" s="868">
        <f t="shared" si="26"/>
        <v>5.3199999999999994</v>
      </c>
      <c r="Z17" s="868">
        <f t="shared" si="26"/>
        <v>5.46</v>
      </c>
      <c r="AA17" s="868">
        <f t="shared" si="26"/>
        <v>5.6</v>
      </c>
      <c r="AB17" s="868">
        <f t="shared" si="26"/>
        <v>5.7399999999999993</v>
      </c>
      <c r="AC17" s="868">
        <f t="shared" si="26"/>
        <v>5.88</v>
      </c>
      <c r="AD17" s="868">
        <f t="shared" si="26"/>
        <v>6.02</v>
      </c>
      <c r="AE17" s="868">
        <f t="shared" si="26"/>
        <v>6.16</v>
      </c>
      <c r="AF17" s="1927">
        <f t="shared" si="26"/>
        <v>6.3</v>
      </c>
      <c r="AG17" s="1917">
        <v>1.4</v>
      </c>
      <c r="AH17" s="1926">
        <f t="shared" si="26"/>
        <v>8.8199999999999985</v>
      </c>
      <c r="AI17" s="868">
        <f t="shared" si="26"/>
        <v>9.52</v>
      </c>
      <c r="AJ17" s="868">
        <f t="shared" si="26"/>
        <v>10.219999999999999</v>
      </c>
      <c r="AK17" s="868">
        <f t="shared" si="26"/>
        <v>10.639999999999999</v>
      </c>
      <c r="AL17" s="868">
        <f t="shared" si="26"/>
        <v>10.92</v>
      </c>
      <c r="AM17" s="868">
        <f t="shared" si="26"/>
        <v>11.339999999999998</v>
      </c>
      <c r="AN17" s="868">
        <f t="shared" si="26"/>
        <v>12.179999999999998</v>
      </c>
      <c r="AO17" s="868">
        <f t="shared" si="26"/>
        <v>12.6</v>
      </c>
      <c r="AP17" s="868">
        <f t="shared" si="26"/>
        <v>12.879999999999999</v>
      </c>
      <c r="AQ17" s="868">
        <f t="shared" si="26"/>
        <v>13.02</v>
      </c>
      <c r="AR17" s="868">
        <f t="shared" si="26"/>
        <v>13.16</v>
      </c>
      <c r="AS17" s="868">
        <f t="shared" si="26"/>
        <v>13.299999999999999</v>
      </c>
      <c r="AT17" s="868">
        <f t="shared" si="26"/>
        <v>13.44</v>
      </c>
      <c r="AU17" s="868">
        <f t="shared" si="26"/>
        <v>13.579999999999998</v>
      </c>
      <c r="AV17" s="868">
        <f t="shared" si="26"/>
        <v>13.72</v>
      </c>
      <c r="AW17" s="868">
        <f t="shared" si="26"/>
        <v>13.86</v>
      </c>
      <c r="AX17" s="868">
        <f t="shared" si="26"/>
        <v>14.139999999999999</v>
      </c>
      <c r="AY17" s="868">
        <f t="shared" si="26"/>
        <v>14.279999999999998</v>
      </c>
      <c r="AZ17" s="868">
        <f t="shared" si="26"/>
        <v>14.559999999999999</v>
      </c>
      <c r="BA17" s="868">
        <f t="shared" si="26"/>
        <v>14.839999999999998</v>
      </c>
      <c r="BB17" s="868">
        <f t="shared" si="26"/>
        <v>15.12</v>
      </c>
      <c r="BC17" s="868">
        <f t="shared" si="26"/>
        <v>15.399999999999999</v>
      </c>
      <c r="BD17" s="868">
        <f t="shared" si="26"/>
        <v>16.099999999999998</v>
      </c>
      <c r="BE17" s="868">
        <f t="shared" si="26"/>
        <v>16.799999999999997</v>
      </c>
      <c r="BF17" s="868">
        <f t="shared" si="26"/>
        <v>17.5</v>
      </c>
      <c r="BG17" s="868">
        <f t="shared" si="26"/>
        <v>18.2</v>
      </c>
      <c r="BH17" s="868">
        <f t="shared" si="26"/>
        <v>18.899999999999999</v>
      </c>
      <c r="BI17" s="868">
        <f t="shared" si="26"/>
        <v>19.599999999999998</v>
      </c>
      <c r="BJ17" s="868">
        <f t="shared" si="26"/>
        <v>20.299999999999997</v>
      </c>
      <c r="BK17" s="868">
        <f t="shared" si="26"/>
        <v>21</v>
      </c>
      <c r="BL17" s="868">
        <f t="shared" ref="BL17:BT17" si="27">BL2*$A$17</f>
        <v>22.4</v>
      </c>
      <c r="BM17" s="868">
        <f t="shared" si="27"/>
        <v>23.799999999999997</v>
      </c>
      <c r="BN17" s="868">
        <f t="shared" si="27"/>
        <v>25.2</v>
      </c>
      <c r="BO17" s="868">
        <f t="shared" si="27"/>
        <v>26.599999999999998</v>
      </c>
      <c r="BP17" s="868">
        <f t="shared" si="27"/>
        <v>28</v>
      </c>
      <c r="BQ17" s="868">
        <f t="shared" si="27"/>
        <v>29.4</v>
      </c>
      <c r="BR17" s="868">
        <f t="shared" si="27"/>
        <v>30.799999999999997</v>
      </c>
      <c r="BS17" s="868">
        <f t="shared" si="27"/>
        <v>32.199999999999996</v>
      </c>
      <c r="BT17" s="1927">
        <f t="shared" si="27"/>
        <v>33.599999999999994</v>
      </c>
    </row>
    <row r="18" spans="1:72" s="870" customFormat="1" ht="33.75" customHeight="1">
      <c r="A18" s="1918">
        <v>1.5</v>
      </c>
      <c r="B18" s="1926">
        <f>B2*$A$18</f>
        <v>2.25</v>
      </c>
      <c r="C18" s="869">
        <f t="shared" ref="C18:BK18" si="28">C2*$A$18</f>
        <v>2.4000000000000004</v>
      </c>
      <c r="D18" s="868">
        <f t="shared" si="28"/>
        <v>2.5499999999999998</v>
      </c>
      <c r="E18" s="869">
        <f t="shared" si="28"/>
        <v>2.7</v>
      </c>
      <c r="F18" s="868">
        <f t="shared" si="28"/>
        <v>2.8499999999999996</v>
      </c>
      <c r="G18" s="869">
        <f t="shared" si="28"/>
        <v>3</v>
      </c>
      <c r="H18" s="868">
        <f t="shared" si="28"/>
        <v>3.1500000000000004</v>
      </c>
      <c r="I18" s="869">
        <f t="shared" si="28"/>
        <v>3.3000000000000003</v>
      </c>
      <c r="J18" s="868">
        <f t="shared" si="28"/>
        <v>3.4499999999999997</v>
      </c>
      <c r="K18" s="869">
        <f t="shared" si="28"/>
        <v>3.5999999999999996</v>
      </c>
      <c r="L18" s="868">
        <f t="shared" si="28"/>
        <v>3.75</v>
      </c>
      <c r="M18" s="869">
        <f t="shared" si="28"/>
        <v>3.9000000000000004</v>
      </c>
      <c r="N18" s="868">
        <f t="shared" si="28"/>
        <v>4.0500000000000007</v>
      </c>
      <c r="O18" s="869">
        <f t="shared" si="28"/>
        <v>4.1999999999999993</v>
      </c>
      <c r="P18" s="868">
        <f t="shared" si="28"/>
        <v>4.3499999999999996</v>
      </c>
      <c r="Q18" s="869">
        <f t="shared" si="28"/>
        <v>4.5</v>
      </c>
      <c r="R18" s="868">
        <f t="shared" si="28"/>
        <v>4.6500000000000004</v>
      </c>
      <c r="S18" s="869">
        <f t="shared" si="28"/>
        <v>4.8000000000000007</v>
      </c>
      <c r="T18" s="868">
        <f t="shared" si="28"/>
        <v>4.9499999999999993</v>
      </c>
      <c r="U18" s="869">
        <f t="shared" si="28"/>
        <v>5.0999999999999996</v>
      </c>
      <c r="V18" s="868">
        <f t="shared" si="28"/>
        <v>5.25</v>
      </c>
      <c r="W18" s="869">
        <f t="shared" si="28"/>
        <v>5.4</v>
      </c>
      <c r="X18" s="868">
        <f t="shared" si="28"/>
        <v>5.5500000000000007</v>
      </c>
      <c r="Y18" s="869">
        <f t="shared" si="28"/>
        <v>5.6999999999999993</v>
      </c>
      <c r="Z18" s="868">
        <f t="shared" si="28"/>
        <v>5.85</v>
      </c>
      <c r="AA18" s="869">
        <f t="shared" si="28"/>
        <v>6</v>
      </c>
      <c r="AB18" s="868">
        <f t="shared" si="28"/>
        <v>6.1499999999999995</v>
      </c>
      <c r="AC18" s="869">
        <f t="shared" si="28"/>
        <v>6.3000000000000007</v>
      </c>
      <c r="AD18" s="868">
        <f t="shared" si="28"/>
        <v>6.4499999999999993</v>
      </c>
      <c r="AE18" s="869">
        <f t="shared" si="28"/>
        <v>6.6000000000000005</v>
      </c>
      <c r="AF18" s="1927">
        <f t="shared" si="28"/>
        <v>6.75</v>
      </c>
      <c r="AG18" s="1918">
        <v>1.5</v>
      </c>
      <c r="AH18" s="1936">
        <f t="shared" si="28"/>
        <v>9.4499999999999993</v>
      </c>
      <c r="AI18" s="868">
        <f t="shared" si="28"/>
        <v>10.199999999999999</v>
      </c>
      <c r="AJ18" s="869">
        <f t="shared" si="28"/>
        <v>10.95</v>
      </c>
      <c r="AK18" s="868">
        <f t="shared" si="28"/>
        <v>11.399999999999999</v>
      </c>
      <c r="AL18" s="869">
        <f t="shared" si="28"/>
        <v>11.7</v>
      </c>
      <c r="AM18" s="868">
        <f t="shared" si="28"/>
        <v>12.149999999999999</v>
      </c>
      <c r="AN18" s="869">
        <f t="shared" si="28"/>
        <v>13.049999999999999</v>
      </c>
      <c r="AO18" s="868">
        <f t="shared" si="28"/>
        <v>13.5</v>
      </c>
      <c r="AP18" s="869">
        <f t="shared" si="28"/>
        <v>13.799999999999999</v>
      </c>
      <c r="AQ18" s="868">
        <f t="shared" si="28"/>
        <v>13.950000000000001</v>
      </c>
      <c r="AR18" s="869">
        <f t="shared" si="28"/>
        <v>14.100000000000001</v>
      </c>
      <c r="AS18" s="868">
        <f t="shared" si="28"/>
        <v>14.25</v>
      </c>
      <c r="AT18" s="869">
        <f t="shared" si="28"/>
        <v>14.399999999999999</v>
      </c>
      <c r="AU18" s="868">
        <f t="shared" si="28"/>
        <v>14.549999999999999</v>
      </c>
      <c r="AV18" s="869">
        <f t="shared" si="28"/>
        <v>14.700000000000001</v>
      </c>
      <c r="AW18" s="868">
        <f t="shared" si="28"/>
        <v>14.850000000000001</v>
      </c>
      <c r="AX18" s="869">
        <f t="shared" si="28"/>
        <v>15.149999999999999</v>
      </c>
      <c r="AY18" s="868">
        <f t="shared" si="28"/>
        <v>15.299999999999999</v>
      </c>
      <c r="AZ18" s="869">
        <f t="shared" si="28"/>
        <v>15.600000000000001</v>
      </c>
      <c r="BA18" s="868">
        <f t="shared" si="28"/>
        <v>15.899999999999999</v>
      </c>
      <c r="BB18" s="869">
        <f t="shared" si="28"/>
        <v>16.200000000000003</v>
      </c>
      <c r="BC18" s="868">
        <f t="shared" si="28"/>
        <v>16.5</v>
      </c>
      <c r="BD18" s="869">
        <f t="shared" si="28"/>
        <v>17.25</v>
      </c>
      <c r="BE18" s="868">
        <f t="shared" si="28"/>
        <v>18</v>
      </c>
      <c r="BF18" s="869">
        <f t="shared" si="28"/>
        <v>18.75</v>
      </c>
      <c r="BG18" s="868">
        <f t="shared" si="28"/>
        <v>19.5</v>
      </c>
      <c r="BH18" s="869">
        <f t="shared" si="28"/>
        <v>20.25</v>
      </c>
      <c r="BI18" s="868">
        <f t="shared" si="28"/>
        <v>21</v>
      </c>
      <c r="BJ18" s="869">
        <f t="shared" si="28"/>
        <v>21.75</v>
      </c>
      <c r="BK18" s="868">
        <f t="shared" si="28"/>
        <v>22.5</v>
      </c>
      <c r="BL18" s="869">
        <f t="shared" ref="BL18:BT18" si="29">BL2*$A$18</f>
        <v>24</v>
      </c>
      <c r="BM18" s="868">
        <f t="shared" si="29"/>
        <v>25.5</v>
      </c>
      <c r="BN18" s="869">
        <f t="shared" si="29"/>
        <v>27</v>
      </c>
      <c r="BO18" s="868">
        <f t="shared" si="29"/>
        <v>28.5</v>
      </c>
      <c r="BP18" s="869">
        <f t="shared" si="29"/>
        <v>30</v>
      </c>
      <c r="BQ18" s="868">
        <f t="shared" si="29"/>
        <v>31.5</v>
      </c>
      <c r="BR18" s="869">
        <f t="shared" si="29"/>
        <v>33</v>
      </c>
      <c r="BS18" s="868">
        <f t="shared" si="29"/>
        <v>34.5</v>
      </c>
      <c r="BT18" s="1937">
        <f t="shared" si="29"/>
        <v>36</v>
      </c>
    </row>
    <row r="19" spans="1:72" s="872" customFormat="1" ht="33.75" customHeight="1">
      <c r="A19" s="1917">
        <v>1.6</v>
      </c>
      <c r="B19" s="1926">
        <f>B2*$A$19</f>
        <v>2.4000000000000004</v>
      </c>
      <c r="C19" s="868">
        <f t="shared" ref="C19:BK19" si="30">C2*$A$19</f>
        <v>2.5600000000000005</v>
      </c>
      <c r="D19" s="868">
        <f t="shared" si="30"/>
        <v>2.72</v>
      </c>
      <c r="E19" s="868">
        <f t="shared" si="30"/>
        <v>2.8800000000000003</v>
      </c>
      <c r="F19" s="868">
        <f t="shared" si="30"/>
        <v>3.04</v>
      </c>
      <c r="G19" s="868">
        <f t="shared" si="30"/>
        <v>3.2</v>
      </c>
      <c r="H19" s="868">
        <f t="shared" si="30"/>
        <v>3.3600000000000003</v>
      </c>
      <c r="I19" s="868">
        <f t="shared" si="30"/>
        <v>3.5200000000000005</v>
      </c>
      <c r="J19" s="868">
        <f t="shared" si="30"/>
        <v>3.6799999999999997</v>
      </c>
      <c r="K19" s="868">
        <f t="shared" si="30"/>
        <v>3.84</v>
      </c>
      <c r="L19" s="868">
        <f t="shared" si="30"/>
        <v>4</v>
      </c>
      <c r="M19" s="868">
        <f t="shared" si="30"/>
        <v>4.16</v>
      </c>
      <c r="N19" s="868">
        <f t="shared" si="30"/>
        <v>4.32</v>
      </c>
      <c r="O19" s="868">
        <f t="shared" si="30"/>
        <v>4.4799999999999995</v>
      </c>
      <c r="P19" s="868">
        <f t="shared" si="30"/>
        <v>4.6399999999999997</v>
      </c>
      <c r="Q19" s="868">
        <f t="shared" si="30"/>
        <v>4.8000000000000007</v>
      </c>
      <c r="R19" s="868">
        <f t="shared" si="30"/>
        <v>4.9600000000000009</v>
      </c>
      <c r="S19" s="868">
        <f t="shared" si="30"/>
        <v>5.120000000000001</v>
      </c>
      <c r="T19" s="868">
        <f t="shared" si="30"/>
        <v>5.28</v>
      </c>
      <c r="U19" s="868">
        <f t="shared" si="30"/>
        <v>5.44</v>
      </c>
      <c r="V19" s="868">
        <f t="shared" si="30"/>
        <v>5.6000000000000005</v>
      </c>
      <c r="W19" s="868">
        <f t="shared" si="30"/>
        <v>5.7600000000000007</v>
      </c>
      <c r="X19" s="868">
        <f t="shared" si="30"/>
        <v>5.9200000000000008</v>
      </c>
      <c r="Y19" s="868">
        <f t="shared" si="30"/>
        <v>6.08</v>
      </c>
      <c r="Z19" s="868">
        <f t="shared" si="30"/>
        <v>6.24</v>
      </c>
      <c r="AA19" s="868">
        <f t="shared" si="30"/>
        <v>6.4</v>
      </c>
      <c r="AB19" s="868">
        <f t="shared" si="30"/>
        <v>6.56</v>
      </c>
      <c r="AC19" s="868">
        <f t="shared" si="30"/>
        <v>6.7200000000000006</v>
      </c>
      <c r="AD19" s="868">
        <f t="shared" si="30"/>
        <v>6.88</v>
      </c>
      <c r="AE19" s="868">
        <f t="shared" si="30"/>
        <v>7.0400000000000009</v>
      </c>
      <c r="AF19" s="1927">
        <f t="shared" si="30"/>
        <v>7.2</v>
      </c>
      <c r="AG19" s="1917">
        <v>1.6</v>
      </c>
      <c r="AH19" s="1926">
        <f t="shared" si="30"/>
        <v>10.08</v>
      </c>
      <c r="AI19" s="868">
        <f t="shared" si="30"/>
        <v>10.88</v>
      </c>
      <c r="AJ19" s="868">
        <f t="shared" si="30"/>
        <v>11.68</v>
      </c>
      <c r="AK19" s="868">
        <f t="shared" si="30"/>
        <v>12.16</v>
      </c>
      <c r="AL19" s="868">
        <f t="shared" si="30"/>
        <v>12.48</v>
      </c>
      <c r="AM19" s="868">
        <f t="shared" si="30"/>
        <v>12.96</v>
      </c>
      <c r="AN19" s="868">
        <f t="shared" si="30"/>
        <v>13.92</v>
      </c>
      <c r="AO19" s="868">
        <f t="shared" si="30"/>
        <v>14.4</v>
      </c>
      <c r="AP19" s="868">
        <f t="shared" si="30"/>
        <v>14.719999999999999</v>
      </c>
      <c r="AQ19" s="868">
        <f t="shared" si="30"/>
        <v>14.880000000000003</v>
      </c>
      <c r="AR19" s="868">
        <f t="shared" si="30"/>
        <v>15.040000000000001</v>
      </c>
      <c r="AS19" s="868">
        <f t="shared" si="30"/>
        <v>15.200000000000001</v>
      </c>
      <c r="AT19" s="868">
        <f t="shared" si="30"/>
        <v>15.36</v>
      </c>
      <c r="AU19" s="868">
        <f t="shared" si="30"/>
        <v>15.52</v>
      </c>
      <c r="AV19" s="868">
        <f t="shared" si="30"/>
        <v>15.680000000000001</v>
      </c>
      <c r="AW19" s="868">
        <f t="shared" si="30"/>
        <v>15.840000000000002</v>
      </c>
      <c r="AX19" s="868">
        <f t="shared" si="30"/>
        <v>16.16</v>
      </c>
      <c r="AY19" s="868">
        <f t="shared" si="30"/>
        <v>16.32</v>
      </c>
      <c r="AZ19" s="868">
        <f t="shared" si="30"/>
        <v>16.64</v>
      </c>
      <c r="BA19" s="868">
        <f t="shared" si="30"/>
        <v>16.96</v>
      </c>
      <c r="BB19" s="868">
        <f t="shared" si="30"/>
        <v>17.28</v>
      </c>
      <c r="BC19" s="868">
        <f t="shared" si="30"/>
        <v>17.600000000000001</v>
      </c>
      <c r="BD19" s="868">
        <f t="shared" si="30"/>
        <v>18.400000000000002</v>
      </c>
      <c r="BE19" s="868">
        <f t="shared" si="30"/>
        <v>19.200000000000003</v>
      </c>
      <c r="BF19" s="868">
        <f t="shared" si="30"/>
        <v>20</v>
      </c>
      <c r="BG19" s="868">
        <f t="shared" si="30"/>
        <v>20.8</v>
      </c>
      <c r="BH19" s="868">
        <f t="shared" si="30"/>
        <v>21.6</v>
      </c>
      <c r="BI19" s="868">
        <f t="shared" si="30"/>
        <v>22.400000000000002</v>
      </c>
      <c r="BJ19" s="868">
        <f t="shared" si="30"/>
        <v>23.200000000000003</v>
      </c>
      <c r="BK19" s="868">
        <f t="shared" si="30"/>
        <v>24</v>
      </c>
      <c r="BL19" s="868">
        <f t="shared" ref="BL19:BT19" si="31">BL2*$A$19</f>
        <v>25.6</v>
      </c>
      <c r="BM19" s="868">
        <f t="shared" si="31"/>
        <v>27.200000000000003</v>
      </c>
      <c r="BN19" s="868">
        <f t="shared" si="31"/>
        <v>28.8</v>
      </c>
      <c r="BO19" s="868">
        <f t="shared" si="31"/>
        <v>30.400000000000002</v>
      </c>
      <c r="BP19" s="868">
        <f t="shared" si="31"/>
        <v>32</v>
      </c>
      <c r="BQ19" s="868">
        <f t="shared" si="31"/>
        <v>33.6</v>
      </c>
      <c r="BR19" s="868">
        <f t="shared" si="31"/>
        <v>35.200000000000003</v>
      </c>
      <c r="BS19" s="868">
        <f t="shared" si="31"/>
        <v>36.800000000000004</v>
      </c>
      <c r="BT19" s="1927">
        <f t="shared" si="31"/>
        <v>38.400000000000006</v>
      </c>
    </row>
    <row r="20" spans="1:72" s="870" customFormat="1" ht="33.75" customHeight="1">
      <c r="A20" s="1918">
        <v>1.7</v>
      </c>
      <c r="B20" s="1926">
        <f>B2*$A$20</f>
        <v>2.5499999999999998</v>
      </c>
      <c r="C20" s="869">
        <f t="shared" ref="C20:BK20" si="32">C2*$A$20</f>
        <v>2.72</v>
      </c>
      <c r="D20" s="868">
        <f t="shared" si="32"/>
        <v>2.8899999999999997</v>
      </c>
      <c r="E20" s="869">
        <f t="shared" si="32"/>
        <v>3.06</v>
      </c>
      <c r="F20" s="868">
        <f t="shared" si="32"/>
        <v>3.23</v>
      </c>
      <c r="G20" s="869">
        <f t="shared" si="32"/>
        <v>3.4</v>
      </c>
      <c r="H20" s="868">
        <f t="shared" si="32"/>
        <v>3.57</v>
      </c>
      <c r="I20" s="869">
        <f t="shared" si="32"/>
        <v>3.74</v>
      </c>
      <c r="J20" s="868">
        <f t="shared" si="32"/>
        <v>3.9099999999999997</v>
      </c>
      <c r="K20" s="869">
        <f t="shared" si="32"/>
        <v>4.08</v>
      </c>
      <c r="L20" s="868">
        <f t="shared" si="32"/>
        <v>4.25</v>
      </c>
      <c r="M20" s="869">
        <f t="shared" si="32"/>
        <v>4.42</v>
      </c>
      <c r="N20" s="868">
        <f t="shared" si="32"/>
        <v>4.59</v>
      </c>
      <c r="O20" s="869">
        <f t="shared" si="32"/>
        <v>4.76</v>
      </c>
      <c r="P20" s="868">
        <f t="shared" si="32"/>
        <v>4.93</v>
      </c>
      <c r="Q20" s="869">
        <f t="shared" si="32"/>
        <v>5.0999999999999996</v>
      </c>
      <c r="R20" s="868">
        <f t="shared" si="32"/>
        <v>5.27</v>
      </c>
      <c r="S20" s="869">
        <f t="shared" si="32"/>
        <v>5.44</v>
      </c>
      <c r="T20" s="868">
        <f t="shared" si="32"/>
        <v>5.6099999999999994</v>
      </c>
      <c r="U20" s="869">
        <f t="shared" si="32"/>
        <v>5.7799999999999994</v>
      </c>
      <c r="V20" s="868">
        <f t="shared" si="32"/>
        <v>5.95</v>
      </c>
      <c r="W20" s="869">
        <f t="shared" si="32"/>
        <v>6.12</v>
      </c>
      <c r="X20" s="868">
        <f t="shared" si="32"/>
        <v>6.29</v>
      </c>
      <c r="Y20" s="869">
        <f t="shared" si="32"/>
        <v>6.46</v>
      </c>
      <c r="Z20" s="868">
        <f t="shared" si="32"/>
        <v>6.63</v>
      </c>
      <c r="AA20" s="869">
        <f t="shared" si="32"/>
        <v>6.8</v>
      </c>
      <c r="AB20" s="868">
        <f t="shared" si="32"/>
        <v>6.9699999999999989</v>
      </c>
      <c r="AC20" s="869">
        <f t="shared" si="32"/>
        <v>7.14</v>
      </c>
      <c r="AD20" s="868">
        <f t="shared" si="32"/>
        <v>7.31</v>
      </c>
      <c r="AE20" s="869">
        <f t="shared" si="32"/>
        <v>7.48</v>
      </c>
      <c r="AF20" s="1927">
        <f t="shared" si="32"/>
        <v>7.6499999999999995</v>
      </c>
      <c r="AG20" s="1918">
        <v>1.7</v>
      </c>
      <c r="AH20" s="1936">
        <f t="shared" si="32"/>
        <v>10.709999999999999</v>
      </c>
      <c r="AI20" s="868">
        <f t="shared" si="32"/>
        <v>11.559999999999999</v>
      </c>
      <c r="AJ20" s="869">
        <f t="shared" si="32"/>
        <v>12.41</v>
      </c>
      <c r="AK20" s="868">
        <f t="shared" si="32"/>
        <v>12.92</v>
      </c>
      <c r="AL20" s="869">
        <f t="shared" si="32"/>
        <v>13.26</v>
      </c>
      <c r="AM20" s="868">
        <f t="shared" si="32"/>
        <v>13.77</v>
      </c>
      <c r="AN20" s="869">
        <f t="shared" si="32"/>
        <v>14.79</v>
      </c>
      <c r="AO20" s="868">
        <f t="shared" si="32"/>
        <v>15.299999999999999</v>
      </c>
      <c r="AP20" s="869">
        <f t="shared" si="32"/>
        <v>15.639999999999999</v>
      </c>
      <c r="AQ20" s="868">
        <f t="shared" si="32"/>
        <v>15.81</v>
      </c>
      <c r="AR20" s="869">
        <f t="shared" si="32"/>
        <v>15.98</v>
      </c>
      <c r="AS20" s="868">
        <f t="shared" si="32"/>
        <v>16.149999999999999</v>
      </c>
      <c r="AT20" s="869">
        <f t="shared" si="32"/>
        <v>16.32</v>
      </c>
      <c r="AU20" s="868">
        <f t="shared" si="32"/>
        <v>16.489999999999998</v>
      </c>
      <c r="AV20" s="869">
        <f t="shared" si="32"/>
        <v>16.66</v>
      </c>
      <c r="AW20" s="868">
        <f t="shared" si="32"/>
        <v>16.830000000000002</v>
      </c>
      <c r="AX20" s="869">
        <f t="shared" si="32"/>
        <v>17.169999999999998</v>
      </c>
      <c r="AY20" s="868">
        <f t="shared" si="32"/>
        <v>17.34</v>
      </c>
      <c r="AZ20" s="869">
        <f t="shared" si="32"/>
        <v>17.68</v>
      </c>
      <c r="BA20" s="868">
        <f t="shared" si="32"/>
        <v>18.02</v>
      </c>
      <c r="BB20" s="869">
        <f t="shared" si="32"/>
        <v>18.36</v>
      </c>
      <c r="BC20" s="868">
        <f t="shared" si="32"/>
        <v>18.7</v>
      </c>
      <c r="BD20" s="869">
        <f t="shared" si="32"/>
        <v>19.55</v>
      </c>
      <c r="BE20" s="868">
        <f t="shared" si="32"/>
        <v>20.399999999999999</v>
      </c>
      <c r="BF20" s="869">
        <f t="shared" si="32"/>
        <v>21.25</v>
      </c>
      <c r="BG20" s="868">
        <f t="shared" si="32"/>
        <v>22.099999999999998</v>
      </c>
      <c r="BH20" s="869">
        <f t="shared" si="32"/>
        <v>22.95</v>
      </c>
      <c r="BI20" s="868">
        <f t="shared" si="32"/>
        <v>23.8</v>
      </c>
      <c r="BJ20" s="869">
        <f t="shared" si="32"/>
        <v>24.65</v>
      </c>
      <c r="BK20" s="868">
        <f t="shared" si="32"/>
        <v>25.5</v>
      </c>
      <c r="BL20" s="869">
        <f t="shared" ref="BL20:BT20" si="33">BL2*$A$20</f>
        <v>27.2</v>
      </c>
      <c r="BM20" s="868">
        <f t="shared" si="33"/>
        <v>28.9</v>
      </c>
      <c r="BN20" s="869">
        <f t="shared" si="33"/>
        <v>30.599999999999998</v>
      </c>
      <c r="BO20" s="868">
        <f t="shared" si="33"/>
        <v>32.299999999999997</v>
      </c>
      <c r="BP20" s="869">
        <f t="shared" si="33"/>
        <v>34</v>
      </c>
      <c r="BQ20" s="868">
        <f t="shared" si="33"/>
        <v>35.699999999999996</v>
      </c>
      <c r="BR20" s="869">
        <f t="shared" si="33"/>
        <v>37.4</v>
      </c>
      <c r="BS20" s="868">
        <f t="shared" si="33"/>
        <v>39.1</v>
      </c>
      <c r="BT20" s="1937">
        <f t="shared" si="33"/>
        <v>40.799999999999997</v>
      </c>
    </row>
    <row r="21" spans="1:72" s="872" customFormat="1" ht="33.75" customHeight="1">
      <c r="A21" s="1917">
        <v>1.8</v>
      </c>
      <c r="B21" s="1926">
        <f>B2*$A$21</f>
        <v>2.7</v>
      </c>
      <c r="C21" s="868">
        <f t="shared" ref="C21:BK21" si="34">C2*$A$21</f>
        <v>2.8800000000000003</v>
      </c>
      <c r="D21" s="868">
        <f t="shared" si="34"/>
        <v>3.06</v>
      </c>
      <c r="E21" s="868">
        <f t="shared" si="34"/>
        <v>3.24</v>
      </c>
      <c r="F21" s="868">
        <f t="shared" si="34"/>
        <v>3.42</v>
      </c>
      <c r="G21" s="868">
        <f t="shared" si="34"/>
        <v>3.6</v>
      </c>
      <c r="H21" s="868">
        <f t="shared" si="34"/>
        <v>3.7800000000000002</v>
      </c>
      <c r="I21" s="868">
        <f t="shared" si="34"/>
        <v>3.9600000000000004</v>
      </c>
      <c r="J21" s="868">
        <f t="shared" si="34"/>
        <v>4.1399999999999997</v>
      </c>
      <c r="K21" s="868">
        <f t="shared" si="34"/>
        <v>4.32</v>
      </c>
      <c r="L21" s="868">
        <f t="shared" si="34"/>
        <v>4.5</v>
      </c>
      <c r="M21" s="868">
        <f t="shared" si="34"/>
        <v>4.6800000000000006</v>
      </c>
      <c r="N21" s="868">
        <f t="shared" si="34"/>
        <v>4.8600000000000003</v>
      </c>
      <c r="O21" s="868">
        <f t="shared" si="34"/>
        <v>5.04</v>
      </c>
      <c r="P21" s="868">
        <f t="shared" si="34"/>
        <v>5.22</v>
      </c>
      <c r="Q21" s="868">
        <f t="shared" si="34"/>
        <v>5.4</v>
      </c>
      <c r="R21" s="868">
        <f t="shared" si="34"/>
        <v>5.58</v>
      </c>
      <c r="S21" s="868">
        <f t="shared" si="34"/>
        <v>5.7600000000000007</v>
      </c>
      <c r="T21" s="868">
        <f t="shared" si="34"/>
        <v>5.9399999999999995</v>
      </c>
      <c r="U21" s="868">
        <f t="shared" si="34"/>
        <v>6.12</v>
      </c>
      <c r="V21" s="868">
        <f t="shared" si="34"/>
        <v>6.3</v>
      </c>
      <c r="W21" s="868">
        <f t="shared" si="34"/>
        <v>6.48</v>
      </c>
      <c r="X21" s="868">
        <f t="shared" si="34"/>
        <v>6.66</v>
      </c>
      <c r="Y21" s="868">
        <f t="shared" si="34"/>
        <v>6.84</v>
      </c>
      <c r="Z21" s="868">
        <f t="shared" si="34"/>
        <v>7.02</v>
      </c>
      <c r="AA21" s="868">
        <f t="shared" si="34"/>
        <v>7.2</v>
      </c>
      <c r="AB21" s="868">
        <f t="shared" si="34"/>
        <v>7.38</v>
      </c>
      <c r="AC21" s="868">
        <f t="shared" si="34"/>
        <v>7.5600000000000005</v>
      </c>
      <c r="AD21" s="868">
        <f t="shared" si="34"/>
        <v>7.74</v>
      </c>
      <c r="AE21" s="868">
        <f t="shared" si="34"/>
        <v>7.9200000000000008</v>
      </c>
      <c r="AF21" s="1927">
        <f t="shared" si="34"/>
        <v>8.1</v>
      </c>
      <c r="AG21" s="1917">
        <v>1.8</v>
      </c>
      <c r="AH21" s="1926">
        <f t="shared" si="34"/>
        <v>11.34</v>
      </c>
      <c r="AI21" s="868">
        <f t="shared" si="34"/>
        <v>12.24</v>
      </c>
      <c r="AJ21" s="868">
        <f t="shared" si="34"/>
        <v>13.14</v>
      </c>
      <c r="AK21" s="868">
        <f t="shared" si="34"/>
        <v>13.68</v>
      </c>
      <c r="AL21" s="868">
        <f t="shared" si="34"/>
        <v>14.04</v>
      </c>
      <c r="AM21" s="868">
        <f t="shared" si="34"/>
        <v>14.58</v>
      </c>
      <c r="AN21" s="868">
        <f t="shared" si="34"/>
        <v>15.659999999999998</v>
      </c>
      <c r="AO21" s="868">
        <f t="shared" si="34"/>
        <v>16.2</v>
      </c>
      <c r="AP21" s="868">
        <f t="shared" si="34"/>
        <v>16.559999999999999</v>
      </c>
      <c r="AQ21" s="868">
        <f t="shared" si="34"/>
        <v>16.740000000000002</v>
      </c>
      <c r="AR21" s="868">
        <f t="shared" si="34"/>
        <v>16.920000000000002</v>
      </c>
      <c r="AS21" s="868">
        <f t="shared" si="34"/>
        <v>17.100000000000001</v>
      </c>
      <c r="AT21" s="868">
        <f t="shared" si="34"/>
        <v>17.28</v>
      </c>
      <c r="AU21" s="868">
        <f t="shared" si="34"/>
        <v>17.46</v>
      </c>
      <c r="AV21" s="868">
        <f t="shared" si="34"/>
        <v>17.64</v>
      </c>
      <c r="AW21" s="868">
        <f t="shared" si="34"/>
        <v>17.82</v>
      </c>
      <c r="AX21" s="868">
        <f t="shared" si="34"/>
        <v>18.18</v>
      </c>
      <c r="AY21" s="868">
        <f t="shared" si="34"/>
        <v>18.36</v>
      </c>
      <c r="AZ21" s="868">
        <f t="shared" si="34"/>
        <v>18.720000000000002</v>
      </c>
      <c r="BA21" s="868">
        <f t="shared" si="34"/>
        <v>19.079999999999998</v>
      </c>
      <c r="BB21" s="868">
        <f t="shared" si="34"/>
        <v>19.440000000000001</v>
      </c>
      <c r="BC21" s="868">
        <f t="shared" si="34"/>
        <v>19.8</v>
      </c>
      <c r="BD21" s="868">
        <f t="shared" si="34"/>
        <v>20.7</v>
      </c>
      <c r="BE21" s="868">
        <f t="shared" si="34"/>
        <v>21.6</v>
      </c>
      <c r="BF21" s="868">
        <f t="shared" si="34"/>
        <v>22.5</v>
      </c>
      <c r="BG21" s="868">
        <f t="shared" si="34"/>
        <v>23.400000000000002</v>
      </c>
      <c r="BH21" s="868">
        <f t="shared" si="34"/>
        <v>24.3</v>
      </c>
      <c r="BI21" s="868">
        <f t="shared" si="34"/>
        <v>25.2</v>
      </c>
      <c r="BJ21" s="868">
        <f t="shared" si="34"/>
        <v>26.1</v>
      </c>
      <c r="BK21" s="868">
        <f t="shared" si="34"/>
        <v>27</v>
      </c>
      <c r="BL21" s="868">
        <f t="shared" ref="BL21:BT21" si="35">BL2*$A$21</f>
        <v>28.8</v>
      </c>
      <c r="BM21" s="868">
        <f t="shared" si="35"/>
        <v>30.6</v>
      </c>
      <c r="BN21" s="868">
        <f t="shared" si="35"/>
        <v>32.4</v>
      </c>
      <c r="BO21" s="868">
        <f t="shared" si="35"/>
        <v>34.200000000000003</v>
      </c>
      <c r="BP21" s="868">
        <f t="shared" si="35"/>
        <v>36</v>
      </c>
      <c r="BQ21" s="868">
        <f t="shared" si="35"/>
        <v>37.800000000000004</v>
      </c>
      <c r="BR21" s="868">
        <f t="shared" si="35"/>
        <v>39.6</v>
      </c>
      <c r="BS21" s="868">
        <f t="shared" si="35"/>
        <v>41.4</v>
      </c>
      <c r="BT21" s="1927">
        <f t="shared" si="35"/>
        <v>43.2</v>
      </c>
    </row>
    <row r="22" spans="1:72" s="870" customFormat="1" ht="33.75" customHeight="1">
      <c r="A22" s="1918">
        <v>1.9</v>
      </c>
      <c r="B22" s="1926">
        <f>B2*$A$22</f>
        <v>2.8499999999999996</v>
      </c>
      <c r="C22" s="869">
        <f t="shared" ref="C22:BK22" si="36">C2*$A$22</f>
        <v>3.04</v>
      </c>
      <c r="D22" s="868">
        <f t="shared" si="36"/>
        <v>3.23</v>
      </c>
      <c r="E22" s="869">
        <f t="shared" si="36"/>
        <v>3.42</v>
      </c>
      <c r="F22" s="868">
        <f t="shared" si="36"/>
        <v>3.61</v>
      </c>
      <c r="G22" s="869">
        <f t="shared" si="36"/>
        <v>3.8</v>
      </c>
      <c r="H22" s="868">
        <f t="shared" si="36"/>
        <v>3.9899999999999998</v>
      </c>
      <c r="I22" s="869">
        <f t="shared" si="36"/>
        <v>4.18</v>
      </c>
      <c r="J22" s="868">
        <f t="shared" si="36"/>
        <v>4.3699999999999992</v>
      </c>
      <c r="K22" s="869">
        <f t="shared" si="36"/>
        <v>4.5599999999999996</v>
      </c>
      <c r="L22" s="868">
        <f t="shared" si="36"/>
        <v>4.75</v>
      </c>
      <c r="M22" s="869">
        <f t="shared" si="36"/>
        <v>4.9399999999999995</v>
      </c>
      <c r="N22" s="868">
        <f t="shared" si="36"/>
        <v>5.13</v>
      </c>
      <c r="O22" s="869">
        <f t="shared" si="36"/>
        <v>5.3199999999999994</v>
      </c>
      <c r="P22" s="868">
        <f t="shared" si="36"/>
        <v>5.51</v>
      </c>
      <c r="Q22" s="869">
        <f t="shared" si="36"/>
        <v>5.6999999999999993</v>
      </c>
      <c r="R22" s="868">
        <f t="shared" si="36"/>
        <v>5.89</v>
      </c>
      <c r="S22" s="869">
        <f t="shared" si="36"/>
        <v>6.08</v>
      </c>
      <c r="T22" s="868">
        <f t="shared" si="36"/>
        <v>6.27</v>
      </c>
      <c r="U22" s="869">
        <f t="shared" si="36"/>
        <v>6.46</v>
      </c>
      <c r="V22" s="868">
        <f t="shared" si="36"/>
        <v>6.6499999999999995</v>
      </c>
      <c r="W22" s="869">
        <f t="shared" si="36"/>
        <v>6.84</v>
      </c>
      <c r="X22" s="868">
        <f t="shared" si="36"/>
        <v>7.03</v>
      </c>
      <c r="Y22" s="869">
        <f t="shared" si="36"/>
        <v>7.22</v>
      </c>
      <c r="Z22" s="868">
        <f t="shared" si="36"/>
        <v>7.4099999999999993</v>
      </c>
      <c r="AA22" s="869">
        <f t="shared" si="36"/>
        <v>7.6</v>
      </c>
      <c r="AB22" s="868">
        <f t="shared" si="36"/>
        <v>7.7899999999999991</v>
      </c>
      <c r="AC22" s="869">
        <f t="shared" si="36"/>
        <v>7.9799999999999995</v>
      </c>
      <c r="AD22" s="868">
        <f t="shared" si="36"/>
        <v>8.17</v>
      </c>
      <c r="AE22" s="869">
        <f t="shared" si="36"/>
        <v>8.36</v>
      </c>
      <c r="AF22" s="1927">
        <f t="shared" si="36"/>
        <v>8.5499999999999989</v>
      </c>
      <c r="AG22" s="1918">
        <v>1.9</v>
      </c>
      <c r="AH22" s="1936">
        <f t="shared" si="36"/>
        <v>11.969999999999999</v>
      </c>
      <c r="AI22" s="868">
        <f t="shared" si="36"/>
        <v>12.92</v>
      </c>
      <c r="AJ22" s="869">
        <f t="shared" si="36"/>
        <v>13.87</v>
      </c>
      <c r="AK22" s="868">
        <f t="shared" si="36"/>
        <v>14.44</v>
      </c>
      <c r="AL22" s="869">
        <f t="shared" si="36"/>
        <v>14.819999999999999</v>
      </c>
      <c r="AM22" s="868">
        <f t="shared" si="36"/>
        <v>15.389999999999999</v>
      </c>
      <c r="AN22" s="869">
        <f t="shared" si="36"/>
        <v>16.529999999999998</v>
      </c>
      <c r="AO22" s="868">
        <f t="shared" si="36"/>
        <v>17.099999999999998</v>
      </c>
      <c r="AP22" s="869">
        <f t="shared" si="36"/>
        <v>17.479999999999997</v>
      </c>
      <c r="AQ22" s="868">
        <f t="shared" si="36"/>
        <v>17.670000000000002</v>
      </c>
      <c r="AR22" s="869">
        <f t="shared" si="36"/>
        <v>17.86</v>
      </c>
      <c r="AS22" s="868">
        <f t="shared" si="36"/>
        <v>18.05</v>
      </c>
      <c r="AT22" s="869">
        <f t="shared" si="36"/>
        <v>18.239999999999998</v>
      </c>
      <c r="AU22" s="868">
        <f t="shared" si="36"/>
        <v>18.429999999999996</v>
      </c>
      <c r="AV22" s="869">
        <f t="shared" si="36"/>
        <v>18.62</v>
      </c>
      <c r="AW22" s="868">
        <f t="shared" si="36"/>
        <v>18.809999999999999</v>
      </c>
      <c r="AX22" s="869">
        <f t="shared" si="36"/>
        <v>19.189999999999998</v>
      </c>
      <c r="AY22" s="868">
        <f t="shared" si="36"/>
        <v>19.38</v>
      </c>
      <c r="AZ22" s="869">
        <f t="shared" si="36"/>
        <v>19.759999999999998</v>
      </c>
      <c r="BA22" s="868">
        <f t="shared" si="36"/>
        <v>20.139999999999997</v>
      </c>
      <c r="BB22" s="869">
        <f t="shared" si="36"/>
        <v>20.52</v>
      </c>
      <c r="BC22" s="868">
        <f t="shared" si="36"/>
        <v>20.9</v>
      </c>
      <c r="BD22" s="869">
        <f t="shared" si="36"/>
        <v>21.849999999999998</v>
      </c>
      <c r="BE22" s="868">
        <f t="shared" si="36"/>
        <v>22.799999999999997</v>
      </c>
      <c r="BF22" s="869">
        <f t="shared" si="36"/>
        <v>23.75</v>
      </c>
      <c r="BG22" s="868">
        <f t="shared" si="36"/>
        <v>24.7</v>
      </c>
      <c r="BH22" s="869">
        <f t="shared" si="36"/>
        <v>25.65</v>
      </c>
      <c r="BI22" s="868">
        <f t="shared" si="36"/>
        <v>26.599999999999998</v>
      </c>
      <c r="BJ22" s="869">
        <f t="shared" si="36"/>
        <v>27.549999999999997</v>
      </c>
      <c r="BK22" s="868">
        <f t="shared" si="36"/>
        <v>28.5</v>
      </c>
      <c r="BL22" s="869">
        <f t="shared" ref="BL22:BT22" si="37">BL2*$A$22</f>
        <v>30.4</v>
      </c>
      <c r="BM22" s="868">
        <f t="shared" si="37"/>
        <v>32.299999999999997</v>
      </c>
      <c r="BN22" s="869">
        <f t="shared" si="37"/>
        <v>34.199999999999996</v>
      </c>
      <c r="BO22" s="868">
        <f t="shared" si="37"/>
        <v>36.1</v>
      </c>
      <c r="BP22" s="869">
        <f t="shared" si="37"/>
        <v>38</v>
      </c>
      <c r="BQ22" s="868">
        <f t="shared" si="37"/>
        <v>39.9</v>
      </c>
      <c r="BR22" s="869">
        <f t="shared" si="37"/>
        <v>41.8</v>
      </c>
      <c r="BS22" s="868">
        <f t="shared" si="37"/>
        <v>43.699999999999996</v>
      </c>
      <c r="BT22" s="1937">
        <f t="shared" si="37"/>
        <v>45.599999999999994</v>
      </c>
    </row>
    <row r="23" spans="1:72" s="872" customFormat="1" ht="33.75" customHeight="1">
      <c r="A23" s="1917">
        <v>2</v>
      </c>
      <c r="B23" s="1926">
        <f>B2*$A$23</f>
        <v>3</v>
      </c>
      <c r="C23" s="868">
        <f t="shared" ref="C23:BK23" si="38">C2*$A$23</f>
        <v>3.2</v>
      </c>
      <c r="D23" s="868">
        <f t="shared" si="38"/>
        <v>3.4</v>
      </c>
      <c r="E23" s="868">
        <f t="shared" si="38"/>
        <v>3.6</v>
      </c>
      <c r="F23" s="868">
        <f t="shared" si="38"/>
        <v>3.8</v>
      </c>
      <c r="G23" s="868">
        <f t="shared" si="38"/>
        <v>4</v>
      </c>
      <c r="H23" s="868">
        <f t="shared" si="38"/>
        <v>4.2</v>
      </c>
      <c r="I23" s="868">
        <f t="shared" si="38"/>
        <v>4.4000000000000004</v>
      </c>
      <c r="J23" s="868">
        <f t="shared" si="38"/>
        <v>4.5999999999999996</v>
      </c>
      <c r="K23" s="868">
        <f t="shared" si="38"/>
        <v>4.8</v>
      </c>
      <c r="L23" s="868">
        <f t="shared" si="38"/>
        <v>5</v>
      </c>
      <c r="M23" s="868">
        <f t="shared" si="38"/>
        <v>5.2</v>
      </c>
      <c r="N23" s="868">
        <f t="shared" si="38"/>
        <v>5.4</v>
      </c>
      <c r="O23" s="868">
        <f t="shared" si="38"/>
        <v>5.6</v>
      </c>
      <c r="P23" s="868">
        <f t="shared" si="38"/>
        <v>5.8</v>
      </c>
      <c r="Q23" s="868">
        <f t="shared" si="38"/>
        <v>6</v>
      </c>
      <c r="R23" s="868">
        <f t="shared" si="38"/>
        <v>6.2</v>
      </c>
      <c r="S23" s="868">
        <f t="shared" si="38"/>
        <v>6.4</v>
      </c>
      <c r="T23" s="868">
        <f t="shared" si="38"/>
        <v>6.6</v>
      </c>
      <c r="U23" s="868">
        <f t="shared" si="38"/>
        <v>6.8</v>
      </c>
      <c r="V23" s="868">
        <f t="shared" si="38"/>
        <v>7</v>
      </c>
      <c r="W23" s="868">
        <f t="shared" si="38"/>
        <v>7.2</v>
      </c>
      <c r="X23" s="868">
        <f t="shared" si="38"/>
        <v>7.4</v>
      </c>
      <c r="Y23" s="868">
        <f t="shared" si="38"/>
        <v>7.6</v>
      </c>
      <c r="Z23" s="868">
        <f t="shared" si="38"/>
        <v>7.8</v>
      </c>
      <c r="AA23" s="868">
        <f t="shared" si="38"/>
        <v>8</v>
      </c>
      <c r="AB23" s="868">
        <f t="shared" si="38"/>
        <v>8.1999999999999993</v>
      </c>
      <c r="AC23" s="868">
        <f t="shared" si="38"/>
        <v>8.4</v>
      </c>
      <c r="AD23" s="868">
        <f t="shared" si="38"/>
        <v>8.6</v>
      </c>
      <c r="AE23" s="868">
        <f t="shared" si="38"/>
        <v>8.8000000000000007</v>
      </c>
      <c r="AF23" s="1927">
        <f t="shared" si="38"/>
        <v>9</v>
      </c>
      <c r="AG23" s="1917">
        <v>2</v>
      </c>
      <c r="AH23" s="1926">
        <f t="shared" si="38"/>
        <v>12.6</v>
      </c>
      <c r="AI23" s="868">
        <f t="shared" si="38"/>
        <v>13.6</v>
      </c>
      <c r="AJ23" s="868">
        <f t="shared" si="38"/>
        <v>14.6</v>
      </c>
      <c r="AK23" s="868">
        <f t="shared" si="38"/>
        <v>15.2</v>
      </c>
      <c r="AL23" s="868">
        <f t="shared" si="38"/>
        <v>15.6</v>
      </c>
      <c r="AM23" s="868">
        <f t="shared" si="38"/>
        <v>16.2</v>
      </c>
      <c r="AN23" s="868">
        <f t="shared" si="38"/>
        <v>17.399999999999999</v>
      </c>
      <c r="AO23" s="868">
        <f t="shared" si="38"/>
        <v>18</v>
      </c>
      <c r="AP23" s="868">
        <f t="shared" si="38"/>
        <v>18.399999999999999</v>
      </c>
      <c r="AQ23" s="868">
        <f t="shared" si="38"/>
        <v>18.600000000000001</v>
      </c>
      <c r="AR23" s="868">
        <f t="shared" si="38"/>
        <v>18.8</v>
      </c>
      <c r="AS23" s="868">
        <f t="shared" si="38"/>
        <v>19</v>
      </c>
      <c r="AT23" s="868">
        <f t="shared" si="38"/>
        <v>19.2</v>
      </c>
      <c r="AU23" s="868">
        <f t="shared" si="38"/>
        <v>19.399999999999999</v>
      </c>
      <c r="AV23" s="868">
        <f t="shared" si="38"/>
        <v>19.600000000000001</v>
      </c>
      <c r="AW23" s="868">
        <f t="shared" si="38"/>
        <v>19.8</v>
      </c>
      <c r="AX23" s="868">
        <f t="shared" si="38"/>
        <v>20.2</v>
      </c>
      <c r="AY23" s="868">
        <f t="shared" si="38"/>
        <v>20.399999999999999</v>
      </c>
      <c r="AZ23" s="868">
        <f t="shared" si="38"/>
        <v>20.8</v>
      </c>
      <c r="BA23" s="868">
        <f t="shared" si="38"/>
        <v>21.2</v>
      </c>
      <c r="BB23" s="868">
        <f t="shared" si="38"/>
        <v>21.6</v>
      </c>
      <c r="BC23" s="868">
        <f t="shared" si="38"/>
        <v>22</v>
      </c>
      <c r="BD23" s="868">
        <f t="shared" si="38"/>
        <v>23</v>
      </c>
      <c r="BE23" s="868">
        <f t="shared" si="38"/>
        <v>24</v>
      </c>
      <c r="BF23" s="868">
        <f t="shared" si="38"/>
        <v>25</v>
      </c>
      <c r="BG23" s="868">
        <f t="shared" si="38"/>
        <v>26</v>
      </c>
      <c r="BH23" s="868">
        <f t="shared" si="38"/>
        <v>27</v>
      </c>
      <c r="BI23" s="868">
        <f t="shared" si="38"/>
        <v>28</v>
      </c>
      <c r="BJ23" s="868">
        <f t="shared" si="38"/>
        <v>29</v>
      </c>
      <c r="BK23" s="868">
        <f t="shared" si="38"/>
        <v>30</v>
      </c>
      <c r="BL23" s="868">
        <f t="shared" ref="BL23:BT23" si="39">BL2*$A$23</f>
        <v>32</v>
      </c>
      <c r="BM23" s="868">
        <f t="shared" si="39"/>
        <v>34</v>
      </c>
      <c r="BN23" s="868">
        <f t="shared" si="39"/>
        <v>36</v>
      </c>
      <c r="BO23" s="868">
        <f t="shared" si="39"/>
        <v>38</v>
      </c>
      <c r="BP23" s="868">
        <f t="shared" si="39"/>
        <v>40</v>
      </c>
      <c r="BQ23" s="868">
        <f t="shared" si="39"/>
        <v>42</v>
      </c>
      <c r="BR23" s="868">
        <f t="shared" si="39"/>
        <v>44</v>
      </c>
      <c r="BS23" s="868">
        <f t="shared" si="39"/>
        <v>46</v>
      </c>
      <c r="BT23" s="1927">
        <f t="shared" si="39"/>
        <v>48</v>
      </c>
    </row>
    <row r="24" spans="1:72" s="870" customFormat="1" ht="33.75" customHeight="1">
      <c r="A24" s="1918">
        <v>2.1</v>
      </c>
      <c r="B24" s="1926">
        <f>B2*$A$24</f>
        <v>3.1500000000000004</v>
      </c>
      <c r="C24" s="869">
        <f t="shared" ref="C24:BK24" si="40">C2*$A$24</f>
        <v>3.3600000000000003</v>
      </c>
      <c r="D24" s="868">
        <f t="shared" si="40"/>
        <v>3.57</v>
      </c>
      <c r="E24" s="869">
        <f t="shared" si="40"/>
        <v>3.7800000000000002</v>
      </c>
      <c r="F24" s="868">
        <f t="shared" si="40"/>
        <v>3.9899999999999998</v>
      </c>
      <c r="G24" s="869">
        <f t="shared" si="40"/>
        <v>4.2</v>
      </c>
      <c r="H24" s="868">
        <f t="shared" si="40"/>
        <v>4.41</v>
      </c>
      <c r="I24" s="869">
        <f t="shared" si="40"/>
        <v>4.620000000000001</v>
      </c>
      <c r="J24" s="868">
        <f t="shared" si="40"/>
        <v>4.83</v>
      </c>
      <c r="K24" s="869">
        <f t="shared" si="40"/>
        <v>5.04</v>
      </c>
      <c r="L24" s="868">
        <f t="shared" si="40"/>
        <v>5.25</v>
      </c>
      <c r="M24" s="869">
        <f t="shared" si="40"/>
        <v>5.4600000000000009</v>
      </c>
      <c r="N24" s="868">
        <f t="shared" si="40"/>
        <v>5.6700000000000008</v>
      </c>
      <c r="O24" s="869">
        <f t="shared" si="40"/>
        <v>5.88</v>
      </c>
      <c r="P24" s="868">
        <f t="shared" si="40"/>
        <v>6.09</v>
      </c>
      <c r="Q24" s="869">
        <f t="shared" si="40"/>
        <v>6.3000000000000007</v>
      </c>
      <c r="R24" s="868">
        <f t="shared" si="40"/>
        <v>6.5100000000000007</v>
      </c>
      <c r="S24" s="869">
        <f t="shared" si="40"/>
        <v>6.7200000000000006</v>
      </c>
      <c r="T24" s="868">
        <f t="shared" si="40"/>
        <v>6.93</v>
      </c>
      <c r="U24" s="869">
        <f t="shared" si="40"/>
        <v>7.14</v>
      </c>
      <c r="V24" s="868">
        <f t="shared" si="40"/>
        <v>7.3500000000000005</v>
      </c>
      <c r="W24" s="869">
        <f t="shared" si="40"/>
        <v>7.5600000000000005</v>
      </c>
      <c r="X24" s="868">
        <f t="shared" si="40"/>
        <v>7.7700000000000005</v>
      </c>
      <c r="Y24" s="869">
        <f t="shared" si="40"/>
        <v>7.9799999999999995</v>
      </c>
      <c r="Z24" s="868">
        <f t="shared" si="40"/>
        <v>8.19</v>
      </c>
      <c r="AA24" s="869">
        <f t="shared" si="40"/>
        <v>8.4</v>
      </c>
      <c r="AB24" s="868">
        <f t="shared" si="40"/>
        <v>8.61</v>
      </c>
      <c r="AC24" s="869">
        <f t="shared" si="40"/>
        <v>8.82</v>
      </c>
      <c r="AD24" s="868">
        <f t="shared" si="40"/>
        <v>9.0299999999999994</v>
      </c>
      <c r="AE24" s="869">
        <f t="shared" si="40"/>
        <v>9.240000000000002</v>
      </c>
      <c r="AF24" s="1927">
        <f t="shared" si="40"/>
        <v>9.4500000000000011</v>
      </c>
      <c r="AG24" s="1918">
        <v>2.1</v>
      </c>
      <c r="AH24" s="1936">
        <f t="shared" si="40"/>
        <v>13.23</v>
      </c>
      <c r="AI24" s="868">
        <f t="shared" si="40"/>
        <v>14.28</v>
      </c>
      <c r="AJ24" s="869">
        <f t="shared" si="40"/>
        <v>15.33</v>
      </c>
      <c r="AK24" s="868">
        <f t="shared" si="40"/>
        <v>15.959999999999999</v>
      </c>
      <c r="AL24" s="869">
        <f t="shared" si="40"/>
        <v>16.38</v>
      </c>
      <c r="AM24" s="868">
        <f t="shared" si="40"/>
        <v>17.010000000000002</v>
      </c>
      <c r="AN24" s="869">
        <f t="shared" si="40"/>
        <v>18.27</v>
      </c>
      <c r="AO24" s="868">
        <f t="shared" si="40"/>
        <v>18.900000000000002</v>
      </c>
      <c r="AP24" s="869">
        <f t="shared" si="40"/>
        <v>19.32</v>
      </c>
      <c r="AQ24" s="868">
        <f t="shared" si="40"/>
        <v>19.53</v>
      </c>
      <c r="AR24" s="869">
        <f t="shared" si="40"/>
        <v>19.740000000000002</v>
      </c>
      <c r="AS24" s="868">
        <f t="shared" si="40"/>
        <v>19.95</v>
      </c>
      <c r="AT24" s="869">
        <f t="shared" si="40"/>
        <v>20.16</v>
      </c>
      <c r="AU24" s="868">
        <f t="shared" si="40"/>
        <v>20.37</v>
      </c>
      <c r="AV24" s="869">
        <f t="shared" si="40"/>
        <v>20.580000000000002</v>
      </c>
      <c r="AW24" s="868">
        <f t="shared" si="40"/>
        <v>20.790000000000003</v>
      </c>
      <c r="AX24" s="869">
        <f t="shared" si="40"/>
        <v>21.21</v>
      </c>
      <c r="AY24" s="868">
        <f t="shared" si="40"/>
        <v>21.419999999999998</v>
      </c>
      <c r="AZ24" s="869">
        <f t="shared" si="40"/>
        <v>21.840000000000003</v>
      </c>
      <c r="BA24" s="868">
        <f t="shared" si="40"/>
        <v>22.26</v>
      </c>
      <c r="BB24" s="869">
        <f t="shared" si="40"/>
        <v>22.680000000000003</v>
      </c>
      <c r="BC24" s="868">
        <f t="shared" si="40"/>
        <v>23.1</v>
      </c>
      <c r="BD24" s="869">
        <f t="shared" si="40"/>
        <v>24.150000000000002</v>
      </c>
      <c r="BE24" s="868">
        <f t="shared" si="40"/>
        <v>25.200000000000003</v>
      </c>
      <c r="BF24" s="869">
        <f t="shared" si="40"/>
        <v>26.25</v>
      </c>
      <c r="BG24" s="868">
        <f t="shared" si="40"/>
        <v>27.3</v>
      </c>
      <c r="BH24" s="869">
        <f t="shared" si="40"/>
        <v>28.35</v>
      </c>
      <c r="BI24" s="868">
        <f t="shared" si="40"/>
        <v>29.400000000000002</v>
      </c>
      <c r="BJ24" s="869">
        <f t="shared" si="40"/>
        <v>30.450000000000003</v>
      </c>
      <c r="BK24" s="868">
        <f t="shared" si="40"/>
        <v>31.5</v>
      </c>
      <c r="BL24" s="869">
        <f t="shared" ref="BL24:BT24" si="41">BL2*$A$24</f>
        <v>33.6</v>
      </c>
      <c r="BM24" s="868">
        <f t="shared" si="41"/>
        <v>35.700000000000003</v>
      </c>
      <c r="BN24" s="869">
        <f t="shared" si="41"/>
        <v>37.800000000000004</v>
      </c>
      <c r="BO24" s="868">
        <f t="shared" si="41"/>
        <v>39.9</v>
      </c>
      <c r="BP24" s="869">
        <f t="shared" si="41"/>
        <v>42</v>
      </c>
      <c r="BQ24" s="868">
        <f t="shared" si="41"/>
        <v>44.1</v>
      </c>
      <c r="BR24" s="869">
        <f t="shared" si="41"/>
        <v>46.2</v>
      </c>
      <c r="BS24" s="868">
        <f t="shared" si="41"/>
        <v>48.300000000000004</v>
      </c>
      <c r="BT24" s="1937">
        <f t="shared" si="41"/>
        <v>50.400000000000006</v>
      </c>
    </row>
    <row r="25" spans="1:72" s="872" customFormat="1" ht="33.75" customHeight="1">
      <c r="A25" s="1917">
        <v>2.2000000000000002</v>
      </c>
      <c r="B25" s="1926">
        <f>B2*$A$25</f>
        <v>3.3000000000000003</v>
      </c>
      <c r="C25" s="868">
        <f t="shared" ref="C25:BK25" si="42">C2*$A$25</f>
        <v>3.5200000000000005</v>
      </c>
      <c r="D25" s="868">
        <f t="shared" si="42"/>
        <v>3.74</v>
      </c>
      <c r="E25" s="868">
        <f t="shared" si="42"/>
        <v>3.9600000000000004</v>
      </c>
      <c r="F25" s="868">
        <f t="shared" si="42"/>
        <v>4.18</v>
      </c>
      <c r="G25" s="868">
        <f t="shared" si="42"/>
        <v>4.4000000000000004</v>
      </c>
      <c r="H25" s="868">
        <f t="shared" si="42"/>
        <v>4.620000000000001</v>
      </c>
      <c r="I25" s="868">
        <f t="shared" si="42"/>
        <v>4.8400000000000007</v>
      </c>
      <c r="J25" s="868">
        <f t="shared" si="42"/>
        <v>5.0599999999999996</v>
      </c>
      <c r="K25" s="868">
        <f t="shared" si="42"/>
        <v>5.28</v>
      </c>
      <c r="L25" s="868">
        <f t="shared" si="42"/>
        <v>5.5</v>
      </c>
      <c r="M25" s="868">
        <f t="shared" si="42"/>
        <v>5.7200000000000006</v>
      </c>
      <c r="N25" s="868">
        <f t="shared" si="42"/>
        <v>5.9400000000000013</v>
      </c>
      <c r="O25" s="868">
        <f t="shared" si="42"/>
        <v>6.16</v>
      </c>
      <c r="P25" s="868">
        <f t="shared" si="42"/>
        <v>6.38</v>
      </c>
      <c r="Q25" s="868">
        <f t="shared" si="42"/>
        <v>6.6000000000000005</v>
      </c>
      <c r="R25" s="868">
        <f t="shared" si="42"/>
        <v>6.8200000000000012</v>
      </c>
      <c r="S25" s="868">
        <f t="shared" si="42"/>
        <v>7.0400000000000009</v>
      </c>
      <c r="T25" s="868">
        <f t="shared" si="42"/>
        <v>7.26</v>
      </c>
      <c r="U25" s="868">
        <f t="shared" si="42"/>
        <v>7.48</v>
      </c>
      <c r="V25" s="868">
        <f t="shared" si="42"/>
        <v>7.7000000000000011</v>
      </c>
      <c r="W25" s="868">
        <f t="shared" si="42"/>
        <v>7.9200000000000008</v>
      </c>
      <c r="X25" s="868">
        <f t="shared" si="42"/>
        <v>8.14</v>
      </c>
      <c r="Y25" s="868">
        <f t="shared" si="42"/>
        <v>8.36</v>
      </c>
      <c r="Z25" s="868">
        <f t="shared" si="42"/>
        <v>8.58</v>
      </c>
      <c r="AA25" s="868">
        <f t="shared" si="42"/>
        <v>8.8000000000000007</v>
      </c>
      <c r="AB25" s="868">
        <f t="shared" si="42"/>
        <v>9.02</v>
      </c>
      <c r="AC25" s="868">
        <f t="shared" si="42"/>
        <v>9.240000000000002</v>
      </c>
      <c r="AD25" s="868">
        <f t="shared" si="42"/>
        <v>9.4600000000000009</v>
      </c>
      <c r="AE25" s="868">
        <f t="shared" si="42"/>
        <v>9.6800000000000015</v>
      </c>
      <c r="AF25" s="1927">
        <f t="shared" si="42"/>
        <v>9.9</v>
      </c>
      <c r="AG25" s="1917">
        <v>2.2000000000000002</v>
      </c>
      <c r="AH25" s="1926">
        <f t="shared" si="42"/>
        <v>13.860000000000001</v>
      </c>
      <c r="AI25" s="868">
        <f t="shared" si="42"/>
        <v>14.96</v>
      </c>
      <c r="AJ25" s="868">
        <f t="shared" si="42"/>
        <v>16.060000000000002</v>
      </c>
      <c r="AK25" s="868">
        <f t="shared" si="42"/>
        <v>16.72</v>
      </c>
      <c r="AL25" s="868">
        <f t="shared" si="42"/>
        <v>17.16</v>
      </c>
      <c r="AM25" s="868">
        <f t="shared" si="42"/>
        <v>17.82</v>
      </c>
      <c r="AN25" s="868">
        <f t="shared" si="42"/>
        <v>19.14</v>
      </c>
      <c r="AO25" s="868">
        <f t="shared" si="42"/>
        <v>19.8</v>
      </c>
      <c r="AP25" s="868">
        <f t="shared" si="42"/>
        <v>20.239999999999998</v>
      </c>
      <c r="AQ25" s="868">
        <f t="shared" si="42"/>
        <v>20.460000000000004</v>
      </c>
      <c r="AR25" s="868">
        <f t="shared" si="42"/>
        <v>20.680000000000003</v>
      </c>
      <c r="AS25" s="868">
        <f t="shared" si="42"/>
        <v>20.900000000000002</v>
      </c>
      <c r="AT25" s="868">
        <f t="shared" si="42"/>
        <v>21.12</v>
      </c>
      <c r="AU25" s="868">
        <f t="shared" si="42"/>
        <v>21.34</v>
      </c>
      <c r="AV25" s="868">
        <f t="shared" si="42"/>
        <v>21.560000000000002</v>
      </c>
      <c r="AW25" s="868">
        <f t="shared" si="42"/>
        <v>21.78</v>
      </c>
      <c r="AX25" s="868">
        <f t="shared" si="42"/>
        <v>22.220000000000002</v>
      </c>
      <c r="AY25" s="868">
        <f t="shared" si="42"/>
        <v>22.44</v>
      </c>
      <c r="AZ25" s="868">
        <f t="shared" si="42"/>
        <v>22.880000000000003</v>
      </c>
      <c r="BA25" s="868">
        <f t="shared" si="42"/>
        <v>23.32</v>
      </c>
      <c r="BB25" s="868">
        <f t="shared" si="42"/>
        <v>23.760000000000005</v>
      </c>
      <c r="BC25" s="868">
        <f t="shared" si="42"/>
        <v>24.200000000000003</v>
      </c>
      <c r="BD25" s="868">
        <f t="shared" si="42"/>
        <v>25.3</v>
      </c>
      <c r="BE25" s="868">
        <f t="shared" si="42"/>
        <v>26.400000000000002</v>
      </c>
      <c r="BF25" s="868">
        <f t="shared" si="42"/>
        <v>27.500000000000004</v>
      </c>
      <c r="BG25" s="868">
        <f t="shared" si="42"/>
        <v>28.6</v>
      </c>
      <c r="BH25" s="868">
        <f t="shared" si="42"/>
        <v>29.700000000000003</v>
      </c>
      <c r="BI25" s="868">
        <f t="shared" si="42"/>
        <v>30.800000000000004</v>
      </c>
      <c r="BJ25" s="868">
        <f t="shared" si="42"/>
        <v>31.900000000000002</v>
      </c>
      <c r="BK25" s="868">
        <f t="shared" si="42"/>
        <v>33</v>
      </c>
      <c r="BL25" s="868">
        <f t="shared" ref="BL25:BT25" si="43">BL2*$A$25</f>
        <v>35.200000000000003</v>
      </c>
      <c r="BM25" s="868">
        <f t="shared" si="43"/>
        <v>37.400000000000006</v>
      </c>
      <c r="BN25" s="868">
        <f t="shared" si="43"/>
        <v>39.6</v>
      </c>
      <c r="BO25" s="868">
        <f t="shared" si="43"/>
        <v>41.800000000000004</v>
      </c>
      <c r="BP25" s="868">
        <f t="shared" si="43"/>
        <v>44</v>
      </c>
      <c r="BQ25" s="868">
        <f t="shared" si="43"/>
        <v>46.2</v>
      </c>
      <c r="BR25" s="868">
        <f t="shared" si="43"/>
        <v>48.400000000000006</v>
      </c>
      <c r="BS25" s="868">
        <f t="shared" si="43"/>
        <v>50.6</v>
      </c>
      <c r="BT25" s="1927">
        <f t="shared" si="43"/>
        <v>52.800000000000004</v>
      </c>
    </row>
    <row r="26" spans="1:72" s="870" customFormat="1" ht="33.75" customHeight="1">
      <c r="A26" s="1918">
        <v>2.2999999999999998</v>
      </c>
      <c r="B26" s="1926">
        <f>B2*$A$26</f>
        <v>3.4499999999999997</v>
      </c>
      <c r="C26" s="869">
        <f t="shared" ref="C26:BK26" si="44">C2*$A$26</f>
        <v>3.6799999999999997</v>
      </c>
      <c r="D26" s="868">
        <f t="shared" si="44"/>
        <v>3.9099999999999997</v>
      </c>
      <c r="E26" s="869">
        <f t="shared" si="44"/>
        <v>4.1399999999999997</v>
      </c>
      <c r="F26" s="868">
        <f t="shared" si="44"/>
        <v>4.3699999999999992</v>
      </c>
      <c r="G26" s="869">
        <f t="shared" si="44"/>
        <v>4.5999999999999996</v>
      </c>
      <c r="H26" s="868">
        <f t="shared" si="44"/>
        <v>4.83</v>
      </c>
      <c r="I26" s="869">
        <f t="shared" si="44"/>
        <v>5.0599999999999996</v>
      </c>
      <c r="J26" s="868">
        <f t="shared" si="44"/>
        <v>5.2899999999999991</v>
      </c>
      <c r="K26" s="869">
        <f t="shared" si="44"/>
        <v>5.52</v>
      </c>
      <c r="L26" s="868">
        <f t="shared" si="44"/>
        <v>5.75</v>
      </c>
      <c r="M26" s="869">
        <f t="shared" si="44"/>
        <v>5.9799999999999995</v>
      </c>
      <c r="N26" s="868">
        <f t="shared" si="44"/>
        <v>6.21</v>
      </c>
      <c r="O26" s="869">
        <f t="shared" si="44"/>
        <v>6.4399999999999995</v>
      </c>
      <c r="P26" s="868">
        <f t="shared" si="44"/>
        <v>6.669999999999999</v>
      </c>
      <c r="Q26" s="869">
        <f t="shared" si="44"/>
        <v>6.8999999999999995</v>
      </c>
      <c r="R26" s="868">
        <f t="shared" si="44"/>
        <v>7.13</v>
      </c>
      <c r="S26" s="869">
        <f t="shared" si="44"/>
        <v>7.3599999999999994</v>
      </c>
      <c r="T26" s="868">
        <f t="shared" si="44"/>
        <v>7.589999999999999</v>
      </c>
      <c r="U26" s="869">
        <f t="shared" si="44"/>
        <v>7.8199999999999994</v>
      </c>
      <c r="V26" s="868">
        <f t="shared" si="44"/>
        <v>8.0499999999999989</v>
      </c>
      <c r="W26" s="869">
        <f t="shared" si="44"/>
        <v>8.2799999999999994</v>
      </c>
      <c r="X26" s="868">
        <f t="shared" si="44"/>
        <v>8.51</v>
      </c>
      <c r="Y26" s="869">
        <f t="shared" si="44"/>
        <v>8.7399999999999984</v>
      </c>
      <c r="Z26" s="868">
        <f t="shared" si="44"/>
        <v>8.9699999999999989</v>
      </c>
      <c r="AA26" s="869">
        <f t="shared" si="44"/>
        <v>9.1999999999999993</v>
      </c>
      <c r="AB26" s="868">
        <f t="shared" si="44"/>
        <v>9.4299999999999979</v>
      </c>
      <c r="AC26" s="869">
        <f t="shared" si="44"/>
        <v>9.66</v>
      </c>
      <c r="AD26" s="868">
        <f t="shared" si="44"/>
        <v>9.8899999999999988</v>
      </c>
      <c r="AE26" s="869">
        <f t="shared" si="44"/>
        <v>10.119999999999999</v>
      </c>
      <c r="AF26" s="1927">
        <f t="shared" si="44"/>
        <v>10.35</v>
      </c>
      <c r="AG26" s="1918">
        <v>2.2999999999999998</v>
      </c>
      <c r="AH26" s="1936">
        <f t="shared" si="44"/>
        <v>14.489999999999998</v>
      </c>
      <c r="AI26" s="868">
        <f t="shared" si="44"/>
        <v>15.639999999999999</v>
      </c>
      <c r="AJ26" s="869">
        <f t="shared" si="44"/>
        <v>16.79</v>
      </c>
      <c r="AK26" s="868">
        <f t="shared" si="44"/>
        <v>17.479999999999997</v>
      </c>
      <c r="AL26" s="869">
        <f t="shared" si="44"/>
        <v>17.939999999999998</v>
      </c>
      <c r="AM26" s="868">
        <f t="shared" si="44"/>
        <v>18.63</v>
      </c>
      <c r="AN26" s="869">
        <f t="shared" si="44"/>
        <v>20.009999999999998</v>
      </c>
      <c r="AO26" s="868">
        <f t="shared" si="44"/>
        <v>20.7</v>
      </c>
      <c r="AP26" s="869">
        <f t="shared" si="44"/>
        <v>21.159999999999997</v>
      </c>
      <c r="AQ26" s="868">
        <f t="shared" si="44"/>
        <v>21.39</v>
      </c>
      <c r="AR26" s="869">
        <f t="shared" si="44"/>
        <v>21.619999999999997</v>
      </c>
      <c r="AS26" s="868">
        <f t="shared" si="44"/>
        <v>21.849999999999998</v>
      </c>
      <c r="AT26" s="869">
        <f t="shared" si="44"/>
        <v>22.08</v>
      </c>
      <c r="AU26" s="868">
        <f t="shared" si="44"/>
        <v>22.309999999999995</v>
      </c>
      <c r="AV26" s="869">
        <f t="shared" si="44"/>
        <v>22.54</v>
      </c>
      <c r="AW26" s="868">
        <f t="shared" si="44"/>
        <v>22.77</v>
      </c>
      <c r="AX26" s="869">
        <f t="shared" si="44"/>
        <v>23.229999999999997</v>
      </c>
      <c r="AY26" s="868">
        <f t="shared" si="44"/>
        <v>23.459999999999997</v>
      </c>
      <c r="AZ26" s="869">
        <f t="shared" si="44"/>
        <v>23.919999999999998</v>
      </c>
      <c r="BA26" s="868">
        <f t="shared" si="44"/>
        <v>24.38</v>
      </c>
      <c r="BB26" s="869">
        <f t="shared" si="44"/>
        <v>24.84</v>
      </c>
      <c r="BC26" s="868">
        <f t="shared" si="44"/>
        <v>25.299999999999997</v>
      </c>
      <c r="BD26" s="869">
        <f t="shared" si="44"/>
        <v>26.45</v>
      </c>
      <c r="BE26" s="868">
        <f t="shared" si="44"/>
        <v>27.599999999999998</v>
      </c>
      <c r="BF26" s="869">
        <f t="shared" si="44"/>
        <v>28.749999999999996</v>
      </c>
      <c r="BG26" s="868">
        <f t="shared" si="44"/>
        <v>29.9</v>
      </c>
      <c r="BH26" s="869">
        <f t="shared" si="44"/>
        <v>31.049999999999997</v>
      </c>
      <c r="BI26" s="868">
        <f t="shared" si="44"/>
        <v>32.199999999999996</v>
      </c>
      <c r="BJ26" s="869">
        <f t="shared" si="44"/>
        <v>33.349999999999994</v>
      </c>
      <c r="BK26" s="868">
        <f t="shared" si="44"/>
        <v>34.5</v>
      </c>
      <c r="BL26" s="869">
        <f t="shared" ref="BL26:BT26" si="45">BL2*$A$26</f>
        <v>36.799999999999997</v>
      </c>
      <c r="BM26" s="868">
        <f t="shared" si="45"/>
        <v>39.099999999999994</v>
      </c>
      <c r="BN26" s="869">
        <f t="shared" si="45"/>
        <v>41.4</v>
      </c>
      <c r="BO26" s="868">
        <f t="shared" si="45"/>
        <v>43.699999999999996</v>
      </c>
      <c r="BP26" s="869">
        <f t="shared" si="45"/>
        <v>46</v>
      </c>
      <c r="BQ26" s="868">
        <f t="shared" si="45"/>
        <v>48.3</v>
      </c>
      <c r="BR26" s="869">
        <f t="shared" si="45"/>
        <v>50.599999999999994</v>
      </c>
      <c r="BS26" s="868">
        <f t="shared" si="45"/>
        <v>52.9</v>
      </c>
      <c r="BT26" s="1937">
        <f t="shared" si="45"/>
        <v>55.199999999999996</v>
      </c>
    </row>
    <row r="27" spans="1:72" s="872" customFormat="1" ht="33.75" customHeight="1">
      <c r="A27" s="1917">
        <v>2.4</v>
      </c>
      <c r="B27" s="1926">
        <f>B2*$A$27</f>
        <v>3.5999999999999996</v>
      </c>
      <c r="C27" s="868">
        <f t="shared" ref="C27:BK27" si="46">C2*$A$27</f>
        <v>3.84</v>
      </c>
      <c r="D27" s="868">
        <f t="shared" si="46"/>
        <v>4.08</v>
      </c>
      <c r="E27" s="868">
        <f t="shared" si="46"/>
        <v>4.32</v>
      </c>
      <c r="F27" s="868">
        <f t="shared" si="46"/>
        <v>4.5599999999999996</v>
      </c>
      <c r="G27" s="868">
        <f t="shared" si="46"/>
        <v>4.8</v>
      </c>
      <c r="H27" s="868">
        <f t="shared" si="46"/>
        <v>5.04</v>
      </c>
      <c r="I27" s="868">
        <f t="shared" si="46"/>
        <v>5.28</v>
      </c>
      <c r="J27" s="868">
        <f t="shared" si="46"/>
        <v>5.52</v>
      </c>
      <c r="K27" s="868">
        <f t="shared" si="46"/>
        <v>5.76</v>
      </c>
      <c r="L27" s="868">
        <f t="shared" si="46"/>
        <v>6</v>
      </c>
      <c r="M27" s="868">
        <f t="shared" si="46"/>
        <v>6.24</v>
      </c>
      <c r="N27" s="868">
        <f t="shared" si="46"/>
        <v>6.48</v>
      </c>
      <c r="O27" s="868">
        <f t="shared" si="46"/>
        <v>6.72</v>
      </c>
      <c r="P27" s="868">
        <f t="shared" si="46"/>
        <v>6.96</v>
      </c>
      <c r="Q27" s="868">
        <f t="shared" si="46"/>
        <v>7.1999999999999993</v>
      </c>
      <c r="R27" s="868">
        <f t="shared" si="46"/>
        <v>7.4399999999999995</v>
      </c>
      <c r="S27" s="868">
        <f t="shared" si="46"/>
        <v>7.68</v>
      </c>
      <c r="T27" s="868">
        <f t="shared" si="46"/>
        <v>7.919999999999999</v>
      </c>
      <c r="U27" s="868">
        <f t="shared" si="46"/>
        <v>8.16</v>
      </c>
      <c r="V27" s="868">
        <f t="shared" si="46"/>
        <v>8.4</v>
      </c>
      <c r="W27" s="868">
        <f t="shared" si="46"/>
        <v>8.64</v>
      </c>
      <c r="X27" s="868">
        <f t="shared" si="46"/>
        <v>8.8800000000000008</v>
      </c>
      <c r="Y27" s="868">
        <f t="shared" si="46"/>
        <v>9.1199999999999992</v>
      </c>
      <c r="Z27" s="868">
        <f t="shared" si="46"/>
        <v>9.36</v>
      </c>
      <c r="AA27" s="868">
        <f t="shared" si="46"/>
        <v>9.6</v>
      </c>
      <c r="AB27" s="868">
        <f t="shared" si="46"/>
        <v>9.8399999999999981</v>
      </c>
      <c r="AC27" s="868">
        <f t="shared" si="46"/>
        <v>10.08</v>
      </c>
      <c r="AD27" s="868">
        <f t="shared" si="46"/>
        <v>10.319999999999999</v>
      </c>
      <c r="AE27" s="868">
        <f t="shared" si="46"/>
        <v>10.56</v>
      </c>
      <c r="AF27" s="1927">
        <f t="shared" si="46"/>
        <v>10.799999999999999</v>
      </c>
      <c r="AG27" s="1917">
        <v>2.4</v>
      </c>
      <c r="AH27" s="1926">
        <f t="shared" si="46"/>
        <v>15.12</v>
      </c>
      <c r="AI27" s="868">
        <f t="shared" si="46"/>
        <v>16.32</v>
      </c>
      <c r="AJ27" s="868">
        <f t="shared" si="46"/>
        <v>17.52</v>
      </c>
      <c r="AK27" s="868">
        <f t="shared" si="46"/>
        <v>18.239999999999998</v>
      </c>
      <c r="AL27" s="868">
        <f t="shared" si="46"/>
        <v>18.72</v>
      </c>
      <c r="AM27" s="868">
        <f t="shared" si="46"/>
        <v>19.439999999999998</v>
      </c>
      <c r="AN27" s="868">
        <f t="shared" si="46"/>
        <v>20.88</v>
      </c>
      <c r="AO27" s="868">
        <f t="shared" si="46"/>
        <v>21.599999999999998</v>
      </c>
      <c r="AP27" s="868">
        <f t="shared" si="46"/>
        <v>22.08</v>
      </c>
      <c r="AQ27" s="868">
        <f t="shared" si="46"/>
        <v>22.32</v>
      </c>
      <c r="AR27" s="868">
        <f t="shared" si="46"/>
        <v>22.56</v>
      </c>
      <c r="AS27" s="868">
        <f t="shared" si="46"/>
        <v>22.8</v>
      </c>
      <c r="AT27" s="868">
        <f t="shared" si="46"/>
        <v>23.04</v>
      </c>
      <c r="AU27" s="868">
        <f t="shared" si="46"/>
        <v>23.279999999999998</v>
      </c>
      <c r="AV27" s="868">
        <f t="shared" si="46"/>
        <v>23.52</v>
      </c>
      <c r="AW27" s="868">
        <f t="shared" si="46"/>
        <v>23.76</v>
      </c>
      <c r="AX27" s="868">
        <f t="shared" si="46"/>
        <v>24.24</v>
      </c>
      <c r="AY27" s="868">
        <f t="shared" si="46"/>
        <v>24.479999999999997</v>
      </c>
      <c r="AZ27" s="868">
        <f t="shared" si="46"/>
        <v>24.96</v>
      </c>
      <c r="BA27" s="868">
        <f t="shared" si="46"/>
        <v>25.439999999999998</v>
      </c>
      <c r="BB27" s="868">
        <f t="shared" si="46"/>
        <v>25.92</v>
      </c>
      <c r="BC27" s="868">
        <f t="shared" si="46"/>
        <v>26.4</v>
      </c>
      <c r="BD27" s="868">
        <f t="shared" si="46"/>
        <v>27.599999999999998</v>
      </c>
      <c r="BE27" s="868">
        <f t="shared" si="46"/>
        <v>28.799999999999997</v>
      </c>
      <c r="BF27" s="868">
        <f t="shared" si="46"/>
        <v>30</v>
      </c>
      <c r="BG27" s="868">
        <f t="shared" si="46"/>
        <v>31.2</v>
      </c>
      <c r="BH27" s="868">
        <f t="shared" si="46"/>
        <v>32.4</v>
      </c>
      <c r="BI27" s="868">
        <f t="shared" si="46"/>
        <v>33.6</v>
      </c>
      <c r="BJ27" s="868">
        <f t="shared" si="46"/>
        <v>34.799999999999997</v>
      </c>
      <c r="BK27" s="868">
        <f t="shared" si="46"/>
        <v>36</v>
      </c>
      <c r="BL27" s="868">
        <f t="shared" ref="BL27:BT27" si="47">BL2*$A$27</f>
        <v>38.4</v>
      </c>
      <c r="BM27" s="868">
        <f t="shared" si="47"/>
        <v>40.799999999999997</v>
      </c>
      <c r="BN27" s="868">
        <f t="shared" si="47"/>
        <v>43.199999999999996</v>
      </c>
      <c r="BO27" s="868">
        <f t="shared" si="47"/>
        <v>45.6</v>
      </c>
      <c r="BP27" s="868">
        <f t="shared" si="47"/>
        <v>48</v>
      </c>
      <c r="BQ27" s="868">
        <f t="shared" si="47"/>
        <v>50.4</v>
      </c>
      <c r="BR27" s="868">
        <f t="shared" si="47"/>
        <v>52.8</v>
      </c>
      <c r="BS27" s="868">
        <f t="shared" si="47"/>
        <v>55.199999999999996</v>
      </c>
      <c r="BT27" s="1927">
        <f t="shared" si="47"/>
        <v>57.599999999999994</v>
      </c>
    </row>
    <row r="28" spans="1:72" s="870" customFormat="1" ht="33.75" customHeight="1">
      <c r="A28" s="1918">
        <v>2.5</v>
      </c>
      <c r="B28" s="1926">
        <f>B2*$A$28</f>
        <v>3.75</v>
      </c>
      <c r="C28" s="869">
        <f t="shared" ref="C28:BK28" si="48">C2*$A$28</f>
        <v>4</v>
      </c>
      <c r="D28" s="868">
        <f t="shared" si="48"/>
        <v>4.25</v>
      </c>
      <c r="E28" s="869">
        <f t="shared" si="48"/>
        <v>4.5</v>
      </c>
      <c r="F28" s="868">
        <f t="shared" si="48"/>
        <v>4.75</v>
      </c>
      <c r="G28" s="869">
        <f t="shared" si="48"/>
        <v>5</v>
      </c>
      <c r="H28" s="868">
        <f t="shared" si="48"/>
        <v>5.25</v>
      </c>
      <c r="I28" s="869">
        <f t="shared" si="48"/>
        <v>5.5</v>
      </c>
      <c r="J28" s="868">
        <f t="shared" si="48"/>
        <v>5.75</v>
      </c>
      <c r="K28" s="869">
        <f t="shared" si="48"/>
        <v>6</v>
      </c>
      <c r="L28" s="868">
        <f t="shared" si="48"/>
        <v>6.25</v>
      </c>
      <c r="M28" s="869">
        <f t="shared" si="48"/>
        <v>6.5</v>
      </c>
      <c r="N28" s="868">
        <f t="shared" si="48"/>
        <v>6.75</v>
      </c>
      <c r="O28" s="869">
        <f t="shared" si="48"/>
        <v>7</v>
      </c>
      <c r="P28" s="868">
        <f t="shared" si="48"/>
        <v>7.25</v>
      </c>
      <c r="Q28" s="869">
        <f t="shared" si="48"/>
        <v>7.5</v>
      </c>
      <c r="R28" s="868">
        <f t="shared" si="48"/>
        <v>7.75</v>
      </c>
      <c r="S28" s="869">
        <f t="shared" si="48"/>
        <v>8</v>
      </c>
      <c r="T28" s="868">
        <f t="shared" si="48"/>
        <v>8.25</v>
      </c>
      <c r="U28" s="869">
        <f t="shared" si="48"/>
        <v>8.5</v>
      </c>
      <c r="V28" s="868">
        <f t="shared" si="48"/>
        <v>8.75</v>
      </c>
      <c r="W28" s="869">
        <f t="shared" si="48"/>
        <v>9</v>
      </c>
      <c r="X28" s="868">
        <f t="shared" si="48"/>
        <v>9.25</v>
      </c>
      <c r="Y28" s="869">
        <f t="shared" si="48"/>
        <v>9.5</v>
      </c>
      <c r="Z28" s="868">
        <f t="shared" si="48"/>
        <v>9.75</v>
      </c>
      <c r="AA28" s="869">
        <f t="shared" si="48"/>
        <v>10</v>
      </c>
      <c r="AB28" s="868">
        <f t="shared" si="48"/>
        <v>10.25</v>
      </c>
      <c r="AC28" s="869">
        <f t="shared" si="48"/>
        <v>10.5</v>
      </c>
      <c r="AD28" s="868">
        <f t="shared" si="48"/>
        <v>10.75</v>
      </c>
      <c r="AE28" s="869">
        <f t="shared" si="48"/>
        <v>11</v>
      </c>
      <c r="AF28" s="1927">
        <f t="shared" si="48"/>
        <v>11.25</v>
      </c>
      <c r="AG28" s="1918">
        <v>2.5</v>
      </c>
      <c r="AH28" s="1936">
        <f t="shared" si="48"/>
        <v>15.75</v>
      </c>
      <c r="AI28" s="868">
        <f t="shared" si="48"/>
        <v>17</v>
      </c>
      <c r="AJ28" s="869">
        <f t="shared" si="48"/>
        <v>18.25</v>
      </c>
      <c r="AK28" s="868">
        <f t="shared" si="48"/>
        <v>19</v>
      </c>
      <c r="AL28" s="869">
        <f t="shared" si="48"/>
        <v>19.5</v>
      </c>
      <c r="AM28" s="868">
        <f t="shared" si="48"/>
        <v>20.25</v>
      </c>
      <c r="AN28" s="869">
        <f t="shared" si="48"/>
        <v>21.75</v>
      </c>
      <c r="AO28" s="868">
        <f t="shared" si="48"/>
        <v>22.5</v>
      </c>
      <c r="AP28" s="869">
        <f t="shared" si="48"/>
        <v>23</v>
      </c>
      <c r="AQ28" s="868">
        <f t="shared" si="48"/>
        <v>23.25</v>
      </c>
      <c r="AR28" s="869">
        <f t="shared" si="48"/>
        <v>23.5</v>
      </c>
      <c r="AS28" s="868">
        <f t="shared" si="48"/>
        <v>23.75</v>
      </c>
      <c r="AT28" s="869">
        <f t="shared" si="48"/>
        <v>24</v>
      </c>
      <c r="AU28" s="868">
        <f t="shared" si="48"/>
        <v>24.25</v>
      </c>
      <c r="AV28" s="869">
        <f t="shared" si="48"/>
        <v>24.5</v>
      </c>
      <c r="AW28" s="868">
        <f t="shared" si="48"/>
        <v>24.75</v>
      </c>
      <c r="AX28" s="869">
        <f t="shared" si="48"/>
        <v>25.25</v>
      </c>
      <c r="AY28" s="868">
        <f t="shared" si="48"/>
        <v>25.5</v>
      </c>
      <c r="AZ28" s="869">
        <f t="shared" si="48"/>
        <v>26</v>
      </c>
      <c r="BA28" s="868">
        <f t="shared" si="48"/>
        <v>26.5</v>
      </c>
      <c r="BB28" s="869">
        <f t="shared" si="48"/>
        <v>27</v>
      </c>
      <c r="BC28" s="868">
        <f t="shared" si="48"/>
        <v>27.5</v>
      </c>
      <c r="BD28" s="869">
        <f t="shared" si="48"/>
        <v>28.75</v>
      </c>
      <c r="BE28" s="868">
        <f t="shared" si="48"/>
        <v>30</v>
      </c>
      <c r="BF28" s="869">
        <f t="shared" si="48"/>
        <v>31.25</v>
      </c>
      <c r="BG28" s="868">
        <f t="shared" si="48"/>
        <v>32.5</v>
      </c>
      <c r="BH28" s="869">
        <f t="shared" si="48"/>
        <v>33.75</v>
      </c>
      <c r="BI28" s="868">
        <f t="shared" si="48"/>
        <v>35</v>
      </c>
      <c r="BJ28" s="869">
        <f t="shared" si="48"/>
        <v>36.25</v>
      </c>
      <c r="BK28" s="868">
        <f t="shared" si="48"/>
        <v>37.5</v>
      </c>
      <c r="BL28" s="869">
        <f t="shared" ref="BL28:BT28" si="49">BL2*$A$28</f>
        <v>40</v>
      </c>
      <c r="BM28" s="868">
        <f t="shared" si="49"/>
        <v>42.5</v>
      </c>
      <c r="BN28" s="869">
        <f t="shared" si="49"/>
        <v>45</v>
      </c>
      <c r="BO28" s="868">
        <f t="shared" si="49"/>
        <v>47.5</v>
      </c>
      <c r="BP28" s="869">
        <f t="shared" si="49"/>
        <v>50</v>
      </c>
      <c r="BQ28" s="868">
        <f t="shared" si="49"/>
        <v>52.5</v>
      </c>
      <c r="BR28" s="869">
        <f t="shared" si="49"/>
        <v>55</v>
      </c>
      <c r="BS28" s="868">
        <f t="shared" si="49"/>
        <v>57.5</v>
      </c>
      <c r="BT28" s="1937">
        <f t="shared" si="49"/>
        <v>60</v>
      </c>
    </row>
    <row r="29" spans="1:72" s="872" customFormat="1" ht="33.75" customHeight="1">
      <c r="A29" s="1917">
        <v>2.6</v>
      </c>
      <c r="B29" s="1926">
        <f>B2*$A$29</f>
        <v>3.9000000000000004</v>
      </c>
      <c r="C29" s="868">
        <f t="shared" ref="C29:BK29" si="50">C2*$A$29</f>
        <v>4.16</v>
      </c>
      <c r="D29" s="868">
        <f t="shared" si="50"/>
        <v>4.42</v>
      </c>
      <c r="E29" s="868">
        <f t="shared" si="50"/>
        <v>4.6800000000000006</v>
      </c>
      <c r="F29" s="868">
        <f t="shared" si="50"/>
        <v>4.9399999999999995</v>
      </c>
      <c r="G29" s="868">
        <f t="shared" si="50"/>
        <v>5.2</v>
      </c>
      <c r="H29" s="868">
        <f t="shared" si="50"/>
        <v>5.4600000000000009</v>
      </c>
      <c r="I29" s="868">
        <f t="shared" si="50"/>
        <v>5.7200000000000006</v>
      </c>
      <c r="J29" s="868">
        <f t="shared" si="50"/>
        <v>5.9799999999999995</v>
      </c>
      <c r="K29" s="868">
        <f t="shared" si="50"/>
        <v>6.24</v>
      </c>
      <c r="L29" s="868">
        <f t="shared" si="50"/>
        <v>6.5</v>
      </c>
      <c r="M29" s="868">
        <f t="shared" si="50"/>
        <v>6.7600000000000007</v>
      </c>
      <c r="N29" s="868">
        <f t="shared" si="50"/>
        <v>7.0200000000000005</v>
      </c>
      <c r="O29" s="868">
        <f t="shared" si="50"/>
        <v>7.2799999999999994</v>
      </c>
      <c r="P29" s="868">
        <f t="shared" si="50"/>
        <v>7.54</v>
      </c>
      <c r="Q29" s="868">
        <f t="shared" si="50"/>
        <v>7.8000000000000007</v>
      </c>
      <c r="R29" s="868">
        <f t="shared" si="50"/>
        <v>8.06</v>
      </c>
      <c r="S29" s="868">
        <f t="shared" si="50"/>
        <v>8.32</v>
      </c>
      <c r="T29" s="868">
        <f t="shared" si="50"/>
        <v>8.58</v>
      </c>
      <c r="U29" s="868">
        <f t="shared" si="50"/>
        <v>8.84</v>
      </c>
      <c r="V29" s="868">
        <f t="shared" si="50"/>
        <v>9.1</v>
      </c>
      <c r="W29" s="868">
        <f t="shared" si="50"/>
        <v>9.3600000000000012</v>
      </c>
      <c r="X29" s="868">
        <f t="shared" si="50"/>
        <v>9.620000000000001</v>
      </c>
      <c r="Y29" s="868">
        <f t="shared" si="50"/>
        <v>9.879999999999999</v>
      </c>
      <c r="Z29" s="868">
        <f t="shared" si="50"/>
        <v>10.14</v>
      </c>
      <c r="AA29" s="868">
        <f t="shared" si="50"/>
        <v>10.4</v>
      </c>
      <c r="AB29" s="868">
        <f t="shared" si="50"/>
        <v>10.66</v>
      </c>
      <c r="AC29" s="868">
        <f t="shared" si="50"/>
        <v>10.920000000000002</v>
      </c>
      <c r="AD29" s="868">
        <f t="shared" si="50"/>
        <v>11.18</v>
      </c>
      <c r="AE29" s="868">
        <f t="shared" si="50"/>
        <v>11.440000000000001</v>
      </c>
      <c r="AF29" s="1927">
        <f t="shared" si="50"/>
        <v>11.700000000000001</v>
      </c>
      <c r="AG29" s="1917">
        <v>2.6</v>
      </c>
      <c r="AH29" s="1926">
        <f t="shared" si="50"/>
        <v>16.38</v>
      </c>
      <c r="AI29" s="868">
        <f t="shared" si="50"/>
        <v>17.68</v>
      </c>
      <c r="AJ29" s="868">
        <f t="shared" si="50"/>
        <v>18.98</v>
      </c>
      <c r="AK29" s="868">
        <f t="shared" si="50"/>
        <v>19.759999999999998</v>
      </c>
      <c r="AL29" s="868">
        <f t="shared" si="50"/>
        <v>20.28</v>
      </c>
      <c r="AM29" s="868">
        <f t="shared" si="50"/>
        <v>21.06</v>
      </c>
      <c r="AN29" s="868">
        <f t="shared" si="50"/>
        <v>22.619999999999997</v>
      </c>
      <c r="AO29" s="868">
        <f t="shared" si="50"/>
        <v>23.400000000000002</v>
      </c>
      <c r="AP29" s="868">
        <f t="shared" si="50"/>
        <v>23.919999999999998</v>
      </c>
      <c r="AQ29" s="868">
        <f t="shared" si="50"/>
        <v>24.180000000000003</v>
      </c>
      <c r="AR29" s="868">
        <f t="shared" si="50"/>
        <v>24.44</v>
      </c>
      <c r="AS29" s="868">
        <f t="shared" si="50"/>
        <v>24.7</v>
      </c>
      <c r="AT29" s="868">
        <f t="shared" si="50"/>
        <v>24.96</v>
      </c>
      <c r="AU29" s="868">
        <f t="shared" si="50"/>
        <v>25.22</v>
      </c>
      <c r="AV29" s="868">
        <f t="shared" si="50"/>
        <v>25.480000000000004</v>
      </c>
      <c r="AW29" s="868">
        <f t="shared" si="50"/>
        <v>25.740000000000002</v>
      </c>
      <c r="AX29" s="868">
        <f t="shared" si="50"/>
        <v>26.26</v>
      </c>
      <c r="AY29" s="868">
        <f t="shared" si="50"/>
        <v>26.52</v>
      </c>
      <c r="AZ29" s="868">
        <f t="shared" si="50"/>
        <v>27.040000000000003</v>
      </c>
      <c r="BA29" s="868">
        <f t="shared" si="50"/>
        <v>27.56</v>
      </c>
      <c r="BB29" s="868">
        <f t="shared" si="50"/>
        <v>28.080000000000002</v>
      </c>
      <c r="BC29" s="868">
        <f t="shared" si="50"/>
        <v>28.6</v>
      </c>
      <c r="BD29" s="868">
        <f t="shared" si="50"/>
        <v>29.900000000000002</v>
      </c>
      <c r="BE29" s="868">
        <f t="shared" si="50"/>
        <v>31.200000000000003</v>
      </c>
      <c r="BF29" s="868">
        <f t="shared" si="50"/>
        <v>32.5</v>
      </c>
      <c r="BG29" s="868">
        <f t="shared" si="50"/>
        <v>33.800000000000004</v>
      </c>
      <c r="BH29" s="868">
        <f t="shared" si="50"/>
        <v>35.1</v>
      </c>
      <c r="BI29" s="868">
        <f t="shared" si="50"/>
        <v>36.4</v>
      </c>
      <c r="BJ29" s="868">
        <f t="shared" si="50"/>
        <v>37.700000000000003</v>
      </c>
      <c r="BK29" s="868">
        <f t="shared" si="50"/>
        <v>39</v>
      </c>
      <c r="BL29" s="868">
        <f t="shared" ref="BL29:BT29" si="51">BL2*$A$29</f>
        <v>41.6</v>
      </c>
      <c r="BM29" s="868">
        <f t="shared" si="51"/>
        <v>44.2</v>
      </c>
      <c r="BN29" s="868">
        <f t="shared" si="51"/>
        <v>46.800000000000004</v>
      </c>
      <c r="BO29" s="868">
        <f t="shared" si="51"/>
        <v>49.4</v>
      </c>
      <c r="BP29" s="868">
        <f t="shared" si="51"/>
        <v>52</v>
      </c>
      <c r="BQ29" s="868">
        <f t="shared" si="51"/>
        <v>54.6</v>
      </c>
      <c r="BR29" s="868">
        <f t="shared" si="51"/>
        <v>57.2</v>
      </c>
      <c r="BS29" s="868">
        <f t="shared" si="51"/>
        <v>59.800000000000004</v>
      </c>
      <c r="BT29" s="1927">
        <f t="shared" si="51"/>
        <v>62.400000000000006</v>
      </c>
    </row>
    <row r="30" spans="1:72" s="870" customFormat="1" ht="33.75" customHeight="1">
      <c r="A30" s="1918">
        <v>2.7</v>
      </c>
      <c r="B30" s="1926">
        <f>B2*$A$30</f>
        <v>4.0500000000000007</v>
      </c>
      <c r="C30" s="869">
        <f t="shared" ref="C30:BK30" si="52">C2*$A$30</f>
        <v>4.32</v>
      </c>
      <c r="D30" s="868">
        <f t="shared" si="52"/>
        <v>4.59</v>
      </c>
      <c r="E30" s="869">
        <f t="shared" si="52"/>
        <v>4.8600000000000003</v>
      </c>
      <c r="F30" s="868">
        <f t="shared" si="52"/>
        <v>5.13</v>
      </c>
      <c r="G30" s="869">
        <f t="shared" si="52"/>
        <v>5.4</v>
      </c>
      <c r="H30" s="868">
        <f t="shared" si="52"/>
        <v>5.6700000000000008</v>
      </c>
      <c r="I30" s="869">
        <f t="shared" si="52"/>
        <v>5.9400000000000013</v>
      </c>
      <c r="J30" s="868">
        <f t="shared" si="52"/>
        <v>6.21</v>
      </c>
      <c r="K30" s="869">
        <f t="shared" si="52"/>
        <v>6.48</v>
      </c>
      <c r="L30" s="868">
        <f t="shared" si="52"/>
        <v>6.75</v>
      </c>
      <c r="M30" s="869">
        <f t="shared" si="52"/>
        <v>7.0200000000000005</v>
      </c>
      <c r="N30" s="868">
        <f t="shared" si="52"/>
        <v>7.2900000000000009</v>
      </c>
      <c r="O30" s="869">
        <f t="shared" si="52"/>
        <v>7.56</v>
      </c>
      <c r="P30" s="868">
        <f t="shared" si="52"/>
        <v>7.83</v>
      </c>
      <c r="Q30" s="869">
        <f t="shared" si="52"/>
        <v>8.1000000000000014</v>
      </c>
      <c r="R30" s="868">
        <f t="shared" si="52"/>
        <v>8.370000000000001</v>
      </c>
      <c r="S30" s="869">
        <f t="shared" si="52"/>
        <v>8.64</v>
      </c>
      <c r="T30" s="868">
        <f t="shared" si="52"/>
        <v>8.91</v>
      </c>
      <c r="U30" s="869">
        <f t="shared" si="52"/>
        <v>9.18</v>
      </c>
      <c r="V30" s="868">
        <f t="shared" si="52"/>
        <v>9.4500000000000011</v>
      </c>
      <c r="W30" s="869">
        <f t="shared" si="52"/>
        <v>9.7200000000000006</v>
      </c>
      <c r="X30" s="868">
        <f t="shared" si="52"/>
        <v>9.990000000000002</v>
      </c>
      <c r="Y30" s="869">
        <f t="shared" si="52"/>
        <v>10.26</v>
      </c>
      <c r="Z30" s="868">
        <f t="shared" si="52"/>
        <v>10.530000000000001</v>
      </c>
      <c r="AA30" s="869">
        <f t="shared" si="52"/>
        <v>10.8</v>
      </c>
      <c r="AB30" s="868">
        <f t="shared" si="52"/>
        <v>11.07</v>
      </c>
      <c r="AC30" s="869">
        <f t="shared" si="52"/>
        <v>11.340000000000002</v>
      </c>
      <c r="AD30" s="868">
        <f t="shared" si="52"/>
        <v>11.61</v>
      </c>
      <c r="AE30" s="869">
        <f t="shared" si="52"/>
        <v>11.880000000000003</v>
      </c>
      <c r="AF30" s="1927">
        <f t="shared" si="52"/>
        <v>12.15</v>
      </c>
      <c r="AG30" s="1918">
        <v>2.7</v>
      </c>
      <c r="AH30" s="1936">
        <f t="shared" si="52"/>
        <v>17.010000000000002</v>
      </c>
      <c r="AI30" s="868">
        <f t="shared" si="52"/>
        <v>18.36</v>
      </c>
      <c r="AJ30" s="869">
        <f t="shared" si="52"/>
        <v>19.71</v>
      </c>
      <c r="AK30" s="868">
        <f t="shared" si="52"/>
        <v>20.52</v>
      </c>
      <c r="AL30" s="869">
        <f t="shared" si="52"/>
        <v>21.060000000000002</v>
      </c>
      <c r="AM30" s="868">
        <f t="shared" si="52"/>
        <v>21.87</v>
      </c>
      <c r="AN30" s="869">
        <f t="shared" si="52"/>
        <v>23.49</v>
      </c>
      <c r="AO30" s="868">
        <f t="shared" si="52"/>
        <v>24.3</v>
      </c>
      <c r="AP30" s="869">
        <f t="shared" si="52"/>
        <v>24.84</v>
      </c>
      <c r="AQ30" s="868">
        <f t="shared" si="52"/>
        <v>25.110000000000003</v>
      </c>
      <c r="AR30" s="869">
        <f t="shared" si="52"/>
        <v>25.380000000000003</v>
      </c>
      <c r="AS30" s="868">
        <f t="shared" si="52"/>
        <v>25.650000000000002</v>
      </c>
      <c r="AT30" s="869">
        <f t="shared" si="52"/>
        <v>25.92</v>
      </c>
      <c r="AU30" s="868">
        <f t="shared" si="52"/>
        <v>26.19</v>
      </c>
      <c r="AV30" s="869">
        <f t="shared" si="52"/>
        <v>26.460000000000004</v>
      </c>
      <c r="AW30" s="868">
        <f t="shared" si="52"/>
        <v>26.730000000000004</v>
      </c>
      <c r="AX30" s="869">
        <f t="shared" si="52"/>
        <v>27.27</v>
      </c>
      <c r="AY30" s="868">
        <f t="shared" si="52"/>
        <v>27.54</v>
      </c>
      <c r="AZ30" s="869">
        <f t="shared" si="52"/>
        <v>28.080000000000002</v>
      </c>
      <c r="BA30" s="868">
        <f t="shared" si="52"/>
        <v>28.62</v>
      </c>
      <c r="BB30" s="869">
        <f t="shared" si="52"/>
        <v>29.160000000000004</v>
      </c>
      <c r="BC30" s="868">
        <f t="shared" si="52"/>
        <v>29.700000000000003</v>
      </c>
      <c r="BD30" s="869">
        <f t="shared" si="52"/>
        <v>31.05</v>
      </c>
      <c r="BE30" s="868">
        <f t="shared" si="52"/>
        <v>32.400000000000006</v>
      </c>
      <c r="BF30" s="869">
        <f t="shared" si="52"/>
        <v>33.75</v>
      </c>
      <c r="BG30" s="868">
        <f t="shared" si="52"/>
        <v>35.1</v>
      </c>
      <c r="BH30" s="869">
        <f t="shared" si="52"/>
        <v>36.450000000000003</v>
      </c>
      <c r="BI30" s="868">
        <f t="shared" si="52"/>
        <v>37.800000000000004</v>
      </c>
      <c r="BJ30" s="869">
        <f t="shared" si="52"/>
        <v>39.150000000000006</v>
      </c>
      <c r="BK30" s="868">
        <f t="shared" si="52"/>
        <v>40.5</v>
      </c>
      <c r="BL30" s="869">
        <f t="shared" ref="BL30:BT30" si="53">BL2*$A$30</f>
        <v>43.2</v>
      </c>
      <c r="BM30" s="868">
        <f t="shared" si="53"/>
        <v>45.900000000000006</v>
      </c>
      <c r="BN30" s="869">
        <f t="shared" si="53"/>
        <v>48.6</v>
      </c>
      <c r="BO30" s="868">
        <f t="shared" si="53"/>
        <v>51.300000000000004</v>
      </c>
      <c r="BP30" s="869">
        <f t="shared" si="53"/>
        <v>54</v>
      </c>
      <c r="BQ30" s="868">
        <f t="shared" si="53"/>
        <v>56.7</v>
      </c>
      <c r="BR30" s="869">
        <f t="shared" si="53"/>
        <v>59.400000000000006</v>
      </c>
      <c r="BS30" s="868">
        <f t="shared" si="53"/>
        <v>62.1</v>
      </c>
      <c r="BT30" s="1937">
        <f t="shared" si="53"/>
        <v>64.800000000000011</v>
      </c>
    </row>
    <row r="31" spans="1:72" s="872" customFormat="1" ht="33.75" customHeight="1">
      <c r="A31" s="1917">
        <v>2.8</v>
      </c>
      <c r="B31" s="1926">
        <f>B2*$A$31</f>
        <v>4.1999999999999993</v>
      </c>
      <c r="C31" s="868">
        <f t="shared" ref="C31:BK31" si="54">C2*$A$31</f>
        <v>4.4799999999999995</v>
      </c>
      <c r="D31" s="868">
        <f t="shared" si="54"/>
        <v>4.76</v>
      </c>
      <c r="E31" s="868">
        <f t="shared" si="54"/>
        <v>5.04</v>
      </c>
      <c r="F31" s="868">
        <f t="shared" si="54"/>
        <v>5.3199999999999994</v>
      </c>
      <c r="G31" s="868">
        <f t="shared" si="54"/>
        <v>5.6</v>
      </c>
      <c r="H31" s="868">
        <f t="shared" si="54"/>
        <v>5.88</v>
      </c>
      <c r="I31" s="868">
        <f t="shared" si="54"/>
        <v>6.16</v>
      </c>
      <c r="J31" s="868">
        <f t="shared" si="54"/>
        <v>6.4399999999999995</v>
      </c>
      <c r="K31" s="868">
        <f t="shared" si="54"/>
        <v>6.72</v>
      </c>
      <c r="L31" s="868">
        <f t="shared" si="54"/>
        <v>7</v>
      </c>
      <c r="M31" s="868">
        <f t="shared" si="54"/>
        <v>7.2799999999999994</v>
      </c>
      <c r="N31" s="868">
        <f t="shared" si="54"/>
        <v>7.56</v>
      </c>
      <c r="O31" s="868">
        <f t="shared" si="54"/>
        <v>7.839999999999999</v>
      </c>
      <c r="P31" s="868">
        <f t="shared" si="54"/>
        <v>8.1199999999999992</v>
      </c>
      <c r="Q31" s="868">
        <f t="shared" si="54"/>
        <v>8.3999999999999986</v>
      </c>
      <c r="R31" s="868">
        <f t="shared" si="54"/>
        <v>8.68</v>
      </c>
      <c r="S31" s="868">
        <f t="shared" si="54"/>
        <v>8.9599999999999991</v>
      </c>
      <c r="T31" s="868">
        <f t="shared" si="54"/>
        <v>9.2399999999999984</v>
      </c>
      <c r="U31" s="868">
        <f t="shared" si="54"/>
        <v>9.52</v>
      </c>
      <c r="V31" s="868">
        <f t="shared" si="54"/>
        <v>9.7999999999999989</v>
      </c>
      <c r="W31" s="868">
        <f t="shared" si="54"/>
        <v>10.08</v>
      </c>
      <c r="X31" s="868">
        <f t="shared" si="54"/>
        <v>10.36</v>
      </c>
      <c r="Y31" s="868">
        <f t="shared" si="54"/>
        <v>10.639999999999999</v>
      </c>
      <c r="Z31" s="868">
        <f t="shared" si="54"/>
        <v>10.92</v>
      </c>
      <c r="AA31" s="868">
        <f t="shared" si="54"/>
        <v>11.2</v>
      </c>
      <c r="AB31" s="868">
        <f t="shared" si="54"/>
        <v>11.479999999999999</v>
      </c>
      <c r="AC31" s="868">
        <f t="shared" si="54"/>
        <v>11.76</v>
      </c>
      <c r="AD31" s="868">
        <f t="shared" si="54"/>
        <v>12.04</v>
      </c>
      <c r="AE31" s="868">
        <f t="shared" si="54"/>
        <v>12.32</v>
      </c>
      <c r="AF31" s="1927">
        <f t="shared" si="54"/>
        <v>12.6</v>
      </c>
      <c r="AG31" s="1917">
        <v>2.8</v>
      </c>
      <c r="AH31" s="1926">
        <f t="shared" si="54"/>
        <v>17.639999999999997</v>
      </c>
      <c r="AI31" s="868">
        <f t="shared" si="54"/>
        <v>19.04</v>
      </c>
      <c r="AJ31" s="868">
        <f t="shared" si="54"/>
        <v>20.439999999999998</v>
      </c>
      <c r="AK31" s="868">
        <f t="shared" si="54"/>
        <v>21.279999999999998</v>
      </c>
      <c r="AL31" s="868">
        <f t="shared" si="54"/>
        <v>21.84</v>
      </c>
      <c r="AM31" s="868">
        <f t="shared" si="54"/>
        <v>22.679999999999996</v>
      </c>
      <c r="AN31" s="868">
        <f t="shared" si="54"/>
        <v>24.359999999999996</v>
      </c>
      <c r="AO31" s="868">
        <f t="shared" si="54"/>
        <v>25.2</v>
      </c>
      <c r="AP31" s="868">
        <f t="shared" si="54"/>
        <v>25.759999999999998</v>
      </c>
      <c r="AQ31" s="868">
        <f t="shared" si="54"/>
        <v>26.04</v>
      </c>
      <c r="AR31" s="868">
        <f t="shared" si="54"/>
        <v>26.32</v>
      </c>
      <c r="AS31" s="868">
        <f t="shared" si="54"/>
        <v>26.599999999999998</v>
      </c>
      <c r="AT31" s="868">
        <f t="shared" si="54"/>
        <v>26.88</v>
      </c>
      <c r="AU31" s="868">
        <f t="shared" si="54"/>
        <v>27.159999999999997</v>
      </c>
      <c r="AV31" s="868">
        <f t="shared" si="54"/>
        <v>27.44</v>
      </c>
      <c r="AW31" s="868">
        <f t="shared" si="54"/>
        <v>27.72</v>
      </c>
      <c r="AX31" s="868">
        <f t="shared" si="54"/>
        <v>28.279999999999998</v>
      </c>
      <c r="AY31" s="868">
        <f t="shared" si="54"/>
        <v>28.559999999999995</v>
      </c>
      <c r="AZ31" s="868">
        <f t="shared" si="54"/>
        <v>29.119999999999997</v>
      </c>
      <c r="BA31" s="868">
        <f t="shared" si="54"/>
        <v>29.679999999999996</v>
      </c>
      <c r="BB31" s="868">
        <f t="shared" si="54"/>
        <v>30.24</v>
      </c>
      <c r="BC31" s="868">
        <f t="shared" si="54"/>
        <v>30.799999999999997</v>
      </c>
      <c r="BD31" s="868">
        <f t="shared" si="54"/>
        <v>32.199999999999996</v>
      </c>
      <c r="BE31" s="868">
        <f t="shared" si="54"/>
        <v>33.599999999999994</v>
      </c>
      <c r="BF31" s="868">
        <f t="shared" si="54"/>
        <v>35</v>
      </c>
      <c r="BG31" s="868">
        <f t="shared" si="54"/>
        <v>36.4</v>
      </c>
      <c r="BH31" s="868">
        <f t="shared" si="54"/>
        <v>37.799999999999997</v>
      </c>
      <c r="BI31" s="868">
        <f t="shared" si="54"/>
        <v>39.199999999999996</v>
      </c>
      <c r="BJ31" s="868">
        <f t="shared" si="54"/>
        <v>40.599999999999994</v>
      </c>
      <c r="BK31" s="868">
        <f t="shared" si="54"/>
        <v>42</v>
      </c>
      <c r="BL31" s="868">
        <f t="shared" ref="BL31:BT31" si="55">BL2*$A$31</f>
        <v>44.8</v>
      </c>
      <c r="BM31" s="868">
        <f t="shared" si="55"/>
        <v>47.599999999999994</v>
      </c>
      <c r="BN31" s="868">
        <f t="shared" si="55"/>
        <v>50.4</v>
      </c>
      <c r="BO31" s="868">
        <f t="shared" si="55"/>
        <v>53.199999999999996</v>
      </c>
      <c r="BP31" s="868">
        <f t="shared" si="55"/>
        <v>56</v>
      </c>
      <c r="BQ31" s="868">
        <f t="shared" si="55"/>
        <v>58.8</v>
      </c>
      <c r="BR31" s="868">
        <f t="shared" si="55"/>
        <v>61.599999999999994</v>
      </c>
      <c r="BS31" s="868">
        <f t="shared" si="55"/>
        <v>64.399999999999991</v>
      </c>
      <c r="BT31" s="1927">
        <f t="shared" si="55"/>
        <v>67.199999999999989</v>
      </c>
    </row>
    <row r="32" spans="1:72" s="870" customFormat="1" ht="33.75" customHeight="1">
      <c r="A32" s="1918">
        <v>2.9</v>
      </c>
      <c r="B32" s="1926">
        <f>B2*$A$32</f>
        <v>4.3499999999999996</v>
      </c>
      <c r="C32" s="869">
        <f t="shared" ref="C32:BK32" si="56">C2*$A$32</f>
        <v>4.6399999999999997</v>
      </c>
      <c r="D32" s="868">
        <f t="shared" si="56"/>
        <v>4.93</v>
      </c>
      <c r="E32" s="869">
        <f t="shared" si="56"/>
        <v>5.22</v>
      </c>
      <c r="F32" s="868">
        <f t="shared" si="56"/>
        <v>5.51</v>
      </c>
      <c r="G32" s="869">
        <f t="shared" si="56"/>
        <v>5.8</v>
      </c>
      <c r="H32" s="868">
        <f t="shared" si="56"/>
        <v>6.09</v>
      </c>
      <c r="I32" s="869">
        <f t="shared" si="56"/>
        <v>6.38</v>
      </c>
      <c r="J32" s="868">
        <f t="shared" si="56"/>
        <v>6.669999999999999</v>
      </c>
      <c r="K32" s="869">
        <f t="shared" si="56"/>
        <v>6.96</v>
      </c>
      <c r="L32" s="868">
        <f t="shared" si="56"/>
        <v>7.25</v>
      </c>
      <c r="M32" s="869">
        <f t="shared" si="56"/>
        <v>7.54</v>
      </c>
      <c r="N32" s="868">
        <f t="shared" si="56"/>
        <v>7.83</v>
      </c>
      <c r="O32" s="869">
        <f t="shared" si="56"/>
        <v>8.1199999999999992</v>
      </c>
      <c r="P32" s="868">
        <f t="shared" si="56"/>
        <v>8.41</v>
      </c>
      <c r="Q32" s="869">
        <f t="shared" si="56"/>
        <v>8.6999999999999993</v>
      </c>
      <c r="R32" s="868">
        <f t="shared" si="56"/>
        <v>8.99</v>
      </c>
      <c r="S32" s="869">
        <f t="shared" si="56"/>
        <v>9.2799999999999994</v>
      </c>
      <c r="T32" s="868">
        <f t="shared" si="56"/>
        <v>9.5699999999999985</v>
      </c>
      <c r="U32" s="869">
        <f t="shared" si="56"/>
        <v>9.86</v>
      </c>
      <c r="V32" s="868">
        <f t="shared" si="56"/>
        <v>10.15</v>
      </c>
      <c r="W32" s="869">
        <f t="shared" si="56"/>
        <v>10.44</v>
      </c>
      <c r="X32" s="868">
        <f t="shared" si="56"/>
        <v>10.73</v>
      </c>
      <c r="Y32" s="869">
        <f t="shared" si="56"/>
        <v>11.02</v>
      </c>
      <c r="Z32" s="868">
        <f t="shared" si="56"/>
        <v>11.309999999999999</v>
      </c>
      <c r="AA32" s="869">
        <f t="shared" si="56"/>
        <v>11.6</v>
      </c>
      <c r="AB32" s="868">
        <f t="shared" si="56"/>
        <v>11.889999999999999</v>
      </c>
      <c r="AC32" s="869">
        <f t="shared" si="56"/>
        <v>12.18</v>
      </c>
      <c r="AD32" s="868">
        <f t="shared" si="56"/>
        <v>12.469999999999999</v>
      </c>
      <c r="AE32" s="869">
        <f t="shared" si="56"/>
        <v>12.76</v>
      </c>
      <c r="AF32" s="1927">
        <f t="shared" si="56"/>
        <v>13.049999999999999</v>
      </c>
      <c r="AG32" s="1918">
        <v>2.9</v>
      </c>
      <c r="AH32" s="1936">
        <f t="shared" si="56"/>
        <v>18.27</v>
      </c>
      <c r="AI32" s="868">
        <f t="shared" si="56"/>
        <v>19.72</v>
      </c>
      <c r="AJ32" s="869">
        <f t="shared" si="56"/>
        <v>21.169999999999998</v>
      </c>
      <c r="AK32" s="868">
        <f t="shared" si="56"/>
        <v>22.04</v>
      </c>
      <c r="AL32" s="869">
        <f t="shared" si="56"/>
        <v>22.619999999999997</v>
      </c>
      <c r="AM32" s="868">
        <f t="shared" si="56"/>
        <v>23.49</v>
      </c>
      <c r="AN32" s="869">
        <f t="shared" si="56"/>
        <v>25.229999999999997</v>
      </c>
      <c r="AO32" s="868">
        <f t="shared" si="56"/>
        <v>26.099999999999998</v>
      </c>
      <c r="AP32" s="869">
        <f t="shared" si="56"/>
        <v>26.679999999999996</v>
      </c>
      <c r="AQ32" s="868">
        <f t="shared" si="56"/>
        <v>26.970000000000002</v>
      </c>
      <c r="AR32" s="869">
        <f t="shared" si="56"/>
        <v>27.26</v>
      </c>
      <c r="AS32" s="868">
        <f t="shared" si="56"/>
        <v>27.55</v>
      </c>
      <c r="AT32" s="869">
        <f t="shared" si="56"/>
        <v>27.84</v>
      </c>
      <c r="AU32" s="868">
        <f t="shared" si="56"/>
        <v>28.129999999999995</v>
      </c>
      <c r="AV32" s="869">
        <f t="shared" si="56"/>
        <v>28.42</v>
      </c>
      <c r="AW32" s="868">
        <f t="shared" si="56"/>
        <v>28.71</v>
      </c>
      <c r="AX32" s="869">
        <f t="shared" si="56"/>
        <v>29.29</v>
      </c>
      <c r="AY32" s="868">
        <f t="shared" si="56"/>
        <v>29.58</v>
      </c>
      <c r="AZ32" s="869">
        <f t="shared" si="56"/>
        <v>30.16</v>
      </c>
      <c r="BA32" s="868">
        <f t="shared" si="56"/>
        <v>30.74</v>
      </c>
      <c r="BB32" s="869">
        <f t="shared" si="56"/>
        <v>31.32</v>
      </c>
      <c r="BC32" s="868">
        <f t="shared" si="56"/>
        <v>31.9</v>
      </c>
      <c r="BD32" s="869">
        <f t="shared" si="56"/>
        <v>33.35</v>
      </c>
      <c r="BE32" s="868">
        <f t="shared" si="56"/>
        <v>34.799999999999997</v>
      </c>
      <c r="BF32" s="869">
        <f t="shared" si="56"/>
        <v>36.25</v>
      </c>
      <c r="BG32" s="868">
        <f t="shared" si="56"/>
        <v>37.699999999999996</v>
      </c>
      <c r="BH32" s="869">
        <f t="shared" si="56"/>
        <v>39.15</v>
      </c>
      <c r="BI32" s="868">
        <f t="shared" si="56"/>
        <v>40.6</v>
      </c>
      <c r="BJ32" s="869">
        <f t="shared" si="56"/>
        <v>42.05</v>
      </c>
      <c r="BK32" s="868">
        <f t="shared" si="56"/>
        <v>43.5</v>
      </c>
      <c r="BL32" s="869">
        <f t="shared" ref="BL32:BT32" si="57">BL2*$A$32</f>
        <v>46.4</v>
      </c>
      <c r="BM32" s="868">
        <f t="shared" si="57"/>
        <v>49.3</v>
      </c>
      <c r="BN32" s="869">
        <f t="shared" si="57"/>
        <v>52.199999999999996</v>
      </c>
      <c r="BO32" s="868">
        <f t="shared" si="57"/>
        <v>55.1</v>
      </c>
      <c r="BP32" s="869">
        <f t="shared" si="57"/>
        <v>58</v>
      </c>
      <c r="BQ32" s="868">
        <f t="shared" si="57"/>
        <v>60.9</v>
      </c>
      <c r="BR32" s="869">
        <f t="shared" si="57"/>
        <v>63.8</v>
      </c>
      <c r="BS32" s="868">
        <f t="shared" si="57"/>
        <v>66.7</v>
      </c>
      <c r="BT32" s="1937">
        <f t="shared" si="57"/>
        <v>69.599999999999994</v>
      </c>
    </row>
    <row r="33" spans="1:72" s="872" customFormat="1" ht="33.75" customHeight="1">
      <c r="A33" s="1917">
        <v>3</v>
      </c>
      <c r="B33" s="1926">
        <f>B2*$A$33</f>
        <v>4.5</v>
      </c>
      <c r="C33" s="868">
        <f t="shared" ref="C33:BK33" si="58">C2*$A$33</f>
        <v>4.8000000000000007</v>
      </c>
      <c r="D33" s="868">
        <f t="shared" si="58"/>
        <v>5.0999999999999996</v>
      </c>
      <c r="E33" s="868">
        <f t="shared" si="58"/>
        <v>5.4</v>
      </c>
      <c r="F33" s="868">
        <f t="shared" si="58"/>
        <v>5.6999999999999993</v>
      </c>
      <c r="G33" s="868">
        <f t="shared" si="58"/>
        <v>6</v>
      </c>
      <c r="H33" s="868">
        <f t="shared" si="58"/>
        <v>6.3000000000000007</v>
      </c>
      <c r="I33" s="868">
        <f t="shared" si="58"/>
        <v>6.6000000000000005</v>
      </c>
      <c r="J33" s="868">
        <f t="shared" si="58"/>
        <v>6.8999999999999995</v>
      </c>
      <c r="K33" s="868">
        <f t="shared" si="58"/>
        <v>7.1999999999999993</v>
      </c>
      <c r="L33" s="868">
        <f t="shared" si="58"/>
        <v>7.5</v>
      </c>
      <c r="M33" s="868">
        <f t="shared" si="58"/>
        <v>7.8000000000000007</v>
      </c>
      <c r="N33" s="868">
        <f t="shared" si="58"/>
        <v>8.1000000000000014</v>
      </c>
      <c r="O33" s="868">
        <f t="shared" si="58"/>
        <v>8.3999999999999986</v>
      </c>
      <c r="P33" s="868">
        <f t="shared" si="58"/>
        <v>8.6999999999999993</v>
      </c>
      <c r="Q33" s="868">
        <f t="shared" si="58"/>
        <v>9</v>
      </c>
      <c r="R33" s="868">
        <f t="shared" si="58"/>
        <v>9.3000000000000007</v>
      </c>
      <c r="S33" s="868">
        <f t="shared" si="58"/>
        <v>9.6000000000000014</v>
      </c>
      <c r="T33" s="868">
        <f t="shared" si="58"/>
        <v>9.8999999999999986</v>
      </c>
      <c r="U33" s="868">
        <f t="shared" si="58"/>
        <v>10.199999999999999</v>
      </c>
      <c r="V33" s="868">
        <f t="shared" si="58"/>
        <v>10.5</v>
      </c>
      <c r="W33" s="868">
        <f t="shared" si="58"/>
        <v>10.8</v>
      </c>
      <c r="X33" s="868">
        <f t="shared" si="58"/>
        <v>11.100000000000001</v>
      </c>
      <c r="Y33" s="868">
        <f t="shared" si="58"/>
        <v>11.399999999999999</v>
      </c>
      <c r="Z33" s="868">
        <f t="shared" si="58"/>
        <v>11.7</v>
      </c>
      <c r="AA33" s="868">
        <f t="shared" si="58"/>
        <v>12</v>
      </c>
      <c r="AB33" s="868">
        <f t="shared" si="58"/>
        <v>12.299999999999999</v>
      </c>
      <c r="AC33" s="868">
        <f t="shared" si="58"/>
        <v>12.600000000000001</v>
      </c>
      <c r="AD33" s="868">
        <f t="shared" si="58"/>
        <v>12.899999999999999</v>
      </c>
      <c r="AE33" s="868">
        <f t="shared" si="58"/>
        <v>13.200000000000001</v>
      </c>
      <c r="AF33" s="1927">
        <f t="shared" si="58"/>
        <v>13.5</v>
      </c>
      <c r="AG33" s="1917">
        <v>3</v>
      </c>
      <c r="AH33" s="1926">
        <f t="shared" si="58"/>
        <v>18.899999999999999</v>
      </c>
      <c r="AI33" s="868">
        <f t="shared" si="58"/>
        <v>20.399999999999999</v>
      </c>
      <c r="AJ33" s="868">
        <f t="shared" si="58"/>
        <v>21.9</v>
      </c>
      <c r="AK33" s="868">
        <f t="shared" si="58"/>
        <v>22.799999999999997</v>
      </c>
      <c r="AL33" s="868">
        <f t="shared" si="58"/>
        <v>23.4</v>
      </c>
      <c r="AM33" s="868">
        <f t="shared" si="58"/>
        <v>24.299999999999997</v>
      </c>
      <c r="AN33" s="868">
        <f t="shared" si="58"/>
        <v>26.099999999999998</v>
      </c>
      <c r="AO33" s="868">
        <f t="shared" si="58"/>
        <v>27</v>
      </c>
      <c r="AP33" s="868">
        <f t="shared" si="58"/>
        <v>27.599999999999998</v>
      </c>
      <c r="AQ33" s="868">
        <f t="shared" si="58"/>
        <v>27.900000000000002</v>
      </c>
      <c r="AR33" s="868">
        <f t="shared" si="58"/>
        <v>28.200000000000003</v>
      </c>
      <c r="AS33" s="868">
        <f t="shared" si="58"/>
        <v>28.5</v>
      </c>
      <c r="AT33" s="868">
        <f t="shared" si="58"/>
        <v>28.799999999999997</v>
      </c>
      <c r="AU33" s="868">
        <f t="shared" si="58"/>
        <v>29.099999999999998</v>
      </c>
      <c r="AV33" s="868">
        <f t="shared" si="58"/>
        <v>29.400000000000002</v>
      </c>
      <c r="AW33" s="868">
        <f t="shared" si="58"/>
        <v>29.700000000000003</v>
      </c>
      <c r="AX33" s="868">
        <f t="shared" si="58"/>
        <v>30.299999999999997</v>
      </c>
      <c r="AY33" s="868">
        <f t="shared" si="58"/>
        <v>30.599999999999998</v>
      </c>
      <c r="AZ33" s="868">
        <f t="shared" si="58"/>
        <v>31.200000000000003</v>
      </c>
      <c r="BA33" s="868">
        <f t="shared" si="58"/>
        <v>31.799999999999997</v>
      </c>
      <c r="BB33" s="868">
        <f t="shared" si="58"/>
        <v>32.400000000000006</v>
      </c>
      <c r="BC33" s="868">
        <f t="shared" si="58"/>
        <v>33</v>
      </c>
      <c r="BD33" s="868">
        <f t="shared" si="58"/>
        <v>34.5</v>
      </c>
      <c r="BE33" s="868">
        <f t="shared" si="58"/>
        <v>36</v>
      </c>
      <c r="BF33" s="868">
        <f t="shared" si="58"/>
        <v>37.5</v>
      </c>
      <c r="BG33" s="868">
        <f t="shared" si="58"/>
        <v>39</v>
      </c>
      <c r="BH33" s="868">
        <f t="shared" si="58"/>
        <v>40.5</v>
      </c>
      <c r="BI33" s="868">
        <f t="shared" si="58"/>
        <v>42</v>
      </c>
      <c r="BJ33" s="868">
        <f t="shared" si="58"/>
        <v>43.5</v>
      </c>
      <c r="BK33" s="868">
        <f t="shared" si="58"/>
        <v>45</v>
      </c>
      <c r="BL33" s="868">
        <f t="shared" ref="BL33:BT33" si="59">BL2*$A$33</f>
        <v>48</v>
      </c>
      <c r="BM33" s="868">
        <f t="shared" si="59"/>
        <v>51</v>
      </c>
      <c r="BN33" s="868">
        <f t="shared" si="59"/>
        <v>54</v>
      </c>
      <c r="BO33" s="868">
        <f t="shared" si="59"/>
        <v>57</v>
      </c>
      <c r="BP33" s="868">
        <f t="shared" si="59"/>
        <v>60</v>
      </c>
      <c r="BQ33" s="868">
        <f t="shared" si="59"/>
        <v>63</v>
      </c>
      <c r="BR33" s="868">
        <f t="shared" si="59"/>
        <v>66</v>
      </c>
      <c r="BS33" s="868">
        <f t="shared" si="59"/>
        <v>69</v>
      </c>
      <c r="BT33" s="1927">
        <f t="shared" si="59"/>
        <v>72</v>
      </c>
    </row>
    <row r="34" spans="1:72" s="870" customFormat="1" ht="33.75" customHeight="1">
      <c r="A34" s="1918">
        <v>3.1</v>
      </c>
      <c r="B34" s="1926">
        <f>B2*$A$34</f>
        <v>4.6500000000000004</v>
      </c>
      <c r="C34" s="869">
        <f t="shared" ref="C34:BK34" si="60">C2*$A$34</f>
        <v>4.9600000000000009</v>
      </c>
      <c r="D34" s="868">
        <f t="shared" si="60"/>
        <v>5.27</v>
      </c>
      <c r="E34" s="869">
        <f t="shared" si="60"/>
        <v>5.58</v>
      </c>
      <c r="F34" s="868">
        <f t="shared" si="60"/>
        <v>5.89</v>
      </c>
      <c r="G34" s="869">
        <f t="shared" si="60"/>
        <v>6.2</v>
      </c>
      <c r="H34" s="868">
        <f t="shared" si="60"/>
        <v>6.5100000000000007</v>
      </c>
      <c r="I34" s="869">
        <f t="shared" si="60"/>
        <v>6.8200000000000012</v>
      </c>
      <c r="J34" s="868">
        <f t="shared" si="60"/>
        <v>7.13</v>
      </c>
      <c r="K34" s="869">
        <f t="shared" si="60"/>
        <v>7.4399999999999995</v>
      </c>
      <c r="L34" s="868">
        <f t="shared" si="60"/>
        <v>7.75</v>
      </c>
      <c r="M34" s="869">
        <f t="shared" si="60"/>
        <v>8.06</v>
      </c>
      <c r="N34" s="868">
        <f t="shared" si="60"/>
        <v>8.370000000000001</v>
      </c>
      <c r="O34" s="869">
        <f t="shared" si="60"/>
        <v>8.68</v>
      </c>
      <c r="P34" s="868">
        <f t="shared" si="60"/>
        <v>8.99</v>
      </c>
      <c r="Q34" s="869">
        <f t="shared" si="60"/>
        <v>9.3000000000000007</v>
      </c>
      <c r="R34" s="868">
        <f t="shared" si="60"/>
        <v>9.6100000000000012</v>
      </c>
      <c r="S34" s="869">
        <f t="shared" si="60"/>
        <v>9.9200000000000017</v>
      </c>
      <c r="T34" s="868">
        <f t="shared" si="60"/>
        <v>10.23</v>
      </c>
      <c r="U34" s="869">
        <f t="shared" si="60"/>
        <v>10.54</v>
      </c>
      <c r="V34" s="868">
        <f t="shared" si="60"/>
        <v>10.85</v>
      </c>
      <c r="W34" s="869">
        <f t="shared" si="60"/>
        <v>11.16</v>
      </c>
      <c r="X34" s="868">
        <f t="shared" si="60"/>
        <v>11.47</v>
      </c>
      <c r="Y34" s="869">
        <f t="shared" si="60"/>
        <v>11.78</v>
      </c>
      <c r="Z34" s="868">
        <f t="shared" si="60"/>
        <v>12.09</v>
      </c>
      <c r="AA34" s="869">
        <f t="shared" si="60"/>
        <v>12.4</v>
      </c>
      <c r="AB34" s="868">
        <f t="shared" si="60"/>
        <v>12.709999999999999</v>
      </c>
      <c r="AC34" s="869">
        <f t="shared" si="60"/>
        <v>13.020000000000001</v>
      </c>
      <c r="AD34" s="868">
        <f t="shared" si="60"/>
        <v>13.33</v>
      </c>
      <c r="AE34" s="869">
        <f t="shared" si="60"/>
        <v>13.640000000000002</v>
      </c>
      <c r="AF34" s="1927">
        <f t="shared" si="60"/>
        <v>13.950000000000001</v>
      </c>
      <c r="AG34" s="1918">
        <v>3.1</v>
      </c>
      <c r="AH34" s="1936">
        <f t="shared" si="60"/>
        <v>19.53</v>
      </c>
      <c r="AI34" s="868">
        <f t="shared" si="60"/>
        <v>21.08</v>
      </c>
      <c r="AJ34" s="869">
        <f t="shared" si="60"/>
        <v>22.63</v>
      </c>
      <c r="AK34" s="868">
        <f t="shared" si="60"/>
        <v>23.56</v>
      </c>
      <c r="AL34" s="869">
        <f t="shared" si="60"/>
        <v>24.18</v>
      </c>
      <c r="AM34" s="868">
        <f t="shared" si="60"/>
        <v>25.11</v>
      </c>
      <c r="AN34" s="869">
        <f t="shared" si="60"/>
        <v>26.97</v>
      </c>
      <c r="AO34" s="868">
        <f t="shared" si="60"/>
        <v>27.900000000000002</v>
      </c>
      <c r="AP34" s="869">
        <f t="shared" si="60"/>
        <v>28.52</v>
      </c>
      <c r="AQ34" s="868">
        <f t="shared" si="60"/>
        <v>28.830000000000002</v>
      </c>
      <c r="AR34" s="869">
        <f t="shared" si="60"/>
        <v>29.14</v>
      </c>
      <c r="AS34" s="868">
        <f t="shared" si="60"/>
        <v>29.45</v>
      </c>
      <c r="AT34" s="869">
        <f t="shared" si="60"/>
        <v>29.759999999999998</v>
      </c>
      <c r="AU34" s="868">
        <f t="shared" si="60"/>
        <v>30.07</v>
      </c>
      <c r="AV34" s="869">
        <f t="shared" si="60"/>
        <v>30.380000000000003</v>
      </c>
      <c r="AW34" s="868">
        <f t="shared" si="60"/>
        <v>30.69</v>
      </c>
      <c r="AX34" s="869">
        <f t="shared" si="60"/>
        <v>31.31</v>
      </c>
      <c r="AY34" s="868">
        <f t="shared" si="60"/>
        <v>31.619999999999997</v>
      </c>
      <c r="AZ34" s="869">
        <f t="shared" si="60"/>
        <v>32.24</v>
      </c>
      <c r="BA34" s="868">
        <f t="shared" si="60"/>
        <v>32.86</v>
      </c>
      <c r="BB34" s="869">
        <f t="shared" si="60"/>
        <v>33.480000000000004</v>
      </c>
      <c r="BC34" s="868">
        <f t="shared" si="60"/>
        <v>34.1</v>
      </c>
      <c r="BD34" s="869">
        <f t="shared" si="60"/>
        <v>35.65</v>
      </c>
      <c r="BE34" s="868">
        <f t="shared" si="60"/>
        <v>37.200000000000003</v>
      </c>
      <c r="BF34" s="869">
        <f t="shared" si="60"/>
        <v>38.75</v>
      </c>
      <c r="BG34" s="868">
        <f t="shared" si="60"/>
        <v>40.300000000000004</v>
      </c>
      <c r="BH34" s="869">
        <f t="shared" si="60"/>
        <v>41.85</v>
      </c>
      <c r="BI34" s="868">
        <f t="shared" si="60"/>
        <v>43.4</v>
      </c>
      <c r="BJ34" s="869">
        <f t="shared" si="60"/>
        <v>44.95</v>
      </c>
      <c r="BK34" s="868">
        <f t="shared" si="60"/>
        <v>46.5</v>
      </c>
      <c r="BL34" s="869">
        <f t="shared" ref="BL34:BT34" si="61">BL2*$A$34</f>
        <v>49.6</v>
      </c>
      <c r="BM34" s="868">
        <f t="shared" si="61"/>
        <v>52.7</v>
      </c>
      <c r="BN34" s="869">
        <f t="shared" si="61"/>
        <v>55.800000000000004</v>
      </c>
      <c r="BO34" s="868">
        <f t="shared" si="61"/>
        <v>58.9</v>
      </c>
      <c r="BP34" s="869">
        <f t="shared" si="61"/>
        <v>62</v>
      </c>
      <c r="BQ34" s="868">
        <f t="shared" si="61"/>
        <v>65.100000000000009</v>
      </c>
      <c r="BR34" s="869">
        <f t="shared" si="61"/>
        <v>68.2</v>
      </c>
      <c r="BS34" s="868">
        <f t="shared" si="61"/>
        <v>71.3</v>
      </c>
      <c r="BT34" s="1937">
        <f t="shared" si="61"/>
        <v>74.400000000000006</v>
      </c>
    </row>
    <row r="35" spans="1:72" s="872" customFormat="1" ht="33.75" customHeight="1">
      <c r="A35" s="1917">
        <v>3.2</v>
      </c>
      <c r="B35" s="1926">
        <f>B2*$A$35</f>
        <v>4.8000000000000007</v>
      </c>
      <c r="C35" s="868">
        <f t="shared" ref="C35:BK35" si="62">C2*$A$35</f>
        <v>5.120000000000001</v>
      </c>
      <c r="D35" s="868">
        <f t="shared" si="62"/>
        <v>5.44</v>
      </c>
      <c r="E35" s="868">
        <f t="shared" si="62"/>
        <v>5.7600000000000007</v>
      </c>
      <c r="F35" s="868">
        <f t="shared" si="62"/>
        <v>6.08</v>
      </c>
      <c r="G35" s="868">
        <f t="shared" si="62"/>
        <v>6.4</v>
      </c>
      <c r="H35" s="868">
        <f t="shared" si="62"/>
        <v>6.7200000000000006</v>
      </c>
      <c r="I35" s="868">
        <f t="shared" si="62"/>
        <v>7.0400000000000009</v>
      </c>
      <c r="J35" s="868">
        <f t="shared" si="62"/>
        <v>7.3599999999999994</v>
      </c>
      <c r="K35" s="868">
        <f t="shared" si="62"/>
        <v>7.68</v>
      </c>
      <c r="L35" s="868">
        <f t="shared" si="62"/>
        <v>8</v>
      </c>
      <c r="M35" s="868">
        <f t="shared" si="62"/>
        <v>8.32</v>
      </c>
      <c r="N35" s="868">
        <f t="shared" si="62"/>
        <v>8.64</v>
      </c>
      <c r="O35" s="868">
        <f t="shared" si="62"/>
        <v>8.9599999999999991</v>
      </c>
      <c r="P35" s="868">
        <f t="shared" si="62"/>
        <v>9.2799999999999994</v>
      </c>
      <c r="Q35" s="868">
        <f t="shared" si="62"/>
        <v>9.6000000000000014</v>
      </c>
      <c r="R35" s="868">
        <f t="shared" si="62"/>
        <v>9.9200000000000017</v>
      </c>
      <c r="S35" s="868">
        <f t="shared" si="62"/>
        <v>10.240000000000002</v>
      </c>
      <c r="T35" s="868">
        <f t="shared" si="62"/>
        <v>10.56</v>
      </c>
      <c r="U35" s="868">
        <f t="shared" si="62"/>
        <v>10.88</v>
      </c>
      <c r="V35" s="868">
        <f t="shared" si="62"/>
        <v>11.200000000000001</v>
      </c>
      <c r="W35" s="868">
        <f t="shared" si="62"/>
        <v>11.520000000000001</v>
      </c>
      <c r="X35" s="868">
        <f t="shared" si="62"/>
        <v>11.840000000000002</v>
      </c>
      <c r="Y35" s="868">
        <f t="shared" si="62"/>
        <v>12.16</v>
      </c>
      <c r="Z35" s="868">
        <f t="shared" si="62"/>
        <v>12.48</v>
      </c>
      <c r="AA35" s="868">
        <f t="shared" si="62"/>
        <v>12.8</v>
      </c>
      <c r="AB35" s="868">
        <f t="shared" si="62"/>
        <v>13.12</v>
      </c>
      <c r="AC35" s="868">
        <f t="shared" si="62"/>
        <v>13.440000000000001</v>
      </c>
      <c r="AD35" s="868">
        <f t="shared" si="62"/>
        <v>13.76</v>
      </c>
      <c r="AE35" s="868">
        <f t="shared" si="62"/>
        <v>14.080000000000002</v>
      </c>
      <c r="AF35" s="1927">
        <f t="shared" si="62"/>
        <v>14.4</v>
      </c>
      <c r="AG35" s="1917">
        <v>3.2</v>
      </c>
      <c r="AH35" s="1926">
        <f t="shared" si="62"/>
        <v>20.16</v>
      </c>
      <c r="AI35" s="868">
        <f t="shared" si="62"/>
        <v>21.76</v>
      </c>
      <c r="AJ35" s="868">
        <f t="shared" si="62"/>
        <v>23.36</v>
      </c>
      <c r="AK35" s="868">
        <f t="shared" si="62"/>
        <v>24.32</v>
      </c>
      <c r="AL35" s="868">
        <f t="shared" si="62"/>
        <v>24.96</v>
      </c>
      <c r="AM35" s="868">
        <f t="shared" si="62"/>
        <v>25.92</v>
      </c>
      <c r="AN35" s="868">
        <f t="shared" si="62"/>
        <v>27.84</v>
      </c>
      <c r="AO35" s="868">
        <f t="shared" si="62"/>
        <v>28.8</v>
      </c>
      <c r="AP35" s="868">
        <f t="shared" si="62"/>
        <v>29.439999999999998</v>
      </c>
      <c r="AQ35" s="868">
        <f t="shared" si="62"/>
        <v>29.760000000000005</v>
      </c>
      <c r="AR35" s="868">
        <f t="shared" si="62"/>
        <v>30.080000000000002</v>
      </c>
      <c r="AS35" s="868">
        <f t="shared" si="62"/>
        <v>30.400000000000002</v>
      </c>
      <c r="AT35" s="868">
        <f t="shared" si="62"/>
        <v>30.72</v>
      </c>
      <c r="AU35" s="868">
        <f t="shared" si="62"/>
        <v>31.04</v>
      </c>
      <c r="AV35" s="868">
        <f t="shared" si="62"/>
        <v>31.360000000000003</v>
      </c>
      <c r="AW35" s="868">
        <f t="shared" si="62"/>
        <v>31.680000000000003</v>
      </c>
      <c r="AX35" s="868">
        <f t="shared" si="62"/>
        <v>32.32</v>
      </c>
      <c r="AY35" s="868">
        <f t="shared" si="62"/>
        <v>32.64</v>
      </c>
      <c r="AZ35" s="868">
        <f t="shared" si="62"/>
        <v>33.28</v>
      </c>
      <c r="BA35" s="868">
        <f t="shared" si="62"/>
        <v>33.92</v>
      </c>
      <c r="BB35" s="868">
        <f t="shared" si="62"/>
        <v>34.56</v>
      </c>
      <c r="BC35" s="868">
        <f t="shared" si="62"/>
        <v>35.200000000000003</v>
      </c>
      <c r="BD35" s="868">
        <f t="shared" si="62"/>
        <v>36.800000000000004</v>
      </c>
      <c r="BE35" s="868">
        <f t="shared" si="62"/>
        <v>38.400000000000006</v>
      </c>
      <c r="BF35" s="868">
        <f t="shared" si="62"/>
        <v>40</v>
      </c>
      <c r="BG35" s="868">
        <f t="shared" si="62"/>
        <v>41.6</v>
      </c>
      <c r="BH35" s="868">
        <f t="shared" si="62"/>
        <v>43.2</v>
      </c>
      <c r="BI35" s="868">
        <f t="shared" si="62"/>
        <v>44.800000000000004</v>
      </c>
      <c r="BJ35" s="868">
        <f t="shared" si="62"/>
        <v>46.400000000000006</v>
      </c>
      <c r="BK35" s="868">
        <f t="shared" si="62"/>
        <v>48</v>
      </c>
      <c r="BL35" s="868">
        <f t="shared" ref="BL35:BT35" si="63">BL2*$A$35</f>
        <v>51.2</v>
      </c>
      <c r="BM35" s="868">
        <f t="shared" si="63"/>
        <v>54.400000000000006</v>
      </c>
      <c r="BN35" s="868">
        <f t="shared" si="63"/>
        <v>57.6</v>
      </c>
      <c r="BO35" s="868">
        <f t="shared" si="63"/>
        <v>60.800000000000004</v>
      </c>
      <c r="BP35" s="868">
        <f t="shared" si="63"/>
        <v>64</v>
      </c>
      <c r="BQ35" s="868">
        <f t="shared" si="63"/>
        <v>67.2</v>
      </c>
      <c r="BR35" s="868">
        <f t="shared" si="63"/>
        <v>70.400000000000006</v>
      </c>
      <c r="BS35" s="868">
        <f t="shared" si="63"/>
        <v>73.600000000000009</v>
      </c>
      <c r="BT35" s="1927">
        <f t="shared" si="63"/>
        <v>76.800000000000011</v>
      </c>
    </row>
    <row r="36" spans="1:72" s="870" customFormat="1" ht="33.75" customHeight="1">
      <c r="A36" s="1918">
        <v>3.3</v>
      </c>
      <c r="B36" s="1926">
        <f>B2*$A$36</f>
        <v>4.9499999999999993</v>
      </c>
      <c r="C36" s="869">
        <f t="shared" ref="C36:BK36" si="64">C2*$A$36</f>
        <v>5.28</v>
      </c>
      <c r="D36" s="868">
        <f t="shared" si="64"/>
        <v>5.6099999999999994</v>
      </c>
      <c r="E36" s="869">
        <f t="shared" si="64"/>
        <v>5.9399999999999995</v>
      </c>
      <c r="F36" s="868">
        <f t="shared" si="64"/>
        <v>6.27</v>
      </c>
      <c r="G36" s="869">
        <f t="shared" si="64"/>
        <v>6.6</v>
      </c>
      <c r="H36" s="868">
        <f t="shared" si="64"/>
        <v>6.93</v>
      </c>
      <c r="I36" s="869">
        <f t="shared" si="64"/>
        <v>7.26</v>
      </c>
      <c r="J36" s="868">
        <f t="shared" si="64"/>
        <v>7.589999999999999</v>
      </c>
      <c r="K36" s="869">
        <f t="shared" si="64"/>
        <v>7.919999999999999</v>
      </c>
      <c r="L36" s="868">
        <f t="shared" si="64"/>
        <v>8.25</v>
      </c>
      <c r="M36" s="869">
        <f t="shared" si="64"/>
        <v>8.58</v>
      </c>
      <c r="N36" s="868">
        <f t="shared" si="64"/>
        <v>8.91</v>
      </c>
      <c r="O36" s="869">
        <f t="shared" si="64"/>
        <v>9.2399999999999984</v>
      </c>
      <c r="P36" s="868">
        <f t="shared" si="64"/>
        <v>9.5699999999999985</v>
      </c>
      <c r="Q36" s="869">
        <f t="shared" si="64"/>
        <v>9.8999999999999986</v>
      </c>
      <c r="R36" s="868">
        <f t="shared" si="64"/>
        <v>10.23</v>
      </c>
      <c r="S36" s="869">
        <f t="shared" si="64"/>
        <v>10.56</v>
      </c>
      <c r="T36" s="868">
        <f t="shared" si="64"/>
        <v>10.889999999999999</v>
      </c>
      <c r="U36" s="869">
        <f t="shared" si="64"/>
        <v>11.219999999999999</v>
      </c>
      <c r="V36" s="868">
        <f t="shared" si="64"/>
        <v>11.549999999999999</v>
      </c>
      <c r="W36" s="869">
        <f t="shared" si="64"/>
        <v>11.879999999999999</v>
      </c>
      <c r="X36" s="868">
        <f t="shared" si="64"/>
        <v>12.209999999999999</v>
      </c>
      <c r="Y36" s="869">
        <f t="shared" si="64"/>
        <v>12.54</v>
      </c>
      <c r="Z36" s="868">
        <f t="shared" si="64"/>
        <v>12.87</v>
      </c>
      <c r="AA36" s="869">
        <f t="shared" si="64"/>
        <v>13.2</v>
      </c>
      <c r="AB36" s="868">
        <f t="shared" si="64"/>
        <v>13.529999999999998</v>
      </c>
      <c r="AC36" s="869">
        <f t="shared" si="64"/>
        <v>13.86</v>
      </c>
      <c r="AD36" s="868">
        <f t="shared" si="64"/>
        <v>14.19</v>
      </c>
      <c r="AE36" s="869">
        <f t="shared" si="64"/>
        <v>14.52</v>
      </c>
      <c r="AF36" s="1927">
        <f t="shared" si="64"/>
        <v>14.85</v>
      </c>
      <c r="AG36" s="1918">
        <v>3.3</v>
      </c>
      <c r="AH36" s="1936">
        <f t="shared" si="64"/>
        <v>20.79</v>
      </c>
      <c r="AI36" s="868">
        <f t="shared" si="64"/>
        <v>22.439999999999998</v>
      </c>
      <c r="AJ36" s="869">
        <f t="shared" si="64"/>
        <v>24.09</v>
      </c>
      <c r="AK36" s="868">
        <f t="shared" si="64"/>
        <v>25.08</v>
      </c>
      <c r="AL36" s="869">
        <f t="shared" si="64"/>
        <v>25.74</v>
      </c>
      <c r="AM36" s="868">
        <f t="shared" si="64"/>
        <v>26.729999999999997</v>
      </c>
      <c r="AN36" s="869">
        <f t="shared" si="64"/>
        <v>28.709999999999997</v>
      </c>
      <c r="AO36" s="868">
        <f t="shared" si="64"/>
        <v>29.7</v>
      </c>
      <c r="AP36" s="869">
        <f t="shared" si="64"/>
        <v>30.359999999999996</v>
      </c>
      <c r="AQ36" s="868">
        <f t="shared" si="64"/>
        <v>30.69</v>
      </c>
      <c r="AR36" s="869">
        <f t="shared" si="64"/>
        <v>31.02</v>
      </c>
      <c r="AS36" s="868">
        <f t="shared" si="64"/>
        <v>31.349999999999998</v>
      </c>
      <c r="AT36" s="869">
        <f t="shared" si="64"/>
        <v>31.679999999999996</v>
      </c>
      <c r="AU36" s="868">
        <f t="shared" si="64"/>
        <v>32.01</v>
      </c>
      <c r="AV36" s="869">
        <f t="shared" si="64"/>
        <v>32.340000000000003</v>
      </c>
      <c r="AW36" s="868">
        <f t="shared" si="64"/>
        <v>32.67</v>
      </c>
      <c r="AX36" s="869">
        <f t="shared" si="64"/>
        <v>33.33</v>
      </c>
      <c r="AY36" s="868">
        <f t="shared" si="64"/>
        <v>33.659999999999997</v>
      </c>
      <c r="AZ36" s="869">
        <f t="shared" si="64"/>
        <v>34.32</v>
      </c>
      <c r="BA36" s="868">
        <f t="shared" si="64"/>
        <v>34.979999999999997</v>
      </c>
      <c r="BB36" s="869">
        <f t="shared" si="64"/>
        <v>35.64</v>
      </c>
      <c r="BC36" s="868">
        <f t="shared" si="64"/>
        <v>36.299999999999997</v>
      </c>
      <c r="BD36" s="869">
        <f t="shared" si="64"/>
        <v>37.949999999999996</v>
      </c>
      <c r="BE36" s="868">
        <f t="shared" si="64"/>
        <v>39.599999999999994</v>
      </c>
      <c r="BF36" s="869">
        <f t="shared" si="64"/>
        <v>41.25</v>
      </c>
      <c r="BG36" s="868">
        <f t="shared" si="64"/>
        <v>42.9</v>
      </c>
      <c r="BH36" s="869">
        <f t="shared" si="64"/>
        <v>44.55</v>
      </c>
      <c r="BI36" s="868">
        <f t="shared" si="64"/>
        <v>46.199999999999996</v>
      </c>
      <c r="BJ36" s="869">
        <f t="shared" si="64"/>
        <v>47.849999999999994</v>
      </c>
      <c r="BK36" s="868">
        <f t="shared" si="64"/>
        <v>49.5</v>
      </c>
      <c r="BL36" s="869">
        <f t="shared" ref="BL36:BT36" si="65">BL2*$A$36</f>
        <v>52.8</v>
      </c>
      <c r="BM36" s="868">
        <f t="shared" si="65"/>
        <v>56.099999999999994</v>
      </c>
      <c r="BN36" s="869">
        <f t="shared" si="65"/>
        <v>59.4</v>
      </c>
      <c r="BO36" s="868">
        <f t="shared" si="65"/>
        <v>62.699999999999996</v>
      </c>
      <c r="BP36" s="869">
        <f t="shared" si="65"/>
        <v>66</v>
      </c>
      <c r="BQ36" s="868">
        <f t="shared" si="65"/>
        <v>69.3</v>
      </c>
      <c r="BR36" s="869">
        <f t="shared" si="65"/>
        <v>72.599999999999994</v>
      </c>
      <c r="BS36" s="868">
        <f t="shared" si="65"/>
        <v>75.899999999999991</v>
      </c>
      <c r="BT36" s="1937">
        <f t="shared" si="65"/>
        <v>79.199999999999989</v>
      </c>
    </row>
    <row r="37" spans="1:72" s="872" customFormat="1" ht="33.75" customHeight="1">
      <c r="A37" s="1917">
        <v>3.4</v>
      </c>
      <c r="B37" s="1926">
        <f>B2*$A$37</f>
        <v>5.0999999999999996</v>
      </c>
      <c r="C37" s="868">
        <f t="shared" ref="C37:BK37" si="66">C2*$A$37</f>
        <v>5.44</v>
      </c>
      <c r="D37" s="868">
        <f t="shared" si="66"/>
        <v>5.7799999999999994</v>
      </c>
      <c r="E37" s="868">
        <f t="shared" si="66"/>
        <v>6.12</v>
      </c>
      <c r="F37" s="868">
        <f t="shared" si="66"/>
        <v>6.46</v>
      </c>
      <c r="G37" s="868">
        <f t="shared" si="66"/>
        <v>6.8</v>
      </c>
      <c r="H37" s="868">
        <f t="shared" si="66"/>
        <v>7.14</v>
      </c>
      <c r="I37" s="868">
        <f t="shared" si="66"/>
        <v>7.48</v>
      </c>
      <c r="J37" s="868">
        <f t="shared" si="66"/>
        <v>7.8199999999999994</v>
      </c>
      <c r="K37" s="868">
        <f t="shared" si="66"/>
        <v>8.16</v>
      </c>
      <c r="L37" s="868">
        <f t="shared" si="66"/>
        <v>8.5</v>
      </c>
      <c r="M37" s="868">
        <f t="shared" si="66"/>
        <v>8.84</v>
      </c>
      <c r="N37" s="868">
        <f t="shared" si="66"/>
        <v>9.18</v>
      </c>
      <c r="O37" s="868">
        <f t="shared" si="66"/>
        <v>9.52</v>
      </c>
      <c r="P37" s="868">
        <f t="shared" si="66"/>
        <v>9.86</v>
      </c>
      <c r="Q37" s="868">
        <f t="shared" si="66"/>
        <v>10.199999999999999</v>
      </c>
      <c r="R37" s="868">
        <f t="shared" si="66"/>
        <v>10.54</v>
      </c>
      <c r="S37" s="868">
        <f t="shared" si="66"/>
        <v>10.88</v>
      </c>
      <c r="T37" s="868">
        <f t="shared" si="66"/>
        <v>11.219999999999999</v>
      </c>
      <c r="U37" s="868">
        <f t="shared" si="66"/>
        <v>11.559999999999999</v>
      </c>
      <c r="V37" s="868">
        <f t="shared" si="66"/>
        <v>11.9</v>
      </c>
      <c r="W37" s="868">
        <f t="shared" si="66"/>
        <v>12.24</v>
      </c>
      <c r="X37" s="868">
        <f t="shared" si="66"/>
        <v>12.58</v>
      </c>
      <c r="Y37" s="868">
        <f t="shared" si="66"/>
        <v>12.92</v>
      </c>
      <c r="Z37" s="868">
        <f t="shared" si="66"/>
        <v>13.26</v>
      </c>
      <c r="AA37" s="868">
        <f t="shared" si="66"/>
        <v>13.6</v>
      </c>
      <c r="AB37" s="868">
        <f t="shared" si="66"/>
        <v>13.939999999999998</v>
      </c>
      <c r="AC37" s="868">
        <f t="shared" si="66"/>
        <v>14.28</v>
      </c>
      <c r="AD37" s="868">
        <f t="shared" si="66"/>
        <v>14.62</v>
      </c>
      <c r="AE37" s="868">
        <f t="shared" si="66"/>
        <v>14.96</v>
      </c>
      <c r="AF37" s="1927">
        <f t="shared" si="66"/>
        <v>15.299999999999999</v>
      </c>
      <c r="AG37" s="1917">
        <v>3.4</v>
      </c>
      <c r="AH37" s="1926">
        <f t="shared" si="66"/>
        <v>21.419999999999998</v>
      </c>
      <c r="AI37" s="868">
        <f t="shared" si="66"/>
        <v>23.119999999999997</v>
      </c>
      <c r="AJ37" s="868">
        <f t="shared" si="66"/>
        <v>24.82</v>
      </c>
      <c r="AK37" s="868">
        <f t="shared" si="66"/>
        <v>25.84</v>
      </c>
      <c r="AL37" s="868">
        <f t="shared" si="66"/>
        <v>26.52</v>
      </c>
      <c r="AM37" s="868">
        <f t="shared" si="66"/>
        <v>27.54</v>
      </c>
      <c r="AN37" s="868">
        <f t="shared" si="66"/>
        <v>29.58</v>
      </c>
      <c r="AO37" s="868">
        <f t="shared" si="66"/>
        <v>30.599999999999998</v>
      </c>
      <c r="AP37" s="868">
        <f t="shared" si="66"/>
        <v>31.279999999999998</v>
      </c>
      <c r="AQ37" s="868">
        <f t="shared" si="66"/>
        <v>31.62</v>
      </c>
      <c r="AR37" s="868">
        <f t="shared" si="66"/>
        <v>31.96</v>
      </c>
      <c r="AS37" s="868">
        <f t="shared" si="66"/>
        <v>32.299999999999997</v>
      </c>
      <c r="AT37" s="868">
        <f t="shared" si="66"/>
        <v>32.64</v>
      </c>
      <c r="AU37" s="868">
        <f t="shared" si="66"/>
        <v>32.979999999999997</v>
      </c>
      <c r="AV37" s="868">
        <f t="shared" si="66"/>
        <v>33.32</v>
      </c>
      <c r="AW37" s="868">
        <f t="shared" si="66"/>
        <v>33.660000000000004</v>
      </c>
      <c r="AX37" s="868">
        <f t="shared" si="66"/>
        <v>34.339999999999996</v>
      </c>
      <c r="AY37" s="868">
        <f t="shared" si="66"/>
        <v>34.68</v>
      </c>
      <c r="AZ37" s="868">
        <f t="shared" si="66"/>
        <v>35.36</v>
      </c>
      <c r="BA37" s="868">
        <f t="shared" si="66"/>
        <v>36.04</v>
      </c>
      <c r="BB37" s="868">
        <f t="shared" si="66"/>
        <v>36.72</v>
      </c>
      <c r="BC37" s="868">
        <f t="shared" si="66"/>
        <v>37.4</v>
      </c>
      <c r="BD37" s="868">
        <f t="shared" si="66"/>
        <v>39.1</v>
      </c>
      <c r="BE37" s="868">
        <f t="shared" si="66"/>
        <v>40.799999999999997</v>
      </c>
      <c r="BF37" s="868">
        <f t="shared" si="66"/>
        <v>42.5</v>
      </c>
      <c r="BG37" s="868">
        <f t="shared" si="66"/>
        <v>44.199999999999996</v>
      </c>
      <c r="BH37" s="868">
        <f t="shared" si="66"/>
        <v>45.9</v>
      </c>
      <c r="BI37" s="868">
        <f t="shared" si="66"/>
        <v>47.6</v>
      </c>
      <c r="BJ37" s="868">
        <f t="shared" si="66"/>
        <v>49.3</v>
      </c>
      <c r="BK37" s="868">
        <f t="shared" si="66"/>
        <v>51</v>
      </c>
      <c r="BL37" s="868">
        <f t="shared" ref="BL37:BT37" si="67">BL2*$A$37</f>
        <v>54.4</v>
      </c>
      <c r="BM37" s="868">
        <f t="shared" si="67"/>
        <v>57.8</v>
      </c>
      <c r="BN37" s="868">
        <f t="shared" si="67"/>
        <v>61.199999999999996</v>
      </c>
      <c r="BO37" s="868">
        <f t="shared" si="67"/>
        <v>64.599999999999994</v>
      </c>
      <c r="BP37" s="868">
        <f t="shared" si="67"/>
        <v>68</v>
      </c>
      <c r="BQ37" s="868">
        <f t="shared" si="67"/>
        <v>71.399999999999991</v>
      </c>
      <c r="BR37" s="868">
        <f t="shared" si="67"/>
        <v>74.8</v>
      </c>
      <c r="BS37" s="868">
        <f t="shared" si="67"/>
        <v>78.2</v>
      </c>
      <c r="BT37" s="1927">
        <f t="shared" si="67"/>
        <v>81.599999999999994</v>
      </c>
    </row>
    <row r="38" spans="1:72" s="870" customFormat="1" ht="33.75" customHeight="1">
      <c r="A38" s="1918">
        <v>3.5</v>
      </c>
      <c r="B38" s="1926">
        <f>B2*$A$38</f>
        <v>5.25</v>
      </c>
      <c r="C38" s="869">
        <f t="shared" ref="C38:BK38" si="68">C2*$A$38</f>
        <v>5.6000000000000005</v>
      </c>
      <c r="D38" s="868">
        <f t="shared" si="68"/>
        <v>5.95</v>
      </c>
      <c r="E38" s="869">
        <f t="shared" si="68"/>
        <v>6.3</v>
      </c>
      <c r="F38" s="868">
        <f t="shared" si="68"/>
        <v>6.6499999999999995</v>
      </c>
      <c r="G38" s="869">
        <f t="shared" si="68"/>
        <v>7</v>
      </c>
      <c r="H38" s="868">
        <f t="shared" si="68"/>
        <v>7.3500000000000005</v>
      </c>
      <c r="I38" s="869">
        <f t="shared" si="68"/>
        <v>7.7000000000000011</v>
      </c>
      <c r="J38" s="868">
        <f t="shared" si="68"/>
        <v>8.0499999999999989</v>
      </c>
      <c r="K38" s="869">
        <f t="shared" si="68"/>
        <v>8.4</v>
      </c>
      <c r="L38" s="868">
        <f t="shared" si="68"/>
        <v>8.75</v>
      </c>
      <c r="M38" s="869">
        <f t="shared" si="68"/>
        <v>9.1</v>
      </c>
      <c r="N38" s="868">
        <f t="shared" si="68"/>
        <v>9.4500000000000011</v>
      </c>
      <c r="O38" s="869">
        <f t="shared" si="68"/>
        <v>9.7999999999999989</v>
      </c>
      <c r="P38" s="868">
        <f t="shared" si="68"/>
        <v>10.15</v>
      </c>
      <c r="Q38" s="869">
        <f t="shared" si="68"/>
        <v>10.5</v>
      </c>
      <c r="R38" s="868">
        <f t="shared" si="68"/>
        <v>10.85</v>
      </c>
      <c r="S38" s="869">
        <f t="shared" si="68"/>
        <v>11.200000000000001</v>
      </c>
      <c r="T38" s="868">
        <f t="shared" si="68"/>
        <v>11.549999999999999</v>
      </c>
      <c r="U38" s="869">
        <f t="shared" si="68"/>
        <v>11.9</v>
      </c>
      <c r="V38" s="868">
        <f t="shared" si="68"/>
        <v>12.25</v>
      </c>
      <c r="W38" s="869">
        <f t="shared" si="68"/>
        <v>12.6</v>
      </c>
      <c r="X38" s="868">
        <f t="shared" si="68"/>
        <v>12.950000000000001</v>
      </c>
      <c r="Y38" s="869">
        <f t="shared" si="68"/>
        <v>13.299999999999999</v>
      </c>
      <c r="Z38" s="868">
        <f t="shared" si="68"/>
        <v>13.65</v>
      </c>
      <c r="AA38" s="869">
        <f t="shared" si="68"/>
        <v>14</v>
      </c>
      <c r="AB38" s="868">
        <f t="shared" si="68"/>
        <v>14.349999999999998</v>
      </c>
      <c r="AC38" s="869">
        <f t="shared" si="68"/>
        <v>14.700000000000001</v>
      </c>
      <c r="AD38" s="868">
        <f t="shared" si="68"/>
        <v>15.049999999999999</v>
      </c>
      <c r="AE38" s="869">
        <f t="shared" si="68"/>
        <v>15.400000000000002</v>
      </c>
      <c r="AF38" s="1927">
        <f t="shared" si="68"/>
        <v>15.75</v>
      </c>
      <c r="AG38" s="1918">
        <v>3.5</v>
      </c>
      <c r="AH38" s="1936">
        <f t="shared" si="68"/>
        <v>22.05</v>
      </c>
      <c r="AI38" s="868">
        <f t="shared" si="68"/>
        <v>23.8</v>
      </c>
      <c r="AJ38" s="869">
        <f t="shared" si="68"/>
        <v>25.55</v>
      </c>
      <c r="AK38" s="868">
        <f t="shared" si="68"/>
        <v>26.599999999999998</v>
      </c>
      <c r="AL38" s="869">
        <f t="shared" si="68"/>
        <v>27.3</v>
      </c>
      <c r="AM38" s="868">
        <f t="shared" si="68"/>
        <v>28.349999999999998</v>
      </c>
      <c r="AN38" s="869">
        <f t="shared" si="68"/>
        <v>30.449999999999996</v>
      </c>
      <c r="AO38" s="868">
        <f t="shared" si="68"/>
        <v>31.5</v>
      </c>
      <c r="AP38" s="869">
        <f t="shared" si="68"/>
        <v>32.199999999999996</v>
      </c>
      <c r="AQ38" s="868">
        <f t="shared" si="68"/>
        <v>32.550000000000004</v>
      </c>
      <c r="AR38" s="869">
        <f t="shared" si="68"/>
        <v>32.9</v>
      </c>
      <c r="AS38" s="868">
        <f t="shared" si="68"/>
        <v>33.25</v>
      </c>
      <c r="AT38" s="869">
        <f t="shared" si="68"/>
        <v>33.6</v>
      </c>
      <c r="AU38" s="868">
        <f t="shared" si="68"/>
        <v>33.949999999999996</v>
      </c>
      <c r="AV38" s="869">
        <f t="shared" si="68"/>
        <v>34.300000000000004</v>
      </c>
      <c r="AW38" s="868">
        <f t="shared" si="68"/>
        <v>34.65</v>
      </c>
      <c r="AX38" s="869">
        <f t="shared" si="68"/>
        <v>35.35</v>
      </c>
      <c r="AY38" s="868">
        <f t="shared" si="68"/>
        <v>35.699999999999996</v>
      </c>
      <c r="AZ38" s="869">
        <f t="shared" si="68"/>
        <v>36.4</v>
      </c>
      <c r="BA38" s="868">
        <f t="shared" si="68"/>
        <v>37.1</v>
      </c>
      <c r="BB38" s="869">
        <f t="shared" si="68"/>
        <v>37.800000000000004</v>
      </c>
      <c r="BC38" s="868">
        <f t="shared" si="68"/>
        <v>38.5</v>
      </c>
      <c r="BD38" s="869">
        <f t="shared" si="68"/>
        <v>40.25</v>
      </c>
      <c r="BE38" s="868">
        <f t="shared" si="68"/>
        <v>42</v>
      </c>
      <c r="BF38" s="869">
        <f t="shared" si="68"/>
        <v>43.75</v>
      </c>
      <c r="BG38" s="868">
        <f t="shared" si="68"/>
        <v>45.5</v>
      </c>
      <c r="BH38" s="869">
        <f t="shared" si="68"/>
        <v>47.25</v>
      </c>
      <c r="BI38" s="868">
        <f t="shared" si="68"/>
        <v>49</v>
      </c>
      <c r="BJ38" s="869">
        <f t="shared" si="68"/>
        <v>50.75</v>
      </c>
      <c r="BK38" s="868">
        <f t="shared" si="68"/>
        <v>52.5</v>
      </c>
      <c r="BL38" s="869">
        <f t="shared" ref="BL38:BT38" si="69">BL2*$A$38</f>
        <v>56</v>
      </c>
      <c r="BM38" s="868">
        <f t="shared" si="69"/>
        <v>59.5</v>
      </c>
      <c r="BN38" s="869">
        <f t="shared" si="69"/>
        <v>63</v>
      </c>
      <c r="BO38" s="868">
        <f t="shared" si="69"/>
        <v>66.5</v>
      </c>
      <c r="BP38" s="869">
        <f t="shared" si="69"/>
        <v>70</v>
      </c>
      <c r="BQ38" s="868">
        <f t="shared" si="69"/>
        <v>73.5</v>
      </c>
      <c r="BR38" s="869">
        <f t="shared" si="69"/>
        <v>77</v>
      </c>
      <c r="BS38" s="868">
        <f t="shared" si="69"/>
        <v>80.5</v>
      </c>
      <c r="BT38" s="1937">
        <f t="shared" si="69"/>
        <v>84</v>
      </c>
    </row>
    <row r="39" spans="1:72" s="872" customFormat="1" ht="33.75" customHeight="1">
      <c r="A39" s="1917">
        <v>3.6</v>
      </c>
      <c r="B39" s="1926">
        <f>B2*$A$39</f>
        <v>5.4</v>
      </c>
      <c r="C39" s="868">
        <f t="shared" ref="C39:BK39" si="70">C2*$A$39</f>
        <v>5.7600000000000007</v>
      </c>
      <c r="D39" s="868">
        <f t="shared" si="70"/>
        <v>6.12</v>
      </c>
      <c r="E39" s="868">
        <f t="shared" si="70"/>
        <v>6.48</v>
      </c>
      <c r="F39" s="868">
        <f t="shared" si="70"/>
        <v>6.84</v>
      </c>
      <c r="G39" s="868">
        <f t="shared" si="70"/>
        <v>7.2</v>
      </c>
      <c r="H39" s="868">
        <f t="shared" si="70"/>
        <v>7.5600000000000005</v>
      </c>
      <c r="I39" s="868">
        <f t="shared" si="70"/>
        <v>7.9200000000000008</v>
      </c>
      <c r="J39" s="868">
        <f t="shared" si="70"/>
        <v>8.2799999999999994</v>
      </c>
      <c r="K39" s="868">
        <f t="shared" si="70"/>
        <v>8.64</v>
      </c>
      <c r="L39" s="868">
        <f t="shared" si="70"/>
        <v>9</v>
      </c>
      <c r="M39" s="868">
        <f t="shared" si="70"/>
        <v>9.3600000000000012</v>
      </c>
      <c r="N39" s="868">
        <f t="shared" si="70"/>
        <v>9.7200000000000006</v>
      </c>
      <c r="O39" s="868">
        <f t="shared" si="70"/>
        <v>10.08</v>
      </c>
      <c r="P39" s="868">
        <f t="shared" si="70"/>
        <v>10.44</v>
      </c>
      <c r="Q39" s="868">
        <f t="shared" si="70"/>
        <v>10.8</v>
      </c>
      <c r="R39" s="868">
        <f t="shared" si="70"/>
        <v>11.16</v>
      </c>
      <c r="S39" s="868">
        <f t="shared" si="70"/>
        <v>11.520000000000001</v>
      </c>
      <c r="T39" s="868">
        <f t="shared" si="70"/>
        <v>11.879999999999999</v>
      </c>
      <c r="U39" s="868">
        <f t="shared" si="70"/>
        <v>12.24</v>
      </c>
      <c r="V39" s="868">
        <f t="shared" si="70"/>
        <v>12.6</v>
      </c>
      <c r="W39" s="868">
        <f t="shared" si="70"/>
        <v>12.96</v>
      </c>
      <c r="X39" s="868">
        <f t="shared" si="70"/>
        <v>13.32</v>
      </c>
      <c r="Y39" s="868">
        <f t="shared" si="70"/>
        <v>13.68</v>
      </c>
      <c r="Z39" s="868">
        <f t="shared" si="70"/>
        <v>14.04</v>
      </c>
      <c r="AA39" s="868">
        <f t="shared" si="70"/>
        <v>14.4</v>
      </c>
      <c r="AB39" s="868">
        <f t="shared" si="70"/>
        <v>14.76</v>
      </c>
      <c r="AC39" s="868">
        <f t="shared" si="70"/>
        <v>15.120000000000001</v>
      </c>
      <c r="AD39" s="868">
        <f t="shared" si="70"/>
        <v>15.48</v>
      </c>
      <c r="AE39" s="868">
        <f t="shared" si="70"/>
        <v>15.840000000000002</v>
      </c>
      <c r="AF39" s="1927">
        <f t="shared" si="70"/>
        <v>16.2</v>
      </c>
      <c r="AG39" s="1917">
        <v>3.6</v>
      </c>
      <c r="AH39" s="1926">
        <f t="shared" si="70"/>
        <v>22.68</v>
      </c>
      <c r="AI39" s="868">
        <f t="shared" si="70"/>
        <v>24.48</v>
      </c>
      <c r="AJ39" s="868">
        <f t="shared" si="70"/>
        <v>26.28</v>
      </c>
      <c r="AK39" s="868">
        <f t="shared" si="70"/>
        <v>27.36</v>
      </c>
      <c r="AL39" s="868">
        <f t="shared" si="70"/>
        <v>28.08</v>
      </c>
      <c r="AM39" s="868">
        <f t="shared" si="70"/>
        <v>29.16</v>
      </c>
      <c r="AN39" s="868">
        <f t="shared" si="70"/>
        <v>31.319999999999997</v>
      </c>
      <c r="AO39" s="868">
        <f t="shared" si="70"/>
        <v>32.4</v>
      </c>
      <c r="AP39" s="868">
        <f t="shared" si="70"/>
        <v>33.119999999999997</v>
      </c>
      <c r="AQ39" s="868">
        <f t="shared" si="70"/>
        <v>33.480000000000004</v>
      </c>
      <c r="AR39" s="868">
        <f t="shared" si="70"/>
        <v>33.840000000000003</v>
      </c>
      <c r="AS39" s="868">
        <f t="shared" si="70"/>
        <v>34.200000000000003</v>
      </c>
      <c r="AT39" s="868">
        <f t="shared" si="70"/>
        <v>34.56</v>
      </c>
      <c r="AU39" s="868">
        <f t="shared" si="70"/>
        <v>34.92</v>
      </c>
      <c r="AV39" s="868">
        <f t="shared" si="70"/>
        <v>35.28</v>
      </c>
      <c r="AW39" s="868">
        <f t="shared" si="70"/>
        <v>35.64</v>
      </c>
      <c r="AX39" s="868">
        <f t="shared" si="70"/>
        <v>36.36</v>
      </c>
      <c r="AY39" s="868">
        <f t="shared" si="70"/>
        <v>36.72</v>
      </c>
      <c r="AZ39" s="868">
        <f t="shared" si="70"/>
        <v>37.440000000000005</v>
      </c>
      <c r="BA39" s="868">
        <f t="shared" si="70"/>
        <v>38.159999999999997</v>
      </c>
      <c r="BB39" s="868">
        <f t="shared" si="70"/>
        <v>38.880000000000003</v>
      </c>
      <c r="BC39" s="868">
        <f t="shared" si="70"/>
        <v>39.6</v>
      </c>
      <c r="BD39" s="868">
        <f t="shared" si="70"/>
        <v>41.4</v>
      </c>
      <c r="BE39" s="868">
        <f t="shared" si="70"/>
        <v>43.2</v>
      </c>
      <c r="BF39" s="868">
        <f t="shared" si="70"/>
        <v>45</v>
      </c>
      <c r="BG39" s="868">
        <f t="shared" si="70"/>
        <v>46.800000000000004</v>
      </c>
      <c r="BH39" s="868">
        <f t="shared" si="70"/>
        <v>48.6</v>
      </c>
      <c r="BI39" s="868">
        <f t="shared" si="70"/>
        <v>50.4</v>
      </c>
      <c r="BJ39" s="868">
        <f t="shared" si="70"/>
        <v>52.2</v>
      </c>
      <c r="BK39" s="868">
        <f t="shared" si="70"/>
        <v>54</v>
      </c>
      <c r="BL39" s="868">
        <f t="shared" ref="BL39:BT39" si="71">BL2*$A$39</f>
        <v>57.6</v>
      </c>
      <c r="BM39" s="868">
        <f t="shared" si="71"/>
        <v>61.2</v>
      </c>
      <c r="BN39" s="868">
        <f t="shared" si="71"/>
        <v>64.8</v>
      </c>
      <c r="BO39" s="868">
        <f t="shared" si="71"/>
        <v>68.400000000000006</v>
      </c>
      <c r="BP39" s="868">
        <f t="shared" si="71"/>
        <v>72</v>
      </c>
      <c r="BQ39" s="868">
        <f t="shared" si="71"/>
        <v>75.600000000000009</v>
      </c>
      <c r="BR39" s="868">
        <f t="shared" si="71"/>
        <v>79.2</v>
      </c>
      <c r="BS39" s="868">
        <f t="shared" si="71"/>
        <v>82.8</v>
      </c>
      <c r="BT39" s="1927">
        <f t="shared" si="71"/>
        <v>86.4</v>
      </c>
    </row>
    <row r="40" spans="1:72" s="870" customFormat="1" ht="33.75" customHeight="1">
      <c r="A40" s="1918">
        <v>3.7</v>
      </c>
      <c r="B40" s="1926">
        <f>B2*$A$40</f>
        <v>5.5500000000000007</v>
      </c>
      <c r="C40" s="869">
        <f t="shared" ref="C40:BK40" si="72">C2*$A$40</f>
        <v>5.9200000000000008</v>
      </c>
      <c r="D40" s="868">
        <f t="shared" si="72"/>
        <v>6.29</v>
      </c>
      <c r="E40" s="869">
        <f t="shared" si="72"/>
        <v>6.66</v>
      </c>
      <c r="F40" s="868">
        <f t="shared" si="72"/>
        <v>7.03</v>
      </c>
      <c r="G40" s="869">
        <f t="shared" si="72"/>
        <v>7.4</v>
      </c>
      <c r="H40" s="868">
        <f t="shared" si="72"/>
        <v>7.7700000000000005</v>
      </c>
      <c r="I40" s="869">
        <f t="shared" si="72"/>
        <v>8.14</v>
      </c>
      <c r="J40" s="868">
        <f t="shared" si="72"/>
        <v>8.51</v>
      </c>
      <c r="K40" s="869">
        <f t="shared" si="72"/>
        <v>8.8800000000000008</v>
      </c>
      <c r="L40" s="868">
        <f t="shared" si="72"/>
        <v>9.25</v>
      </c>
      <c r="M40" s="869">
        <f t="shared" si="72"/>
        <v>9.620000000000001</v>
      </c>
      <c r="N40" s="868">
        <f t="shared" si="72"/>
        <v>9.990000000000002</v>
      </c>
      <c r="O40" s="869">
        <f t="shared" si="72"/>
        <v>10.36</v>
      </c>
      <c r="P40" s="868">
        <f t="shared" si="72"/>
        <v>10.73</v>
      </c>
      <c r="Q40" s="869">
        <f t="shared" si="72"/>
        <v>11.100000000000001</v>
      </c>
      <c r="R40" s="868">
        <f t="shared" si="72"/>
        <v>11.47</v>
      </c>
      <c r="S40" s="869">
        <f t="shared" si="72"/>
        <v>11.840000000000002</v>
      </c>
      <c r="T40" s="868">
        <f t="shared" si="72"/>
        <v>12.209999999999999</v>
      </c>
      <c r="U40" s="869">
        <f t="shared" si="72"/>
        <v>12.58</v>
      </c>
      <c r="V40" s="868">
        <f t="shared" si="72"/>
        <v>12.950000000000001</v>
      </c>
      <c r="W40" s="869">
        <f t="shared" si="72"/>
        <v>13.32</v>
      </c>
      <c r="X40" s="868">
        <f t="shared" si="72"/>
        <v>13.690000000000001</v>
      </c>
      <c r="Y40" s="869">
        <f t="shared" si="72"/>
        <v>14.06</v>
      </c>
      <c r="Z40" s="868">
        <f t="shared" si="72"/>
        <v>14.43</v>
      </c>
      <c r="AA40" s="869">
        <f t="shared" si="72"/>
        <v>14.8</v>
      </c>
      <c r="AB40" s="868">
        <f t="shared" si="72"/>
        <v>15.17</v>
      </c>
      <c r="AC40" s="869">
        <f t="shared" si="72"/>
        <v>15.540000000000001</v>
      </c>
      <c r="AD40" s="868">
        <f t="shared" si="72"/>
        <v>15.91</v>
      </c>
      <c r="AE40" s="869">
        <f t="shared" si="72"/>
        <v>16.28</v>
      </c>
      <c r="AF40" s="1927">
        <f t="shared" si="72"/>
        <v>16.650000000000002</v>
      </c>
      <c r="AG40" s="1918">
        <v>3.7</v>
      </c>
      <c r="AH40" s="1936">
        <f t="shared" si="72"/>
        <v>23.31</v>
      </c>
      <c r="AI40" s="868">
        <f t="shared" si="72"/>
        <v>25.16</v>
      </c>
      <c r="AJ40" s="869">
        <f t="shared" si="72"/>
        <v>27.01</v>
      </c>
      <c r="AK40" s="868">
        <f t="shared" si="72"/>
        <v>28.12</v>
      </c>
      <c r="AL40" s="869">
        <f t="shared" si="72"/>
        <v>28.86</v>
      </c>
      <c r="AM40" s="868">
        <f t="shared" si="72"/>
        <v>29.97</v>
      </c>
      <c r="AN40" s="869">
        <f t="shared" si="72"/>
        <v>32.19</v>
      </c>
      <c r="AO40" s="868">
        <f t="shared" si="72"/>
        <v>33.300000000000004</v>
      </c>
      <c r="AP40" s="869">
        <f t="shared" si="72"/>
        <v>34.04</v>
      </c>
      <c r="AQ40" s="868">
        <f t="shared" si="72"/>
        <v>34.410000000000004</v>
      </c>
      <c r="AR40" s="869">
        <f t="shared" si="72"/>
        <v>34.78</v>
      </c>
      <c r="AS40" s="868">
        <f t="shared" si="72"/>
        <v>35.15</v>
      </c>
      <c r="AT40" s="869">
        <f t="shared" si="72"/>
        <v>35.520000000000003</v>
      </c>
      <c r="AU40" s="868">
        <f t="shared" si="72"/>
        <v>35.89</v>
      </c>
      <c r="AV40" s="869">
        <f t="shared" si="72"/>
        <v>36.260000000000005</v>
      </c>
      <c r="AW40" s="868">
        <f t="shared" si="72"/>
        <v>36.630000000000003</v>
      </c>
      <c r="AX40" s="869">
        <f t="shared" si="72"/>
        <v>37.369999999999997</v>
      </c>
      <c r="AY40" s="868">
        <f t="shared" si="72"/>
        <v>37.74</v>
      </c>
      <c r="AZ40" s="869">
        <f t="shared" si="72"/>
        <v>38.480000000000004</v>
      </c>
      <c r="BA40" s="868">
        <f t="shared" si="72"/>
        <v>39.22</v>
      </c>
      <c r="BB40" s="869">
        <f t="shared" si="72"/>
        <v>39.960000000000008</v>
      </c>
      <c r="BC40" s="868">
        <f t="shared" si="72"/>
        <v>40.700000000000003</v>
      </c>
      <c r="BD40" s="869">
        <f t="shared" si="72"/>
        <v>42.550000000000004</v>
      </c>
      <c r="BE40" s="868">
        <f t="shared" si="72"/>
        <v>44.400000000000006</v>
      </c>
      <c r="BF40" s="869">
        <f t="shared" si="72"/>
        <v>46.25</v>
      </c>
      <c r="BG40" s="868">
        <f t="shared" si="72"/>
        <v>48.1</v>
      </c>
      <c r="BH40" s="869">
        <f t="shared" si="72"/>
        <v>49.95</v>
      </c>
      <c r="BI40" s="868">
        <f t="shared" si="72"/>
        <v>51.800000000000004</v>
      </c>
      <c r="BJ40" s="869">
        <f t="shared" si="72"/>
        <v>53.650000000000006</v>
      </c>
      <c r="BK40" s="868">
        <f t="shared" si="72"/>
        <v>55.5</v>
      </c>
      <c r="BL40" s="869">
        <f t="shared" ref="BL40:BT40" si="73">BL2*$A$40</f>
        <v>59.2</v>
      </c>
      <c r="BM40" s="868">
        <f t="shared" si="73"/>
        <v>62.900000000000006</v>
      </c>
      <c r="BN40" s="869">
        <f t="shared" si="73"/>
        <v>66.600000000000009</v>
      </c>
      <c r="BO40" s="868">
        <f t="shared" si="73"/>
        <v>70.3</v>
      </c>
      <c r="BP40" s="869">
        <f t="shared" si="73"/>
        <v>74</v>
      </c>
      <c r="BQ40" s="868">
        <f t="shared" si="73"/>
        <v>77.7</v>
      </c>
      <c r="BR40" s="869">
        <f t="shared" si="73"/>
        <v>81.400000000000006</v>
      </c>
      <c r="BS40" s="868">
        <f t="shared" si="73"/>
        <v>85.100000000000009</v>
      </c>
      <c r="BT40" s="1937">
        <f t="shared" si="73"/>
        <v>88.800000000000011</v>
      </c>
    </row>
    <row r="41" spans="1:72" s="872" customFormat="1" ht="33.75" customHeight="1">
      <c r="A41" s="1917">
        <v>3.8</v>
      </c>
      <c r="B41" s="1926">
        <f>B2*$A$41</f>
        <v>5.6999999999999993</v>
      </c>
      <c r="C41" s="868">
        <f t="shared" ref="C41:BK41" si="74">C2*$A$41</f>
        <v>6.08</v>
      </c>
      <c r="D41" s="868">
        <f t="shared" si="74"/>
        <v>6.46</v>
      </c>
      <c r="E41" s="868">
        <f t="shared" si="74"/>
        <v>6.84</v>
      </c>
      <c r="F41" s="868">
        <f t="shared" si="74"/>
        <v>7.22</v>
      </c>
      <c r="G41" s="868">
        <f t="shared" si="74"/>
        <v>7.6</v>
      </c>
      <c r="H41" s="868">
        <f t="shared" si="74"/>
        <v>7.9799999999999995</v>
      </c>
      <c r="I41" s="868">
        <f t="shared" si="74"/>
        <v>8.36</v>
      </c>
      <c r="J41" s="868">
        <f t="shared" si="74"/>
        <v>8.7399999999999984</v>
      </c>
      <c r="K41" s="868">
        <f t="shared" si="74"/>
        <v>9.1199999999999992</v>
      </c>
      <c r="L41" s="868">
        <f t="shared" si="74"/>
        <v>9.5</v>
      </c>
      <c r="M41" s="868">
        <f t="shared" si="74"/>
        <v>9.879999999999999</v>
      </c>
      <c r="N41" s="868">
        <f t="shared" si="74"/>
        <v>10.26</v>
      </c>
      <c r="O41" s="868">
        <f t="shared" si="74"/>
        <v>10.639999999999999</v>
      </c>
      <c r="P41" s="868">
        <f t="shared" si="74"/>
        <v>11.02</v>
      </c>
      <c r="Q41" s="868">
        <f t="shared" si="74"/>
        <v>11.399999999999999</v>
      </c>
      <c r="R41" s="868">
        <f t="shared" si="74"/>
        <v>11.78</v>
      </c>
      <c r="S41" s="868">
        <f t="shared" si="74"/>
        <v>12.16</v>
      </c>
      <c r="T41" s="868">
        <f t="shared" si="74"/>
        <v>12.54</v>
      </c>
      <c r="U41" s="868">
        <f t="shared" si="74"/>
        <v>12.92</v>
      </c>
      <c r="V41" s="868">
        <f t="shared" si="74"/>
        <v>13.299999999999999</v>
      </c>
      <c r="W41" s="868">
        <f t="shared" si="74"/>
        <v>13.68</v>
      </c>
      <c r="X41" s="868">
        <f t="shared" si="74"/>
        <v>14.06</v>
      </c>
      <c r="Y41" s="868">
        <f t="shared" si="74"/>
        <v>14.44</v>
      </c>
      <c r="Z41" s="868">
        <f t="shared" si="74"/>
        <v>14.819999999999999</v>
      </c>
      <c r="AA41" s="868">
        <f t="shared" si="74"/>
        <v>15.2</v>
      </c>
      <c r="AB41" s="868">
        <f t="shared" si="74"/>
        <v>15.579999999999998</v>
      </c>
      <c r="AC41" s="868">
        <f t="shared" si="74"/>
        <v>15.959999999999999</v>
      </c>
      <c r="AD41" s="868">
        <f t="shared" si="74"/>
        <v>16.34</v>
      </c>
      <c r="AE41" s="868">
        <f t="shared" si="74"/>
        <v>16.72</v>
      </c>
      <c r="AF41" s="1927">
        <f t="shared" si="74"/>
        <v>17.099999999999998</v>
      </c>
      <c r="AG41" s="1917">
        <v>3.8</v>
      </c>
      <c r="AH41" s="1926">
        <f t="shared" si="74"/>
        <v>23.939999999999998</v>
      </c>
      <c r="AI41" s="868">
        <f t="shared" si="74"/>
        <v>25.84</v>
      </c>
      <c r="AJ41" s="868">
        <f t="shared" si="74"/>
        <v>27.74</v>
      </c>
      <c r="AK41" s="868">
        <f t="shared" si="74"/>
        <v>28.88</v>
      </c>
      <c r="AL41" s="868">
        <f t="shared" si="74"/>
        <v>29.639999999999997</v>
      </c>
      <c r="AM41" s="868">
        <f t="shared" si="74"/>
        <v>30.779999999999998</v>
      </c>
      <c r="AN41" s="868">
        <f t="shared" si="74"/>
        <v>33.059999999999995</v>
      </c>
      <c r="AO41" s="868">
        <f t="shared" si="74"/>
        <v>34.199999999999996</v>
      </c>
      <c r="AP41" s="868">
        <f t="shared" si="74"/>
        <v>34.959999999999994</v>
      </c>
      <c r="AQ41" s="868">
        <f t="shared" si="74"/>
        <v>35.340000000000003</v>
      </c>
      <c r="AR41" s="868">
        <f t="shared" si="74"/>
        <v>35.72</v>
      </c>
      <c r="AS41" s="868">
        <f t="shared" si="74"/>
        <v>36.1</v>
      </c>
      <c r="AT41" s="868">
        <f t="shared" si="74"/>
        <v>36.479999999999997</v>
      </c>
      <c r="AU41" s="868">
        <f t="shared" si="74"/>
        <v>36.859999999999992</v>
      </c>
      <c r="AV41" s="868">
        <f t="shared" si="74"/>
        <v>37.24</v>
      </c>
      <c r="AW41" s="868">
        <f t="shared" si="74"/>
        <v>37.619999999999997</v>
      </c>
      <c r="AX41" s="868">
        <f t="shared" si="74"/>
        <v>38.379999999999995</v>
      </c>
      <c r="AY41" s="868">
        <f t="shared" si="74"/>
        <v>38.76</v>
      </c>
      <c r="AZ41" s="868">
        <f t="shared" si="74"/>
        <v>39.519999999999996</v>
      </c>
      <c r="BA41" s="868">
        <f t="shared" si="74"/>
        <v>40.279999999999994</v>
      </c>
      <c r="BB41" s="868">
        <f t="shared" si="74"/>
        <v>41.04</v>
      </c>
      <c r="BC41" s="868">
        <f t="shared" si="74"/>
        <v>41.8</v>
      </c>
      <c r="BD41" s="868">
        <f t="shared" si="74"/>
        <v>43.699999999999996</v>
      </c>
      <c r="BE41" s="868">
        <f t="shared" si="74"/>
        <v>45.599999999999994</v>
      </c>
      <c r="BF41" s="868">
        <f t="shared" si="74"/>
        <v>47.5</v>
      </c>
      <c r="BG41" s="868">
        <f t="shared" si="74"/>
        <v>49.4</v>
      </c>
      <c r="BH41" s="868">
        <f t="shared" si="74"/>
        <v>51.3</v>
      </c>
      <c r="BI41" s="868">
        <f t="shared" si="74"/>
        <v>53.199999999999996</v>
      </c>
      <c r="BJ41" s="868">
        <f t="shared" si="74"/>
        <v>55.099999999999994</v>
      </c>
      <c r="BK41" s="868">
        <f t="shared" si="74"/>
        <v>57</v>
      </c>
      <c r="BL41" s="868">
        <f t="shared" ref="BL41:BT41" si="75">BL2*$A$41</f>
        <v>60.8</v>
      </c>
      <c r="BM41" s="868">
        <f t="shared" si="75"/>
        <v>64.599999999999994</v>
      </c>
      <c r="BN41" s="868">
        <f t="shared" si="75"/>
        <v>68.399999999999991</v>
      </c>
      <c r="BO41" s="868">
        <f t="shared" si="75"/>
        <v>72.2</v>
      </c>
      <c r="BP41" s="868">
        <f t="shared" si="75"/>
        <v>76</v>
      </c>
      <c r="BQ41" s="868">
        <f t="shared" si="75"/>
        <v>79.8</v>
      </c>
      <c r="BR41" s="868">
        <f t="shared" si="75"/>
        <v>83.6</v>
      </c>
      <c r="BS41" s="868">
        <f t="shared" si="75"/>
        <v>87.399999999999991</v>
      </c>
      <c r="BT41" s="1927">
        <f t="shared" si="75"/>
        <v>91.199999999999989</v>
      </c>
    </row>
    <row r="42" spans="1:72" s="870" customFormat="1" ht="33.75" customHeight="1">
      <c r="A42" s="1918">
        <v>3.9</v>
      </c>
      <c r="B42" s="1926">
        <f>B2*$A$42</f>
        <v>5.85</v>
      </c>
      <c r="C42" s="869">
        <f t="shared" ref="C42:BK42" si="76">C2*$A$42</f>
        <v>6.24</v>
      </c>
      <c r="D42" s="868">
        <f t="shared" si="76"/>
        <v>6.63</v>
      </c>
      <c r="E42" s="869">
        <f t="shared" si="76"/>
        <v>7.02</v>
      </c>
      <c r="F42" s="868">
        <f t="shared" si="76"/>
        <v>7.4099999999999993</v>
      </c>
      <c r="G42" s="869">
        <f t="shared" si="76"/>
        <v>7.8</v>
      </c>
      <c r="H42" s="868">
        <f t="shared" si="76"/>
        <v>8.19</v>
      </c>
      <c r="I42" s="869">
        <f t="shared" si="76"/>
        <v>8.58</v>
      </c>
      <c r="J42" s="868">
        <f t="shared" si="76"/>
        <v>8.9699999999999989</v>
      </c>
      <c r="K42" s="869">
        <f t="shared" si="76"/>
        <v>9.36</v>
      </c>
      <c r="L42" s="868">
        <f t="shared" si="76"/>
        <v>9.75</v>
      </c>
      <c r="M42" s="869">
        <f t="shared" si="76"/>
        <v>10.14</v>
      </c>
      <c r="N42" s="868">
        <f t="shared" si="76"/>
        <v>10.530000000000001</v>
      </c>
      <c r="O42" s="869">
        <f t="shared" si="76"/>
        <v>10.92</v>
      </c>
      <c r="P42" s="868">
        <f t="shared" si="76"/>
        <v>11.309999999999999</v>
      </c>
      <c r="Q42" s="869">
        <f t="shared" si="76"/>
        <v>11.7</v>
      </c>
      <c r="R42" s="868">
        <f t="shared" si="76"/>
        <v>12.09</v>
      </c>
      <c r="S42" s="869">
        <f t="shared" si="76"/>
        <v>12.48</v>
      </c>
      <c r="T42" s="868">
        <f t="shared" si="76"/>
        <v>12.87</v>
      </c>
      <c r="U42" s="869">
        <f t="shared" si="76"/>
        <v>13.26</v>
      </c>
      <c r="V42" s="868">
        <f t="shared" si="76"/>
        <v>13.65</v>
      </c>
      <c r="W42" s="869">
        <f t="shared" si="76"/>
        <v>14.04</v>
      </c>
      <c r="X42" s="868">
        <f t="shared" si="76"/>
        <v>14.43</v>
      </c>
      <c r="Y42" s="869">
        <f t="shared" si="76"/>
        <v>14.819999999999999</v>
      </c>
      <c r="Z42" s="868">
        <f t="shared" si="76"/>
        <v>15.209999999999999</v>
      </c>
      <c r="AA42" s="869">
        <f t="shared" si="76"/>
        <v>15.6</v>
      </c>
      <c r="AB42" s="868">
        <f t="shared" si="76"/>
        <v>15.989999999999998</v>
      </c>
      <c r="AC42" s="869">
        <f t="shared" si="76"/>
        <v>16.38</v>
      </c>
      <c r="AD42" s="868">
        <f t="shared" si="76"/>
        <v>16.77</v>
      </c>
      <c r="AE42" s="869">
        <f t="shared" si="76"/>
        <v>17.16</v>
      </c>
      <c r="AF42" s="1927">
        <f t="shared" si="76"/>
        <v>17.55</v>
      </c>
      <c r="AG42" s="1918">
        <v>3.9</v>
      </c>
      <c r="AH42" s="1936">
        <f t="shared" si="76"/>
        <v>24.57</v>
      </c>
      <c r="AI42" s="868">
        <f t="shared" si="76"/>
        <v>26.52</v>
      </c>
      <c r="AJ42" s="869">
        <f t="shared" si="76"/>
        <v>28.47</v>
      </c>
      <c r="AK42" s="868">
        <f t="shared" si="76"/>
        <v>29.639999999999997</v>
      </c>
      <c r="AL42" s="869">
        <f t="shared" si="76"/>
        <v>30.419999999999998</v>
      </c>
      <c r="AM42" s="868">
        <f t="shared" si="76"/>
        <v>31.589999999999996</v>
      </c>
      <c r="AN42" s="869">
        <f t="shared" si="76"/>
        <v>33.93</v>
      </c>
      <c r="AO42" s="868">
        <f t="shared" si="76"/>
        <v>35.1</v>
      </c>
      <c r="AP42" s="869">
        <f t="shared" si="76"/>
        <v>35.879999999999995</v>
      </c>
      <c r="AQ42" s="868">
        <f t="shared" si="76"/>
        <v>36.270000000000003</v>
      </c>
      <c r="AR42" s="869">
        <f t="shared" si="76"/>
        <v>36.660000000000004</v>
      </c>
      <c r="AS42" s="868">
        <f t="shared" si="76"/>
        <v>37.049999999999997</v>
      </c>
      <c r="AT42" s="869">
        <f t="shared" si="76"/>
        <v>37.44</v>
      </c>
      <c r="AU42" s="868">
        <f t="shared" si="76"/>
        <v>37.83</v>
      </c>
      <c r="AV42" s="869">
        <f t="shared" si="76"/>
        <v>38.22</v>
      </c>
      <c r="AW42" s="868">
        <f t="shared" si="76"/>
        <v>38.61</v>
      </c>
      <c r="AX42" s="869">
        <f t="shared" si="76"/>
        <v>39.39</v>
      </c>
      <c r="AY42" s="868">
        <f t="shared" si="76"/>
        <v>39.779999999999994</v>
      </c>
      <c r="AZ42" s="869">
        <f t="shared" si="76"/>
        <v>40.56</v>
      </c>
      <c r="BA42" s="868">
        <f t="shared" si="76"/>
        <v>41.339999999999996</v>
      </c>
      <c r="BB42" s="869">
        <f t="shared" si="76"/>
        <v>42.120000000000005</v>
      </c>
      <c r="BC42" s="868">
        <f t="shared" si="76"/>
        <v>42.9</v>
      </c>
      <c r="BD42" s="869">
        <f t="shared" si="76"/>
        <v>44.85</v>
      </c>
      <c r="BE42" s="868">
        <f t="shared" si="76"/>
        <v>46.8</v>
      </c>
      <c r="BF42" s="869">
        <f t="shared" si="76"/>
        <v>48.75</v>
      </c>
      <c r="BG42" s="868">
        <f t="shared" si="76"/>
        <v>50.699999999999996</v>
      </c>
      <c r="BH42" s="869">
        <f t="shared" si="76"/>
        <v>52.65</v>
      </c>
      <c r="BI42" s="868">
        <f t="shared" si="76"/>
        <v>54.6</v>
      </c>
      <c r="BJ42" s="869">
        <f t="shared" si="76"/>
        <v>56.55</v>
      </c>
      <c r="BK42" s="868">
        <f t="shared" si="76"/>
        <v>58.5</v>
      </c>
      <c r="BL42" s="869">
        <f t="shared" ref="BL42:BT42" si="77">BL2*$A$42</f>
        <v>62.4</v>
      </c>
      <c r="BM42" s="868">
        <f t="shared" si="77"/>
        <v>66.3</v>
      </c>
      <c r="BN42" s="869">
        <f t="shared" si="77"/>
        <v>70.2</v>
      </c>
      <c r="BO42" s="868">
        <f t="shared" si="77"/>
        <v>74.099999999999994</v>
      </c>
      <c r="BP42" s="869">
        <f t="shared" si="77"/>
        <v>78</v>
      </c>
      <c r="BQ42" s="868">
        <f t="shared" si="77"/>
        <v>81.899999999999991</v>
      </c>
      <c r="BR42" s="869">
        <f t="shared" si="77"/>
        <v>85.8</v>
      </c>
      <c r="BS42" s="868">
        <f t="shared" si="77"/>
        <v>89.7</v>
      </c>
      <c r="BT42" s="1937">
        <f t="shared" si="77"/>
        <v>93.6</v>
      </c>
    </row>
    <row r="43" spans="1:72" s="872" customFormat="1" ht="33.75" customHeight="1">
      <c r="A43" s="1917">
        <v>4</v>
      </c>
      <c r="B43" s="1926">
        <f>B2*$A$43</f>
        <v>6</v>
      </c>
      <c r="C43" s="868">
        <f t="shared" ref="C43:BK43" si="78">C2*$A$43</f>
        <v>6.4</v>
      </c>
      <c r="D43" s="868">
        <f t="shared" si="78"/>
        <v>6.8</v>
      </c>
      <c r="E43" s="868">
        <f t="shared" si="78"/>
        <v>7.2</v>
      </c>
      <c r="F43" s="868">
        <f t="shared" si="78"/>
        <v>7.6</v>
      </c>
      <c r="G43" s="868">
        <f t="shared" si="78"/>
        <v>8</v>
      </c>
      <c r="H43" s="868">
        <f t="shared" si="78"/>
        <v>8.4</v>
      </c>
      <c r="I43" s="868">
        <f t="shared" si="78"/>
        <v>8.8000000000000007</v>
      </c>
      <c r="J43" s="868">
        <f t="shared" si="78"/>
        <v>9.1999999999999993</v>
      </c>
      <c r="K43" s="868">
        <f t="shared" si="78"/>
        <v>9.6</v>
      </c>
      <c r="L43" s="868">
        <f t="shared" si="78"/>
        <v>10</v>
      </c>
      <c r="M43" s="868">
        <f t="shared" si="78"/>
        <v>10.4</v>
      </c>
      <c r="N43" s="868">
        <f t="shared" si="78"/>
        <v>10.8</v>
      </c>
      <c r="O43" s="868">
        <f t="shared" si="78"/>
        <v>11.2</v>
      </c>
      <c r="P43" s="868">
        <f t="shared" si="78"/>
        <v>11.6</v>
      </c>
      <c r="Q43" s="868">
        <f t="shared" si="78"/>
        <v>12</v>
      </c>
      <c r="R43" s="868">
        <f t="shared" si="78"/>
        <v>12.4</v>
      </c>
      <c r="S43" s="868">
        <f t="shared" si="78"/>
        <v>12.8</v>
      </c>
      <c r="T43" s="868">
        <f t="shared" si="78"/>
        <v>13.2</v>
      </c>
      <c r="U43" s="868">
        <f t="shared" si="78"/>
        <v>13.6</v>
      </c>
      <c r="V43" s="868">
        <f t="shared" si="78"/>
        <v>14</v>
      </c>
      <c r="W43" s="868">
        <f t="shared" si="78"/>
        <v>14.4</v>
      </c>
      <c r="X43" s="868">
        <f t="shared" si="78"/>
        <v>14.8</v>
      </c>
      <c r="Y43" s="868">
        <f t="shared" si="78"/>
        <v>15.2</v>
      </c>
      <c r="Z43" s="868">
        <f t="shared" si="78"/>
        <v>15.6</v>
      </c>
      <c r="AA43" s="868">
        <f t="shared" si="78"/>
        <v>16</v>
      </c>
      <c r="AB43" s="868">
        <f t="shared" si="78"/>
        <v>16.399999999999999</v>
      </c>
      <c r="AC43" s="868">
        <f t="shared" si="78"/>
        <v>16.8</v>
      </c>
      <c r="AD43" s="868">
        <f t="shared" si="78"/>
        <v>17.2</v>
      </c>
      <c r="AE43" s="868">
        <f t="shared" si="78"/>
        <v>17.600000000000001</v>
      </c>
      <c r="AF43" s="1927">
        <f t="shared" si="78"/>
        <v>18</v>
      </c>
      <c r="AG43" s="1917">
        <v>4</v>
      </c>
      <c r="AH43" s="1926">
        <f t="shared" si="78"/>
        <v>25.2</v>
      </c>
      <c r="AI43" s="868">
        <f t="shared" si="78"/>
        <v>27.2</v>
      </c>
      <c r="AJ43" s="868">
        <f t="shared" si="78"/>
        <v>29.2</v>
      </c>
      <c r="AK43" s="868">
        <f t="shared" si="78"/>
        <v>30.4</v>
      </c>
      <c r="AL43" s="868">
        <f t="shared" si="78"/>
        <v>31.2</v>
      </c>
      <c r="AM43" s="868">
        <f t="shared" si="78"/>
        <v>32.4</v>
      </c>
      <c r="AN43" s="868">
        <f t="shared" si="78"/>
        <v>34.799999999999997</v>
      </c>
      <c r="AO43" s="868">
        <f t="shared" si="78"/>
        <v>36</v>
      </c>
      <c r="AP43" s="868">
        <f t="shared" si="78"/>
        <v>36.799999999999997</v>
      </c>
      <c r="AQ43" s="868">
        <f t="shared" si="78"/>
        <v>37.200000000000003</v>
      </c>
      <c r="AR43" s="868">
        <f t="shared" si="78"/>
        <v>37.6</v>
      </c>
      <c r="AS43" s="868">
        <f t="shared" si="78"/>
        <v>38</v>
      </c>
      <c r="AT43" s="868">
        <f t="shared" si="78"/>
        <v>38.4</v>
      </c>
      <c r="AU43" s="868">
        <f t="shared" si="78"/>
        <v>38.799999999999997</v>
      </c>
      <c r="AV43" s="868">
        <f t="shared" si="78"/>
        <v>39.200000000000003</v>
      </c>
      <c r="AW43" s="868">
        <f t="shared" si="78"/>
        <v>39.6</v>
      </c>
      <c r="AX43" s="868">
        <f t="shared" si="78"/>
        <v>40.4</v>
      </c>
      <c r="AY43" s="868">
        <f t="shared" si="78"/>
        <v>40.799999999999997</v>
      </c>
      <c r="AZ43" s="868">
        <f t="shared" si="78"/>
        <v>41.6</v>
      </c>
      <c r="BA43" s="868">
        <f t="shared" si="78"/>
        <v>42.4</v>
      </c>
      <c r="BB43" s="868">
        <f t="shared" si="78"/>
        <v>43.2</v>
      </c>
      <c r="BC43" s="868">
        <f t="shared" si="78"/>
        <v>44</v>
      </c>
      <c r="BD43" s="868">
        <f t="shared" si="78"/>
        <v>46</v>
      </c>
      <c r="BE43" s="868">
        <f t="shared" si="78"/>
        <v>48</v>
      </c>
      <c r="BF43" s="868">
        <f t="shared" si="78"/>
        <v>50</v>
      </c>
      <c r="BG43" s="868">
        <f t="shared" si="78"/>
        <v>52</v>
      </c>
      <c r="BH43" s="868">
        <f t="shared" si="78"/>
        <v>54</v>
      </c>
      <c r="BI43" s="868">
        <f t="shared" si="78"/>
        <v>56</v>
      </c>
      <c r="BJ43" s="868">
        <f t="shared" si="78"/>
        <v>58</v>
      </c>
      <c r="BK43" s="868">
        <f t="shared" si="78"/>
        <v>60</v>
      </c>
      <c r="BL43" s="868">
        <f t="shared" ref="BL43:BT43" si="79">BL2*$A$43</f>
        <v>64</v>
      </c>
      <c r="BM43" s="868">
        <f t="shared" si="79"/>
        <v>68</v>
      </c>
      <c r="BN43" s="868">
        <f t="shared" si="79"/>
        <v>72</v>
      </c>
      <c r="BO43" s="868">
        <f t="shared" si="79"/>
        <v>76</v>
      </c>
      <c r="BP43" s="868">
        <f t="shared" si="79"/>
        <v>80</v>
      </c>
      <c r="BQ43" s="868">
        <f t="shared" si="79"/>
        <v>84</v>
      </c>
      <c r="BR43" s="868">
        <f t="shared" si="79"/>
        <v>88</v>
      </c>
      <c r="BS43" s="868">
        <f t="shared" si="79"/>
        <v>92</v>
      </c>
      <c r="BT43" s="1927">
        <f t="shared" si="79"/>
        <v>96</v>
      </c>
    </row>
    <row r="44" spans="1:72" s="870" customFormat="1" ht="33.75" customHeight="1">
      <c r="A44" s="1918">
        <v>4.0999999999999996</v>
      </c>
      <c r="B44" s="1926">
        <f>B2*$A$44</f>
        <v>6.1499999999999995</v>
      </c>
      <c r="C44" s="869">
        <f t="shared" ref="C44:BK44" si="80">C2*$A$44</f>
        <v>6.56</v>
      </c>
      <c r="D44" s="868">
        <f t="shared" si="80"/>
        <v>6.9699999999999989</v>
      </c>
      <c r="E44" s="869">
        <f t="shared" si="80"/>
        <v>7.38</v>
      </c>
      <c r="F44" s="868">
        <f t="shared" si="80"/>
        <v>7.7899999999999991</v>
      </c>
      <c r="G44" s="869">
        <f t="shared" si="80"/>
        <v>8.1999999999999993</v>
      </c>
      <c r="H44" s="868">
        <f t="shared" si="80"/>
        <v>8.61</v>
      </c>
      <c r="I44" s="869">
        <f t="shared" si="80"/>
        <v>9.02</v>
      </c>
      <c r="J44" s="868">
        <f t="shared" si="80"/>
        <v>9.4299999999999979</v>
      </c>
      <c r="K44" s="869">
        <f t="shared" si="80"/>
        <v>9.8399999999999981</v>
      </c>
      <c r="L44" s="868">
        <f t="shared" si="80"/>
        <v>10.25</v>
      </c>
      <c r="M44" s="869">
        <f t="shared" si="80"/>
        <v>10.66</v>
      </c>
      <c r="N44" s="868">
        <f t="shared" si="80"/>
        <v>11.07</v>
      </c>
      <c r="O44" s="869">
        <f t="shared" si="80"/>
        <v>11.479999999999999</v>
      </c>
      <c r="P44" s="868">
        <f t="shared" si="80"/>
        <v>11.889999999999999</v>
      </c>
      <c r="Q44" s="869">
        <f t="shared" si="80"/>
        <v>12.299999999999999</v>
      </c>
      <c r="R44" s="868">
        <f t="shared" si="80"/>
        <v>12.709999999999999</v>
      </c>
      <c r="S44" s="869">
        <f t="shared" si="80"/>
        <v>13.12</v>
      </c>
      <c r="T44" s="868">
        <f t="shared" si="80"/>
        <v>13.529999999999998</v>
      </c>
      <c r="U44" s="869">
        <f t="shared" si="80"/>
        <v>13.939999999999998</v>
      </c>
      <c r="V44" s="868">
        <f t="shared" si="80"/>
        <v>14.349999999999998</v>
      </c>
      <c r="W44" s="869">
        <f t="shared" si="80"/>
        <v>14.76</v>
      </c>
      <c r="X44" s="868">
        <f t="shared" si="80"/>
        <v>15.17</v>
      </c>
      <c r="Y44" s="869">
        <f t="shared" si="80"/>
        <v>15.579999999999998</v>
      </c>
      <c r="Z44" s="868">
        <f t="shared" si="80"/>
        <v>15.989999999999998</v>
      </c>
      <c r="AA44" s="869">
        <f t="shared" si="80"/>
        <v>16.399999999999999</v>
      </c>
      <c r="AB44" s="868">
        <f t="shared" si="80"/>
        <v>16.809999999999999</v>
      </c>
      <c r="AC44" s="869">
        <f t="shared" si="80"/>
        <v>17.22</v>
      </c>
      <c r="AD44" s="868">
        <f t="shared" si="80"/>
        <v>17.63</v>
      </c>
      <c r="AE44" s="869">
        <f t="shared" si="80"/>
        <v>18.04</v>
      </c>
      <c r="AF44" s="1927">
        <f t="shared" si="80"/>
        <v>18.45</v>
      </c>
      <c r="AG44" s="1918">
        <v>4.0999999999999996</v>
      </c>
      <c r="AH44" s="1936">
        <f t="shared" si="80"/>
        <v>25.83</v>
      </c>
      <c r="AI44" s="868">
        <f t="shared" si="80"/>
        <v>27.879999999999995</v>
      </c>
      <c r="AJ44" s="869">
        <f t="shared" si="80"/>
        <v>29.929999999999996</v>
      </c>
      <c r="AK44" s="868">
        <f t="shared" si="80"/>
        <v>31.159999999999997</v>
      </c>
      <c r="AL44" s="869">
        <f t="shared" si="80"/>
        <v>31.979999999999997</v>
      </c>
      <c r="AM44" s="868">
        <f t="shared" si="80"/>
        <v>33.209999999999994</v>
      </c>
      <c r="AN44" s="869">
        <f t="shared" si="80"/>
        <v>35.669999999999995</v>
      </c>
      <c r="AO44" s="868">
        <f t="shared" si="80"/>
        <v>36.9</v>
      </c>
      <c r="AP44" s="869">
        <f t="shared" si="80"/>
        <v>37.719999999999992</v>
      </c>
      <c r="AQ44" s="868">
        <f t="shared" si="80"/>
        <v>38.130000000000003</v>
      </c>
      <c r="AR44" s="869">
        <f t="shared" si="80"/>
        <v>38.54</v>
      </c>
      <c r="AS44" s="868">
        <f t="shared" si="80"/>
        <v>38.949999999999996</v>
      </c>
      <c r="AT44" s="869">
        <f t="shared" si="80"/>
        <v>39.359999999999992</v>
      </c>
      <c r="AU44" s="868">
        <f t="shared" si="80"/>
        <v>39.769999999999996</v>
      </c>
      <c r="AV44" s="869">
        <f t="shared" si="80"/>
        <v>40.18</v>
      </c>
      <c r="AW44" s="868">
        <f t="shared" si="80"/>
        <v>40.589999999999996</v>
      </c>
      <c r="AX44" s="869">
        <f t="shared" si="80"/>
        <v>41.41</v>
      </c>
      <c r="AY44" s="868">
        <f t="shared" si="80"/>
        <v>41.819999999999993</v>
      </c>
      <c r="AZ44" s="869">
        <f t="shared" si="80"/>
        <v>42.64</v>
      </c>
      <c r="BA44" s="868">
        <f t="shared" si="80"/>
        <v>43.459999999999994</v>
      </c>
      <c r="BB44" s="869">
        <f t="shared" si="80"/>
        <v>44.28</v>
      </c>
      <c r="BC44" s="868">
        <f t="shared" si="80"/>
        <v>45.099999999999994</v>
      </c>
      <c r="BD44" s="869">
        <f t="shared" si="80"/>
        <v>47.15</v>
      </c>
      <c r="BE44" s="868">
        <f t="shared" si="80"/>
        <v>49.199999999999996</v>
      </c>
      <c r="BF44" s="869">
        <f t="shared" si="80"/>
        <v>51.249999999999993</v>
      </c>
      <c r="BG44" s="868">
        <f t="shared" si="80"/>
        <v>53.3</v>
      </c>
      <c r="BH44" s="869">
        <f t="shared" si="80"/>
        <v>55.349999999999994</v>
      </c>
      <c r="BI44" s="868">
        <f t="shared" si="80"/>
        <v>57.399999999999991</v>
      </c>
      <c r="BJ44" s="869">
        <f t="shared" si="80"/>
        <v>59.449999999999996</v>
      </c>
      <c r="BK44" s="868">
        <f t="shared" si="80"/>
        <v>61.499999999999993</v>
      </c>
      <c r="BL44" s="869">
        <f t="shared" ref="BL44:BT44" si="81">BL2*$A$44</f>
        <v>65.599999999999994</v>
      </c>
      <c r="BM44" s="868">
        <f t="shared" si="81"/>
        <v>69.699999999999989</v>
      </c>
      <c r="BN44" s="869">
        <f t="shared" si="81"/>
        <v>73.8</v>
      </c>
      <c r="BO44" s="868">
        <f t="shared" si="81"/>
        <v>77.899999999999991</v>
      </c>
      <c r="BP44" s="869">
        <f t="shared" si="81"/>
        <v>82</v>
      </c>
      <c r="BQ44" s="868">
        <f t="shared" si="81"/>
        <v>86.1</v>
      </c>
      <c r="BR44" s="869">
        <f t="shared" si="81"/>
        <v>90.199999999999989</v>
      </c>
      <c r="BS44" s="868">
        <f t="shared" si="81"/>
        <v>94.3</v>
      </c>
      <c r="BT44" s="1937">
        <f t="shared" si="81"/>
        <v>98.399999999999991</v>
      </c>
    </row>
    <row r="45" spans="1:72" s="873" customFormat="1" ht="33.75" customHeight="1">
      <c r="A45" s="1919">
        <v>4.2</v>
      </c>
      <c r="B45" s="1926">
        <f>B2*$A$45</f>
        <v>6.3000000000000007</v>
      </c>
      <c r="C45" s="868">
        <f t="shared" ref="C45:BK45" si="82">C2*$A$45</f>
        <v>6.7200000000000006</v>
      </c>
      <c r="D45" s="868">
        <f t="shared" si="82"/>
        <v>7.14</v>
      </c>
      <c r="E45" s="868">
        <f t="shared" si="82"/>
        <v>7.5600000000000005</v>
      </c>
      <c r="F45" s="868">
        <f t="shared" si="82"/>
        <v>7.9799999999999995</v>
      </c>
      <c r="G45" s="868">
        <f t="shared" si="82"/>
        <v>8.4</v>
      </c>
      <c r="H45" s="868">
        <f t="shared" si="82"/>
        <v>8.82</v>
      </c>
      <c r="I45" s="868">
        <f t="shared" si="82"/>
        <v>9.240000000000002</v>
      </c>
      <c r="J45" s="868">
        <f t="shared" si="82"/>
        <v>9.66</v>
      </c>
      <c r="K45" s="868">
        <f t="shared" si="82"/>
        <v>10.08</v>
      </c>
      <c r="L45" s="868">
        <f t="shared" si="82"/>
        <v>10.5</v>
      </c>
      <c r="M45" s="868">
        <f t="shared" si="82"/>
        <v>10.920000000000002</v>
      </c>
      <c r="N45" s="868">
        <f t="shared" si="82"/>
        <v>11.340000000000002</v>
      </c>
      <c r="O45" s="868">
        <f t="shared" si="82"/>
        <v>11.76</v>
      </c>
      <c r="P45" s="868">
        <f t="shared" si="82"/>
        <v>12.18</v>
      </c>
      <c r="Q45" s="868">
        <f t="shared" si="82"/>
        <v>12.600000000000001</v>
      </c>
      <c r="R45" s="868">
        <f t="shared" si="82"/>
        <v>13.020000000000001</v>
      </c>
      <c r="S45" s="868">
        <f t="shared" si="82"/>
        <v>13.440000000000001</v>
      </c>
      <c r="T45" s="868">
        <f t="shared" si="82"/>
        <v>13.86</v>
      </c>
      <c r="U45" s="868">
        <f t="shared" si="82"/>
        <v>14.28</v>
      </c>
      <c r="V45" s="868">
        <f t="shared" si="82"/>
        <v>14.700000000000001</v>
      </c>
      <c r="W45" s="868">
        <f t="shared" si="82"/>
        <v>15.120000000000001</v>
      </c>
      <c r="X45" s="868">
        <f t="shared" si="82"/>
        <v>15.540000000000001</v>
      </c>
      <c r="Y45" s="868">
        <f t="shared" si="82"/>
        <v>15.959999999999999</v>
      </c>
      <c r="Z45" s="868">
        <f t="shared" si="82"/>
        <v>16.38</v>
      </c>
      <c r="AA45" s="868">
        <f t="shared" si="82"/>
        <v>16.8</v>
      </c>
      <c r="AB45" s="868">
        <f t="shared" si="82"/>
        <v>17.22</v>
      </c>
      <c r="AC45" s="868">
        <f t="shared" si="82"/>
        <v>17.64</v>
      </c>
      <c r="AD45" s="868">
        <f t="shared" si="82"/>
        <v>18.059999999999999</v>
      </c>
      <c r="AE45" s="868">
        <f t="shared" si="82"/>
        <v>18.480000000000004</v>
      </c>
      <c r="AF45" s="1927">
        <f t="shared" si="82"/>
        <v>18.900000000000002</v>
      </c>
      <c r="AG45" s="1919">
        <v>4.2</v>
      </c>
      <c r="AH45" s="1926">
        <f t="shared" si="82"/>
        <v>26.46</v>
      </c>
      <c r="AI45" s="868">
        <f t="shared" si="82"/>
        <v>28.56</v>
      </c>
      <c r="AJ45" s="868">
        <f t="shared" si="82"/>
        <v>30.66</v>
      </c>
      <c r="AK45" s="868">
        <f t="shared" si="82"/>
        <v>31.919999999999998</v>
      </c>
      <c r="AL45" s="868">
        <f t="shared" si="82"/>
        <v>32.76</v>
      </c>
      <c r="AM45" s="868">
        <f t="shared" si="82"/>
        <v>34.020000000000003</v>
      </c>
      <c r="AN45" s="868">
        <f t="shared" si="82"/>
        <v>36.54</v>
      </c>
      <c r="AO45" s="868">
        <f t="shared" si="82"/>
        <v>37.800000000000004</v>
      </c>
      <c r="AP45" s="868">
        <f t="shared" si="82"/>
        <v>38.64</v>
      </c>
      <c r="AQ45" s="868">
        <f t="shared" si="82"/>
        <v>39.06</v>
      </c>
      <c r="AR45" s="868">
        <f t="shared" si="82"/>
        <v>39.480000000000004</v>
      </c>
      <c r="AS45" s="868">
        <f t="shared" si="82"/>
        <v>39.9</v>
      </c>
      <c r="AT45" s="868">
        <f t="shared" si="82"/>
        <v>40.32</v>
      </c>
      <c r="AU45" s="868">
        <f t="shared" si="82"/>
        <v>40.74</v>
      </c>
      <c r="AV45" s="868">
        <f t="shared" si="82"/>
        <v>41.160000000000004</v>
      </c>
      <c r="AW45" s="868">
        <f t="shared" si="82"/>
        <v>41.580000000000005</v>
      </c>
      <c r="AX45" s="868">
        <f t="shared" si="82"/>
        <v>42.42</v>
      </c>
      <c r="AY45" s="868">
        <f t="shared" si="82"/>
        <v>42.839999999999996</v>
      </c>
      <c r="AZ45" s="868">
        <f t="shared" si="82"/>
        <v>43.680000000000007</v>
      </c>
      <c r="BA45" s="868">
        <f t="shared" si="82"/>
        <v>44.52</v>
      </c>
      <c r="BB45" s="868">
        <f t="shared" si="82"/>
        <v>45.360000000000007</v>
      </c>
      <c r="BC45" s="868">
        <f t="shared" si="82"/>
        <v>46.2</v>
      </c>
      <c r="BD45" s="868">
        <f t="shared" si="82"/>
        <v>48.300000000000004</v>
      </c>
      <c r="BE45" s="868">
        <f t="shared" si="82"/>
        <v>50.400000000000006</v>
      </c>
      <c r="BF45" s="868">
        <f t="shared" si="82"/>
        <v>52.5</v>
      </c>
      <c r="BG45" s="868">
        <f t="shared" si="82"/>
        <v>54.6</v>
      </c>
      <c r="BH45" s="868">
        <f t="shared" si="82"/>
        <v>56.7</v>
      </c>
      <c r="BI45" s="868">
        <f t="shared" si="82"/>
        <v>58.800000000000004</v>
      </c>
      <c r="BJ45" s="868">
        <f t="shared" si="82"/>
        <v>60.900000000000006</v>
      </c>
      <c r="BK45" s="868">
        <f t="shared" si="82"/>
        <v>63</v>
      </c>
      <c r="BL45" s="868">
        <f t="shared" ref="BL45:BT45" si="83">BL2*$A$45</f>
        <v>67.2</v>
      </c>
      <c r="BM45" s="868">
        <f t="shared" si="83"/>
        <v>71.400000000000006</v>
      </c>
      <c r="BN45" s="868">
        <f t="shared" si="83"/>
        <v>75.600000000000009</v>
      </c>
      <c r="BO45" s="868">
        <f t="shared" si="83"/>
        <v>79.8</v>
      </c>
      <c r="BP45" s="868">
        <f t="shared" si="83"/>
        <v>84</v>
      </c>
      <c r="BQ45" s="868">
        <f t="shared" si="83"/>
        <v>88.2</v>
      </c>
      <c r="BR45" s="868">
        <f t="shared" si="83"/>
        <v>92.4</v>
      </c>
      <c r="BS45" s="868">
        <f t="shared" si="83"/>
        <v>96.600000000000009</v>
      </c>
      <c r="BT45" s="1927">
        <f t="shared" si="83"/>
        <v>100.80000000000001</v>
      </c>
    </row>
    <row r="46" spans="1:72" s="874" customFormat="1" ht="33.75" customHeight="1">
      <c r="A46" s="1920">
        <v>4.3</v>
      </c>
      <c r="B46" s="1926">
        <f>B2*$A$46</f>
        <v>6.4499999999999993</v>
      </c>
      <c r="C46" s="871">
        <f t="shared" ref="C46:BK46" si="84">C2*$A$46</f>
        <v>6.88</v>
      </c>
      <c r="D46" s="868">
        <f t="shared" si="84"/>
        <v>7.31</v>
      </c>
      <c r="E46" s="871">
        <f t="shared" si="84"/>
        <v>7.74</v>
      </c>
      <c r="F46" s="868">
        <f t="shared" si="84"/>
        <v>8.17</v>
      </c>
      <c r="G46" s="871">
        <f t="shared" si="84"/>
        <v>8.6</v>
      </c>
      <c r="H46" s="868">
        <f t="shared" si="84"/>
        <v>9.0299999999999994</v>
      </c>
      <c r="I46" s="871">
        <f t="shared" si="84"/>
        <v>9.4600000000000009</v>
      </c>
      <c r="J46" s="868">
        <f t="shared" si="84"/>
        <v>9.8899999999999988</v>
      </c>
      <c r="K46" s="871">
        <f t="shared" si="84"/>
        <v>10.319999999999999</v>
      </c>
      <c r="L46" s="868">
        <f t="shared" si="84"/>
        <v>10.75</v>
      </c>
      <c r="M46" s="871">
        <f t="shared" si="84"/>
        <v>11.18</v>
      </c>
      <c r="N46" s="868">
        <f t="shared" si="84"/>
        <v>11.61</v>
      </c>
      <c r="O46" s="871">
        <f t="shared" si="84"/>
        <v>12.04</v>
      </c>
      <c r="P46" s="868">
        <f t="shared" si="84"/>
        <v>12.469999999999999</v>
      </c>
      <c r="Q46" s="871">
        <f t="shared" si="84"/>
        <v>12.899999999999999</v>
      </c>
      <c r="R46" s="868">
        <f t="shared" si="84"/>
        <v>13.33</v>
      </c>
      <c r="S46" s="871">
        <f t="shared" si="84"/>
        <v>13.76</v>
      </c>
      <c r="T46" s="868">
        <f t="shared" si="84"/>
        <v>14.19</v>
      </c>
      <c r="U46" s="871">
        <f t="shared" si="84"/>
        <v>14.62</v>
      </c>
      <c r="V46" s="868">
        <f t="shared" si="84"/>
        <v>15.049999999999999</v>
      </c>
      <c r="W46" s="871">
        <f t="shared" si="84"/>
        <v>15.48</v>
      </c>
      <c r="X46" s="868">
        <f t="shared" si="84"/>
        <v>15.91</v>
      </c>
      <c r="Y46" s="871">
        <f t="shared" si="84"/>
        <v>16.34</v>
      </c>
      <c r="Z46" s="868">
        <f t="shared" si="84"/>
        <v>16.77</v>
      </c>
      <c r="AA46" s="871">
        <f t="shared" si="84"/>
        <v>17.2</v>
      </c>
      <c r="AB46" s="868">
        <f t="shared" si="84"/>
        <v>17.63</v>
      </c>
      <c r="AC46" s="871">
        <f t="shared" si="84"/>
        <v>18.059999999999999</v>
      </c>
      <c r="AD46" s="868">
        <f t="shared" si="84"/>
        <v>18.489999999999998</v>
      </c>
      <c r="AE46" s="871">
        <f t="shared" si="84"/>
        <v>18.920000000000002</v>
      </c>
      <c r="AF46" s="1927">
        <f t="shared" si="84"/>
        <v>19.349999999999998</v>
      </c>
      <c r="AG46" s="1920">
        <v>4.3</v>
      </c>
      <c r="AH46" s="1938">
        <f t="shared" si="84"/>
        <v>27.09</v>
      </c>
      <c r="AI46" s="868">
        <f t="shared" si="84"/>
        <v>29.24</v>
      </c>
      <c r="AJ46" s="871">
        <f t="shared" si="84"/>
        <v>31.389999999999997</v>
      </c>
      <c r="AK46" s="868">
        <f t="shared" si="84"/>
        <v>32.68</v>
      </c>
      <c r="AL46" s="871">
        <f t="shared" si="84"/>
        <v>33.54</v>
      </c>
      <c r="AM46" s="868">
        <f t="shared" si="84"/>
        <v>34.83</v>
      </c>
      <c r="AN46" s="871">
        <f t="shared" si="84"/>
        <v>37.409999999999997</v>
      </c>
      <c r="AO46" s="868">
        <f t="shared" si="84"/>
        <v>38.699999999999996</v>
      </c>
      <c r="AP46" s="871">
        <f t="shared" si="84"/>
        <v>39.559999999999995</v>
      </c>
      <c r="AQ46" s="868">
        <f t="shared" si="84"/>
        <v>39.99</v>
      </c>
      <c r="AR46" s="871">
        <f t="shared" si="84"/>
        <v>40.42</v>
      </c>
      <c r="AS46" s="868">
        <f t="shared" si="84"/>
        <v>40.85</v>
      </c>
      <c r="AT46" s="871">
        <f t="shared" si="84"/>
        <v>41.279999999999994</v>
      </c>
      <c r="AU46" s="868">
        <f t="shared" si="84"/>
        <v>41.709999999999994</v>
      </c>
      <c r="AV46" s="871">
        <f t="shared" si="84"/>
        <v>42.14</v>
      </c>
      <c r="AW46" s="868">
        <f t="shared" si="84"/>
        <v>42.57</v>
      </c>
      <c r="AX46" s="871">
        <f t="shared" si="84"/>
        <v>43.43</v>
      </c>
      <c r="AY46" s="868">
        <f t="shared" si="84"/>
        <v>43.859999999999992</v>
      </c>
      <c r="AZ46" s="871">
        <f t="shared" si="84"/>
        <v>44.72</v>
      </c>
      <c r="BA46" s="868">
        <f t="shared" si="84"/>
        <v>45.58</v>
      </c>
      <c r="BB46" s="871">
        <f t="shared" si="84"/>
        <v>46.44</v>
      </c>
      <c r="BC46" s="868">
        <f t="shared" si="84"/>
        <v>47.3</v>
      </c>
      <c r="BD46" s="871">
        <f t="shared" si="84"/>
        <v>49.449999999999996</v>
      </c>
      <c r="BE46" s="868">
        <f t="shared" si="84"/>
        <v>51.599999999999994</v>
      </c>
      <c r="BF46" s="871">
        <f t="shared" si="84"/>
        <v>53.75</v>
      </c>
      <c r="BG46" s="868">
        <f t="shared" si="84"/>
        <v>55.9</v>
      </c>
      <c r="BH46" s="871">
        <f t="shared" si="84"/>
        <v>58.05</v>
      </c>
      <c r="BI46" s="868">
        <f t="shared" si="84"/>
        <v>60.199999999999996</v>
      </c>
      <c r="BJ46" s="871">
        <f t="shared" si="84"/>
        <v>62.349999999999994</v>
      </c>
      <c r="BK46" s="868">
        <f t="shared" si="84"/>
        <v>64.5</v>
      </c>
      <c r="BL46" s="871">
        <f t="shared" ref="BL46:BT46" si="85">BL2*$A$46</f>
        <v>68.8</v>
      </c>
      <c r="BM46" s="868">
        <f t="shared" si="85"/>
        <v>73.099999999999994</v>
      </c>
      <c r="BN46" s="871">
        <f t="shared" si="85"/>
        <v>77.399999999999991</v>
      </c>
      <c r="BO46" s="868">
        <f t="shared" si="85"/>
        <v>81.7</v>
      </c>
      <c r="BP46" s="871">
        <f t="shared" si="85"/>
        <v>86</v>
      </c>
      <c r="BQ46" s="868">
        <f t="shared" si="85"/>
        <v>90.3</v>
      </c>
      <c r="BR46" s="871">
        <f t="shared" si="85"/>
        <v>94.6</v>
      </c>
      <c r="BS46" s="868">
        <f t="shared" si="85"/>
        <v>98.899999999999991</v>
      </c>
      <c r="BT46" s="1939">
        <f t="shared" si="85"/>
        <v>103.19999999999999</v>
      </c>
    </row>
    <row r="47" spans="1:72" s="873" customFormat="1" ht="33.75" customHeight="1">
      <c r="A47" s="1919">
        <v>4.4000000000000004</v>
      </c>
      <c r="B47" s="1926">
        <f>B2*$A$47</f>
        <v>6.6000000000000005</v>
      </c>
      <c r="C47" s="868">
        <f t="shared" ref="C47:BK47" si="86">C2*$A$47</f>
        <v>7.0400000000000009</v>
      </c>
      <c r="D47" s="868">
        <f t="shared" si="86"/>
        <v>7.48</v>
      </c>
      <c r="E47" s="868">
        <f t="shared" si="86"/>
        <v>7.9200000000000008</v>
      </c>
      <c r="F47" s="868">
        <f t="shared" si="86"/>
        <v>8.36</v>
      </c>
      <c r="G47" s="868">
        <f t="shared" si="86"/>
        <v>8.8000000000000007</v>
      </c>
      <c r="H47" s="868">
        <f t="shared" si="86"/>
        <v>9.240000000000002</v>
      </c>
      <c r="I47" s="868">
        <f t="shared" si="86"/>
        <v>9.6800000000000015</v>
      </c>
      <c r="J47" s="868">
        <f t="shared" si="86"/>
        <v>10.119999999999999</v>
      </c>
      <c r="K47" s="868">
        <f t="shared" si="86"/>
        <v>10.56</v>
      </c>
      <c r="L47" s="868">
        <f t="shared" si="86"/>
        <v>11</v>
      </c>
      <c r="M47" s="868">
        <f t="shared" si="86"/>
        <v>11.440000000000001</v>
      </c>
      <c r="N47" s="868">
        <f t="shared" si="86"/>
        <v>11.880000000000003</v>
      </c>
      <c r="O47" s="868">
        <f t="shared" si="86"/>
        <v>12.32</v>
      </c>
      <c r="P47" s="868">
        <f t="shared" si="86"/>
        <v>12.76</v>
      </c>
      <c r="Q47" s="868">
        <f t="shared" si="86"/>
        <v>13.200000000000001</v>
      </c>
      <c r="R47" s="868">
        <f t="shared" si="86"/>
        <v>13.640000000000002</v>
      </c>
      <c r="S47" s="868">
        <f t="shared" si="86"/>
        <v>14.080000000000002</v>
      </c>
      <c r="T47" s="868">
        <f t="shared" si="86"/>
        <v>14.52</v>
      </c>
      <c r="U47" s="868">
        <f t="shared" si="86"/>
        <v>14.96</v>
      </c>
      <c r="V47" s="868">
        <f t="shared" si="86"/>
        <v>15.400000000000002</v>
      </c>
      <c r="W47" s="868">
        <f t="shared" si="86"/>
        <v>15.840000000000002</v>
      </c>
      <c r="X47" s="868">
        <f t="shared" si="86"/>
        <v>16.28</v>
      </c>
      <c r="Y47" s="868">
        <f t="shared" si="86"/>
        <v>16.72</v>
      </c>
      <c r="Z47" s="868">
        <f t="shared" si="86"/>
        <v>17.16</v>
      </c>
      <c r="AA47" s="868">
        <f t="shared" si="86"/>
        <v>17.600000000000001</v>
      </c>
      <c r="AB47" s="868">
        <f t="shared" si="86"/>
        <v>18.04</v>
      </c>
      <c r="AC47" s="868">
        <f t="shared" si="86"/>
        <v>18.480000000000004</v>
      </c>
      <c r="AD47" s="868">
        <f t="shared" si="86"/>
        <v>18.920000000000002</v>
      </c>
      <c r="AE47" s="868">
        <f t="shared" si="86"/>
        <v>19.360000000000003</v>
      </c>
      <c r="AF47" s="1927">
        <f t="shared" si="86"/>
        <v>19.8</v>
      </c>
      <c r="AG47" s="1919">
        <v>4.4000000000000004</v>
      </c>
      <c r="AH47" s="1926">
        <f t="shared" si="86"/>
        <v>27.720000000000002</v>
      </c>
      <c r="AI47" s="868">
        <f t="shared" si="86"/>
        <v>29.92</v>
      </c>
      <c r="AJ47" s="868">
        <f t="shared" si="86"/>
        <v>32.120000000000005</v>
      </c>
      <c r="AK47" s="868">
        <f t="shared" si="86"/>
        <v>33.44</v>
      </c>
      <c r="AL47" s="868">
        <f t="shared" si="86"/>
        <v>34.32</v>
      </c>
      <c r="AM47" s="868">
        <f t="shared" si="86"/>
        <v>35.64</v>
      </c>
      <c r="AN47" s="868">
        <f t="shared" si="86"/>
        <v>38.28</v>
      </c>
      <c r="AO47" s="868">
        <f t="shared" si="86"/>
        <v>39.6</v>
      </c>
      <c r="AP47" s="868">
        <f t="shared" si="86"/>
        <v>40.479999999999997</v>
      </c>
      <c r="AQ47" s="868">
        <f t="shared" si="86"/>
        <v>40.920000000000009</v>
      </c>
      <c r="AR47" s="868">
        <f t="shared" si="86"/>
        <v>41.360000000000007</v>
      </c>
      <c r="AS47" s="868">
        <f t="shared" si="86"/>
        <v>41.800000000000004</v>
      </c>
      <c r="AT47" s="868">
        <f t="shared" si="86"/>
        <v>42.24</v>
      </c>
      <c r="AU47" s="868">
        <f t="shared" si="86"/>
        <v>42.68</v>
      </c>
      <c r="AV47" s="868">
        <f t="shared" si="86"/>
        <v>43.120000000000005</v>
      </c>
      <c r="AW47" s="868">
        <f t="shared" si="86"/>
        <v>43.56</v>
      </c>
      <c r="AX47" s="868">
        <f t="shared" si="86"/>
        <v>44.440000000000005</v>
      </c>
      <c r="AY47" s="868">
        <f t="shared" si="86"/>
        <v>44.88</v>
      </c>
      <c r="AZ47" s="868">
        <f t="shared" si="86"/>
        <v>45.760000000000005</v>
      </c>
      <c r="BA47" s="868">
        <f t="shared" si="86"/>
        <v>46.64</v>
      </c>
      <c r="BB47" s="868">
        <f t="shared" si="86"/>
        <v>47.52000000000001</v>
      </c>
      <c r="BC47" s="868">
        <f t="shared" si="86"/>
        <v>48.400000000000006</v>
      </c>
      <c r="BD47" s="868">
        <f t="shared" si="86"/>
        <v>50.6</v>
      </c>
      <c r="BE47" s="868">
        <f t="shared" si="86"/>
        <v>52.800000000000004</v>
      </c>
      <c r="BF47" s="868">
        <f t="shared" si="86"/>
        <v>55.000000000000007</v>
      </c>
      <c r="BG47" s="868">
        <f t="shared" si="86"/>
        <v>57.2</v>
      </c>
      <c r="BH47" s="868">
        <f t="shared" si="86"/>
        <v>59.400000000000006</v>
      </c>
      <c r="BI47" s="868">
        <f t="shared" si="86"/>
        <v>61.600000000000009</v>
      </c>
      <c r="BJ47" s="868">
        <f t="shared" si="86"/>
        <v>63.800000000000004</v>
      </c>
      <c r="BK47" s="868">
        <f t="shared" si="86"/>
        <v>66</v>
      </c>
      <c r="BL47" s="868">
        <f t="shared" ref="BL47:BT47" si="87">BL2*$A$47</f>
        <v>70.400000000000006</v>
      </c>
      <c r="BM47" s="868">
        <f t="shared" si="87"/>
        <v>74.800000000000011</v>
      </c>
      <c r="BN47" s="868">
        <f t="shared" si="87"/>
        <v>79.2</v>
      </c>
      <c r="BO47" s="868">
        <f t="shared" si="87"/>
        <v>83.600000000000009</v>
      </c>
      <c r="BP47" s="868">
        <f t="shared" si="87"/>
        <v>88</v>
      </c>
      <c r="BQ47" s="868">
        <f t="shared" si="87"/>
        <v>92.4</v>
      </c>
      <c r="BR47" s="868">
        <f t="shared" si="87"/>
        <v>96.800000000000011</v>
      </c>
      <c r="BS47" s="868">
        <f t="shared" si="87"/>
        <v>101.2</v>
      </c>
      <c r="BT47" s="1927">
        <f t="shared" si="87"/>
        <v>105.60000000000001</v>
      </c>
    </row>
    <row r="48" spans="1:72" s="874" customFormat="1" ht="33.75" customHeight="1">
      <c r="A48" s="1920">
        <v>4.5</v>
      </c>
      <c r="B48" s="1926">
        <f>B2*$A$48</f>
        <v>6.75</v>
      </c>
      <c r="C48" s="871">
        <f t="shared" ref="C48:BK48" si="88">C2*$A$48</f>
        <v>7.2</v>
      </c>
      <c r="D48" s="868">
        <f t="shared" si="88"/>
        <v>7.6499999999999995</v>
      </c>
      <c r="E48" s="871">
        <f t="shared" si="88"/>
        <v>8.1</v>
      </c>
      <c r="F48" s="868">
        <f t="shared" si="88"/>
        <v>8.5499999999999989</v>
      </c>
      <c r="G48" s="871">
        <f t="shared" si="88"/>
        <v>9</v>
      </c>
      <c r="H48" s="868">
        <f t="shared" si="88"/>
        <v>9.4500000000000011</v>
      </c>
      <c r="I48" s="871">
        <f t="shared" si="88"/>
        <v>9.9</v>
      </c>
      <c r="J48" s="868">
        <f t="shared" si="88"/>
        <v>10.35</v>
      </c>
      <c r="K48" s="871">
        <f t="shared" si="88"/>
        <v>10.799999999999999</v>
      </c>
      <c r="L48" s="868">
        <f t="shared" si="88"/>
        <v>11.25</v>
      </c>
      <c r="M48" s="871">
        <f t="shared" si="88"/>
        <v>11.700000000000001</v>
      </c>
      <c r="N48" s="868">
        <f t="shared" si="88"/>
        <v>12.15</v>
      </c>
      <c r="O48" s="871">
        <f t="shared" si="88"/>
        <v>12.6</v>
      </c>
      <c r="P48" s="868">
        <f t="shared" si="88"/>
        <v>13.049999999999999</v>
      </c>
      <c r="Q48" s="871">
        <f t="shared" si="88"/>
        <v>13.5</v>
      </c>
      <c r="R48" s="868">
        <f t="shared" si="88"/>
        <v>13.950000000000001</v>
      </c>
      <c r="S48" s="871">
        <f t="shared" si="88"/>
        <v>14.4</v>
      </c>
      <c r="T48" s="868">
        <f t="shared" si="88"/>
        <v>14.85</v>
      </c>
      <c r="U48" s="871">
        <f t="shared" si="88"/>
        <v>15.299999999999999</v>
      </c>
      <c r="V48" s="868">
        <f t="shared" si="88"/>
        <v>15.75</v>
      </c>
      <c r="W48" s="871">
        <f t="shared" si="88"/>
        <v>16.2</v>
      </c>
      <c r="X48" s="868">
        <f t="shared" si="88"/>
        <v>16.650000000000002</v>
      </c>
      <c r="Y48" s="871">
        <f t="shared" si="88"/>
        <v>17.099999999999998</v>
      </c>
      <c r="Z48" s="868">
        <f t="shared" si="88"/>
        <v>17.55</v>
      </c>
      <c r="AA48" s="871">
        <f t="shared" si="88"/>
        <v>18</v>
      </c>
      <c r="AB48" s="868">
        <f t="shared" si="88"/>
        <v>18.45</v>
      </c>
      <c r="AC48" s="871">
        <f t="shared" si="88"/>
        <v>18.900000000000002</v>
      </c>
      <c r="AD48" s="868">
        <f t="shared" si="88"/>
        <v>19.349999999999998</v>
      </c>
      <c r="AE48" s="871">
        <f t="shared" si="88"/>
        <v>19.8</v>
      </c>
      <c r="AF48" s="1927">
        <f t="shared" si="88"/>
        <v>20.25</v>
      </c>
      <c r="AG48" s="1920">
        <v>4.5</v>
      </c>
      <c r="AH48" s="1938">
        <f t="shared" si="88"/>
        <v>28.349999999999998</v>
      </c>
      <c r="AI48" s="868">
        <f t="shared" si="88"/>
        <v>30.599999999999998</v>
      </c>
      <c r="AJ48" s="871">
        <f t="shared" si="88"/>
        <v>32.85</v>
      </c>
      <c r="AK48" s="868">
        <f t="shared" si="88"/>
        <v>34.199999999999996</v>
      </c>
      <c r="AL48" s="871">
        <f t="shared" si="88"/>
        <v>35.1</v>
      </c>
      <c r="AM48" s="868">
        <f t="shared" si="88"/>
        <v>36.449999999999996</v>
      </c>
      <c r="AN48" s="871">
        <f t="shared" si="88"/>
        <v>39.15</v>
      </c>
      <c r="AO48" s="868">
        <f t="shared" si="88"/>
        <v>40.5</v>
      </c>
      <c r="AP48" s="871">
        <f t="shared" si="88"/>
        <v>41.4</v>
      </c>
      <c r="AQ48" s="868">
        <f t="shared" si="88"/>
        <v>41.85</v>
      </c>
      <c r="AR48" s="871">
        <f t="shared" si="88"/>
        <v>42.300000000000004</v>
      </c>
      <c r="AS48" s="868">
        <f t="shared" si="88"/>
        <v>42.75</v>
      </c>
      <c r="AT48" s="871">
        <f t="shared" si="88"/>
        <v>43.199999999999996</v>
      </c>
      <c r="AU48" s="868">
        <f t="shared" si="88"/>
        <v>43.65</v>
      </c>
      <c r="AV48" s="871">
        <f t="shared" si="88"/>
        <v>44.1</v>
      </c>
      <c r="AW48" s="868">
        <f t="shared" si="88"/>
        <v>44.550000000000004</v>
      </c>
      <c r="AX48" s="871">
        <f t="shared" si="88"/>
        <v>45.449999999999996</v>
      </c>
      <c r="AY48" s="868">
        <f t="shared" si="88"/>
        <v>45.9</v>
      </c>
      <c r="AZ48" s="871">
        <f t="shared" si="88"/>
        <v>46.800000000000004</v>
      </c>
      <c r="BA48" s="868">
        <f t="shared" si="88"/>
        <v>47.699999999999996</v>
      </c>
      <c r="BB48" s="871">
        <f t="shared" si="88"/>
        <v>48.6</v>
      </c>
      <c r="BC48" s="868">
        <f t="shared" si="88"/>
        <v>49.5</v>
      </c>
      <c r="BD48" s="871">
        <f t="shared" si="88"/>
        <v>51.75</v>
      </c>
      <c r="BE48" s="868">
        <f t="shared" si="88"/>
        <v>54</v>
      </c>
      <c r="BF48" s="871">
        <f t="shared" si="88"/>
        <v>56.25</v>
      </c>
      <c r="BG48" s="868">
        <f t="shared" si="88"/>
        <v>58.5</v>
      </c>
      <c r="BH48" s="871">
        <f t="shared" si="88"/>
        <v>60.75</v>
      </c>
      <c r="BI48" s="868">
        <f t="shared" si="88"/>
        <v>63</v>
      </c>
      <c r="BJ48" s="871">
        <f t="shared" si="88"/>
        <v>65.25</v>
      </c>
      <c r="BK48" s="868">
        <f t="shared" si="88"/>
        <v>67.5</v>
      </c>
      <c r="BL48" s="871">
        <f t="shared" ref="BL48:BT48" si="89">BL2*$A$48</f>
        <v>72</v>
      </c>
      <c r="BM48" s="868">
        <f t="shared" si="89"/>
        <v>76.5</v>
      </c>
      <c r="BN48" s="871">
        <f t="shared" si="89"/>
        <v>81</v>
      </c>
      <c r="BO48" s="868">
        <f t="shared" si="89"/>
        <v>85.5</v>
      </c>
      <c r="BP48" s="871">
        <f t="shared" si="89"/>
        <v>90</v>
      </c>
      <c r="BQ48" s="868">
        <f t="shared" si="89"/>
        <v>94.5</v>
      </c>
      <c r="BR48" s="871">
        <f t="shared" si="89"/>
        <v>99</v>
      </c>
      <c r="BS48" s="868">
        <f t="shared" si="89"/>
        <v>103.5</v>
      </c>
      <c r="BT48" s="1939">
        <f t="shared" si="89"/>
        <v>108</v>
      </c>
    </row>
    <row r="49" spans="1:72" s="873" customFormat="1" ht="33.75" customHeight="1">
      <c r="A49" s="1919">
        <v>4.5999999999999996</v>
      </c>
      <c r="B49" s="1926">
        <f>B2*$A$49</f>
        <v>6.8999999999999995</v>
      </c>
      <c r="C49" s="868">
        <f t="shared" ref="C49:BK49" si="90">C2*$A$49</f>
        <v>7.3599999999999994</v>
      </c>
      <c r="D49" s="868">
        <f t="shared" si="90"/>
        <v>7.8199999999999994</v>
      </c>
      <c r="E49" s="868">
        <f t="shared" si="90"/>
        <v>8.2799999999999994</v>
      </c>
      <c r="F49" s="868">
        <f t="shared" si="90"/>
        <v>8.7399999999999984</v>
      </c>
      <c r="G49" s="868">
        <f t="shared" si="90"/>
        <v>9.1999999999999993</v>
      </c>
      <c r="H49" s="868">
        <f t="shared" si="90"/>
        <v>9.66</v>
      </c>
      <c r="I49" s="868">
        <f t="shared" si="90"/>
        <v>10.119999999999999</v>
      </c>
      <c r="J49" s="868">
        <f t="shared" si="90"/>
        <v>10.579999999999998</v>
      </c>
      <c r="K49" s="868">
        <f t="shared" si="90"/>
        <v>11.04</v>
      </c>
      <c r="L49" s="868">
        <f t="shared" si="90"/>
        <v>11.5</v>
      </c>
      <c r="M49" s="868">
        <f t="shared" si="90"/>
        <v>11.959999999999999</v>
      </c>
      <c r="N49" s="868">
        <f t="shared" si="90"/>
        <v>12.42</v>
      </c>
      <c r="O49" s="868">
        <f t="shared" si="90"/>
        <v>12.879999999999999</v>
      </c>
      <c r="P49" s="868">
        <f t="shared" si="90"/>
        <v>13.339999999999998</v>
      </c>
      <c r="Q49" s="868">
        <f t="shared" si="90"/>
        <v>13.799999999999999</v>
      </c>
      <c r="R49" s="868">
        <f t="shared" si="90"/>
        <v>14.26</v>
      </c>
      <c r="S49" s="868">
        <f t="shared" si="90"/>
        <v>14.719999999999999</v>
      </c>
      <c r="T49" s="868">
        <f t="shared" si="90"/>
        <v>15.179999999999998</v>
      </c>
      <c r="U49" s="868">
        <f t="shared" si="90"/>
        <v>15.639999999999999</v>
      </c>
      <c r="V49" s="868">
        <f t="shared" si="90"/>
        <v>16.099999999999998</v>
      </c>
      <c r="W49" s="868">
        <f t="shared" si="90"/>
        <v>16.559999999999999</v>
      </c>
      <c r="X49" s="868">
        <f t="shared" si="90"/>
        <v>17.02</v>
      </c>
      <c r="Y49" s="868">
        <f t="shared" si="90"/>
        <v>17.479999999999997</v>
      </c>
      <c r="Z49" s="868">
        <f t="shared" si="90"/>
        <v>17.939999999999998</v>
      </c>
      <c r="AA49" s="868">
        <f t="shared" si="90"/>
        <v>18.399999999999999</v>
      </c>
      <c r="AB49" s="868">
        <f t="shared" si="90"/>
        <v>18.859999999999996</v>
      </c>
      <c r="AC49" s="868">
        <f t="shared" si="90"/>
        <v>19.32</v>
      </c>
      <c r="AD49" s="868">
        <f t="shared" si="90"/>
        <v>19.779999999999998</v>
      </c>
      <c r="AE49" s="868">
        <f t="shared" si="90"/>
        <v>20.239999999999998</v>
      </c>
      <c r="AF49" s="1927">
        <f t="shared" si="90"/>
        <v>20.7</v>
      </c>
      <c r="AG49" s="1919">
        <v>4.5999999999999996</v>
      </c>
      <c r="AH49" s="1926">
        <f t="shared" si="90"/>
        <v>28.979999999999997</v>
      </c>
      <c r="AI49" s="868">
        <f t="shared" si="90"/>
        <v>31.279999999999998</v>
      </c>
      <c r="AJ49" s="868">
        <f t="shared" si="90"/>
        <v>33.58</v>
      </c>
      <c r="AK49" s="868">
        <f t="shared" si="90"/>
        <v>34.959999999999994</v>
      </c>
      <c r="AL49" s="868">
        <f t="shared" si="90"/>
        <v>35.879999999999995</v>
      </c>
      <c r="AM49" s="868">
        <f t="shared" si="90"/>
        <v>37.26</v>
      </c>
      <c r="AN49" s="868">
        <f t="shared" si="90"/>
        <v>40.019999999999996</v>
      </c>
      <c r="AO49" s="868">
        <f t="shared" si="90"/>
        <v>41.4</v>
      </c>
      <c r="AP49" s="868">
        <f t="shared" si="90"/>
        <v>42.319999999999993</v>
      </c>
      <c r="AQ49" s="868">
        <f t="shared" si="90"/>
        <v>42.78</v>
      </c>
      <c r="AR49" s="868">
        <f t="shared" si="90"/>
        <v>43.239999999999995</v>
      </c>
      <c r="AS49" s="868">
        <f t="shared" si="90"/>
        <v>43.699999999999996</v>
      </c>
      <c r="AT49" s="868">
        <f t="shared" si="90"/>
        <v>44.16</v>
      </c>
      <c r="AU49" s="868">
        <f t="shared" si="90"/>
        <v>44.61999999999999</v>
      </c>
      <c r="AV49" s="868">
        <f t="shared" si="90"/>
        <v>45.08</v>
      </c>
      <c r="AW49" s="868">
        <f t="shared" si="90"/>
        <v>45.54</v>
      </c>
      <c r="AX49" s="868">
        <f t="shared" si="90"/>
        <v>46.459999999999994</v>
      </c>
      <c r="AY49" s="868">
        <f t="shared" si="90"/>
        <v>46.919999999999995</v>
      </c>
      <c r="AZ49" s="868">
        <f t="shared" si="90"/>
        <v>47.839999999999996</v>
      </c>
      <c r="BA49" s="868">
        <f t="shared" si="90"/>
        <v>48.76</v>
      </c>
      <c r="BB49" s="868">
        <f t="shared" si="90"/>
        <v>49.68</v>
      </c>
      <c r="BC49" s="868">
        <f t="shared" si="90"/>
        <v>50.599999999999994</v>
      </c>
      <c r="BD49" s="868">
        <f t="shared" si="90"/>
        <v>52.9</v>
      </c>
      <c r="BE49" s="868">
        <f t="shared" si="90"/>
        <v>55.199999999999996</v>
      </c>
      <c r="BF49" s="868">
        <f t="shared" si="90"/>
        <v>57.499999999999993</v>
      </c>
      <c r="BG49" s="868">
        <f t="shared" si="90"/>
        <v>59.8</v>
      </c>
      <c r="BH49" s="868">
        <f t="shared" si="90"/>
        <v>62.099999999999994</v>
      </c>
      <c r="BI49" s="868">
        <f t="shared" si="90"/>
        <v>64.399999999999991</v>
      </c>
      <c r="BJ49" s="868">
        <f t="shared" si="90"/>
        <v>66.699999999999989</v>
      </c>
      <c r="BK49" s="868">
        <f t="shared" si="90"/>
        <v>69</v>
      </c>
      <c r="BL49" s="868">
        <f t="shared" ref="BL49:BT49" si="91">BL2*$A$49</f>
        <v>73.599999999999994</v>
      </c>
      <c r="BM49" s="868">
        <f t="shared" si="91"/>
        <v>78.199999999999989</v>
      </c>
      <c r="BN49" s="868">
        <f t="shared" si="91"/>
        <v>82.8</v>
      </c>
      <c r="BO49" s="868">
        <f t="shared" si="91"/>
        <v>87.399999999999991</v>
      </c>
      <c r="BP49" s="868">
        <f t="shared" si="91"/>
        <v>92</v>
      </c>
      <c r="BQ49" s="868">
        <f t="shared" si="91"/>
        <v>96.6</v>
      </c>
      <c r="BR49" s="868">
        <f t="shared" si="91"/>
        <v>101.19999999999999</v>
      </c>
      <c r="BS49" s="868">
        <f t="shared" si="91"/>
        <v>105.8</v>
      </c>
      <c r="BT49" s="1927">
        <f t="shared" si="91"/>
        <v>110.39999999999999</v>
      </c>
    </row>
    <row r="50" spans="1:72" s="874" customFormat="1" ht="33.75" customHeight="1" thickBot="1">
      <c r="A50" s="1921">
        <v>4.7</v>
      </c>
      <c r="B50" s="1928">
        <f>B2*$A$50</f>
        <v>7.0500000000000007</v>
      </c>
      <c r="C50" s="1929">
        <f t="shared" ref="C50:BK50" si="92">C2*$A$50</f>
        <v>7.5200000000000005</v>
      </c>
      <c r="D50" s="1930">
        <f t="shared" si="92"/>
        <v>7.99</v>
      </c>
      <c r="E50" s="1929">
        <f t="shared" si="92"/>
        <v>8.4600000000000009</v>
      </c>
      <c r="F50" s="1930">
        <f t="shared" si="92"/>
        <v>8.93</v>
      </c>
      <c r="G50" s="1929">
        <f t="shared" si="92"/>
        <v>9.4</v>
      </c>
      <c r="H50" s="1930">
        <f t="shared" si="92"/>
        <v>9.870000000000001</v>
      </c>
      <c r="I50" s="1929">
        <f t="shared" si="92"/>
        <v>10.340000000000002</v>
      </c>
      <c r="J50" s="1930">
        <f t="shared" si="92"/>
        <v>10.809999999999999</v>
      </c>
      <c r="K50" s="1929">
        <f t="shared" si="92"/>
        <v>11.28</v>
      </c>
      <c r="L50" s="1930">
        <f t="shared" si="92"/>
        <v>11.75</v>
      </c>
      <c r="M50" s="1929">
        <f t="shared" si="92"/>
        <v>12.22</v>
      </c>
      <c r="N50" s="1930">
        <f t="shared" si="92"/>
        <v>12.690000000000001</v>
      </c>
      <c r="O50" s="1929">
        <f t="shared" si="92"/>
        <v>13.16</v>
      </c>
      <c r="P50" s="1930">
        <f t="shared" si="92"/>
        <v>13.63</v>
      </c>
      <c r="Q50" s="1929">
        <f t="shared" si="92"/>
        <v>14.100000000000001</v>
      </c>
      <c r="R50" s="1930">
        <f t="shared" si="92"/>
        <v>14.57</v>
      </c>
      <c r="S50" s="1929">
        <f t="shared" si="92"/>
        <v>15.040000000000001</v>
      </c>
      <c r="T50" s="1930">
        <f t="shared" si="92"/>
        <v>15.51</v>
      </c>
      <c r="U50" s="1929">
        <f t="shared" si="92"/>
        <v>15.98</v>
      </c>
      <c r="V50" s="1930">
        <f t="shared" si="92"/>
        <v>16.45</v>
      </c>
      <c r="W50" s="1929">
        <f t="shared" si="92"/>
        <v>16.920000000000002</v>
      </c>
      <c r="X50" s="1930">
        <f t="shared" si="92"/>
        <v>17.39</v>
      </c>
      <c r="Y50" s="1929">
        <f t="shared" si="92"/>
        <v>17.86</v>
      </c>
      <c r="Z50" s="1930">
        <f t="shared" si="92"/>
        <v>18.330000000000002</v>
      </c>
      <c r="AA50" s="1929">
        <f t="shared" si="92"/>
        <v>18.8</v>
      </c>
      <c r="AB50" s="1930">
        <f t="shared" si="92"/>
        <v>19.27</v>
      </c>
      <c r="AC50" s="1929">
        <f t="shared" si="92"/>
        <v>19.740000000000002</v>
      </c>
      <c r="AD50" s="1930">
        <f t="shared" si="92"/>
        <v>20.21</v>
      </c>
      <c r="AE50" s="1929">
        <f t="shared" si="92"/>
        <v>20.680000000000003</v>
      </c>
      <c r="AF50" s="1931">
        <f t="shared" si="92"/>
        <v>21.150000000000002</v>
      </c>
      <c r="AG50" s="1921">
        <v>4.7</v>
      </c>
      <c r="AH50" s="1940">
        <f t="shared" si="92"/>
        <v>29.61</v>
      </c>
      <c r="AI50" s="1930">
        <f t="shared" si="92"/>
        <v>31.96</v>
      </c>
      <c r="AJ50" s="1929">
        <f t="shared" si="92"/>
        <v>34.31</v>
      </c>
      <c r="AK50" s="1930">
        <f t="shared" si="92"/>
        <v>35.72</v>
      </c>
      <c r="AL50" s="1929">
        <f t="shared" si="92"/>
        <v>36.660000000000004</v>
      </c>
      <c r="AM50" s="1930">
        <f t="shared" si="92"/>
        <v>38.07</v>
      </c>
      <c r="AN50" s="1929">
        <f t="shared" si="92"/>
        <v>40.89</v>
      </c>
      <c r="AO50" s="1930">
        <f t="shared" si="92"/>
        <v>42.300000000000004</v>
      </c>
      <c r="AP50" s="1929">
        <f t="shared" si="92"/>
        <v>43.239999999999995</v>
      </c>
      <c r="AQ50" s="1930">
        <f t="shared" si="92"/>
        <v>43.710000000000008</v>
      </c>
      <c r="AR50" s="1929">
        <f t="shared" si="92"/>
        <v>44.180000000000007</v>
      </c>
      <c r="AS50" s="1930">
        <f t="shared" si="92"/>
        <v>44.65</v>
      </c>
      <c r="AT50" s="1929">
        <f t="shared" si="92"/>
        <v>45.12</v>
      </c>
      <c r="AU50" s="1930">
        <f t="shared" si="92"/>
        <v>45.589999999999996</v>
      </c>
      <c r="AV50" s="1929">
        <f t="shared" si="92"/>
        <v>46.06</v>
      </c>
      <c r="AW50" s="1930">
        <f t="shared" si="92"/>
        <v>46.53</v>
      </c>
      <c r="AX50" s="1929">
        <f t="shared" si="92"/>
        <v>47.47</v>
      </c>
      <c r="AY50" s="1930">
        <f t="shared" si="92"/>
        <v>47.94</v>
      </c>
      <c r="AZ50" s="1929">
        <f t="shared" si="92"/>
        <v>48.88</v>
      </c>
      <c r="BA50" s="1930">
        <f t="shared" si="92"/>
        <v>49.82</v>
      </c>
      <c r="BB50" s="1929">
        <f t="shared" si="92"/>
        <v>50.760000000000005</v>
      </c>
      <c r="BC50" s="1930">
        <f t="shared" si="92"/>
        <v>51.7</v>
      </c>
      <c r="BD50" s="1929">
        <f t="shared" si="92"/>
        <v>54.050000000000004</v>
      </c>
      <c r="BE50" s="1930">
        <f t="shared" si="92"/>
        <v>56.400000000000006</v>
      </c>
      <c r="BF50" s="1929">
        <f t="shared" si="92"/>
        <v>58.75</v>
      </c>
      <c r="BG50" s="1930">
        <f t="shared" si="92"/>
        <v>61.1</v>
      </c>
      <c r="BH50" s="1929">
        <f t="shared" si="92"/>
        <v>63.45</v>
      </c>
      <c r="BI50" s="1930">
        <f t="shared" si="92"/>
        <v>65.8</v>
      </c>
      <c r="BJ50" s="1929">
        <f t="shared" si="92"/>
        <v>68.150000000000006</v>
      </c>
      <c r="BK50" s="1930">
        <f t="shared" si="92"/>
        <v>70.5</v>
      </c>
      <c r="BL50" s="1929">
        <f t="shared" ref="BL50:BT50" si="93">BL2*$A$50</f>
        <v>75.2</v>
      </c>
      <c r="BM50" s="1930">
        <f t="shared" si="93"/>
        <v>79.900000000000006</v>
      </c>
      <c r="BN50" s="1929">
        <f t="shared" si="93"/>
        <v>84.600000000000009</v>
      </c>
      <c r="BO50" s="1930">
        <f t="shared" si="93"/>
        <v>89.3</v>
      </c>
      <c r="BP50" s="1929">
        <f t="shared" si="93"/>
        <v>94</v>
      </c>
      <c r="BQ50" s="1930">
        <f t="shared" si="93"/>
        <v>98.7</v>
      </c>
      <c r="BR50" s="1929">
        <f t="shared" si="93"/>
        <v>103.4</v>
      </c>
      <c r="BS50" s="1930">
        <f t="shared" si="93"/>
        <v>108.10000000000001</v>
      </c>
      <c r="BT50" s="1941">
        <f t="shared" si="93"/>
        <v>112.80000000000001</v>
      </c>
    </row>
    <row r="51" spans="1:72">
      <c r="A51" s="875"/>
      <c r="B51" s="876"/>
      <c r="C51" s="875"/>
      <c r="D51" s="876"/>
      <c r="E51" s="875"/>
      <c r="F51" s="876"/>
      <c r="G51" s="875"/>
      <c r="H51" s="876"/>
      <c r="I51" s="875"/>
      <c r="J51" s="876"/>
      <c r="K51" s="875"/>
      <c r="L51" s="876"/>
      <c r="M51" s="875"/>
      <c r="N51" s="876"/>
      <c r="O51" s="875"/>
      <c r="P51" s="876"/>
      <c r="Q51" s="875"/>
      <c r="R51" s="876"/>
      <c r="S51" s="875"/>
      <c r="T51" s="876"/>
      <c r="U51" s="875"/>
      <c r="V51" s="876"/>
      <c r="W51" s="875"/>
      <c r="X51" s="876"/>
      <c r="Y51" s="875"/>
      <c r="Z51" s="876"/>
      <c r="AA51" s="875"/>
      <c r="AB51" s="876"/>
      <c r="AC51" s="875"/>
      <c r="AD51" s="876"/>
      <c r="AE51" s="875"/>
      <c r="AF51" s="876"/>
      <c r="AG51" s="875"/>
      <c r="AH51" s="875"/>
      <c r="AI51" s="876"/>
      <c r="AJ51" s="875"/>
      <c r="AK51" s="876"/>
      <c r="AL51" s="875"/>
      <c r="AM51" s="876"/>
      <c r="AN51" s="875"/>
      <c r="AO51" s="876"/>
      <c r="AP51" s="875"/>
      <c r="AQ51" s="876"/>
      <c r="AR51" s="875"/>
      <c r="AS51" s="876"/>
      <c r="AT51" s="875"/>
      <c r="AU51" s="876"/>
      <c r="AV51" s="875"/>
      <c r="AW51" s="876"/>
      <c r="AX51" s="875"/>
      <c r="AY51" s="876"/>
      <c r="AZ51" s="875"/>
      <c r="BI51" s="877"/>
      <c r="BK51" s="877"/>
      <c r="BM51" s="877"/>
      <c r="BO51" s="877"/>
      <c r="BQ51" s="877"/>
      <c r="BS51" s="877"/>
    </row>
    <row r="52" spans="1:72">
      <c r="A52" s="879"/>
      <c r="B52" s="880"/>
      <c r="C52" s="879"/>
      <c r="D52" s="880"/>
      <c r="E52" s="879"/>
      <c r="F52" s="880"/>
      <c r="G52" s="879"/>
      <c r="H52" s="880"/>
      <c r="I52" s="879"/>
      <c r="J52" s="880"/>
      <c r="K52" s="879"/>
      <c r="L52" s="880"/>
      <c r="M52" s="879"/>
      <c r="N52" s="880"/>
      <c r="O52" s="879"/>
      <c r="P52" s="880"/>
      <c r="Q52" s="879"/>
      <c r="R52" s="880"/>
      <c r="S52" s="879"/>
      <c r="T52" s="880"/>
      <c r="U52" s="879"/>
      <c r="V52" s="880"/>
      <c r="W52" s="879"/>
      <c r="X52" s="880"/>
      <c r="Y52" s="879"/>
      <c r="Z52" s="880"/>
      <c r="AA52" s="879"/>
      <c r="AB52" s="880"/>
      <c r="AC52" s="879"/>
      <c r="AD52" s="880"/>
      <c r="AE52" s="879"/>
      <c r="AF52" s="880"/>
      <c r="AG52" s="879"/>
      <c r="AH52" s="879"/>
      <c r="AI52" s="880"/>
      <c r="AJ52" s="879"/>
      <c r="AK52" s="880"/>
      <c r="AL52" s="879"/>
      <c r="AM52" s="880"/>
      <c r="AN52" s="879"/>
      <c r="AO52" s="880"/>
      <c r="AP52" s="879"/>
      <c r="AQ52" s="880"/>
      <c r="AR52" s="879"/>
      <c r="AS52" s="880"/>
      <c r="AT52" s="879"/>
      <c r="AU52" s="880"/>
      <c r="AV52" s="879"/>
      <c r="AW52" s="880"/>
      <c r="AX52" s="879"/>
      <c r="AY52" s="880"/>
      <c r="AZ52" s="879"/>
    </row>
    <row r="53" spans="1:72">
      <c r="A53" s="879"/>
      <c r="B53" s="880"/>
      <c r="C53" s="879"/>
      <c r="D53" s="880"/>
      <c r="E53" s="879"/>
      <c r="F53" s="880"/>
      <c r="G53" s="879"/>
      <c r="H53" s="880"/>
      <c r="I53" s="879"/>
      <c r="J53" s="880"/>
      <c r="K53" s="879"/>
      <c r="L53" s="880"/>
      <c r="M53" s="879"/>
      <c r="N53" s="880"/>
      <c r="O53" s="879"/>
      <c r="P53" s="880"/>
      <c r="Q53" s="879"/>
      <c r="R53" s="880"/>
      <c r="S53" s="879"/>
      <c r="T53" s="880"/>
      <c r="U53" s="879"/>
      <c r="V53" s="880"/>
      <c r="W53" s="879"/>
      <c r="X53" s="880"/>
      <c r="Y53" s="879"/>
      <c r="Z53" s="880"/>
      <c r="AA53" s="879"/>
      <c r="AB53" s="880"/>
      <c r="AC53" s="879"/>
      <c r="AD53" s="880"/>
      <c r="AE53" s="879"/>
      <c r="AF53" s="880"/>
      <c r="AG53" s="879"/>
      <c r="AH53" s="879"/>
      <c r="AI53" s="880"/>
      <c r="AJ53" s="879"/>
      <c r="AK53" s="880"/>
      <c r="AL53" s="879"/>
      <c r="AM53" s="880"/>
      <c r="AN53" s="879"/>
      <c r="AO53" s="880"/>
      <c r="AP53" s="879"/>
      <c r="AQ53" s="880"/>
      <c r="AR53" s="879"/>
      <c r="AS53" s="880"/>
      <c r="AT53" s="879"/>
      <c r="AU53" s="880"/>
      <c r="AV53" s="879"/>
      <c r="AW53" s="880"/>
      <c r="AX53" s="879"/>
      <c r="AY53" s="880"/>
      <c r="AZ53" s="879"/>
    </row>
    <row r="54" spans="1:72">
      <c r="A54" s="879"/>
      <c r="B54" s="880"/>
      <c r="C54" s="879"/>
      <c r="D54" s="880"/>
      <c r="E54" s="879"/>
      <c r="F54" s="880"/>
      <c r="G54" s="879"/>
      <c r="H54" s="880"/>
      <c r="I54" s="879"/>
      <c r="J54" s="880"/>
      <c r="K54" s="879"/>
      <c r="L54" s="880"/>
      <c r="M54" s="879"/>
      <c r="N54" s="880"/>
      <c r="O54" s="879"/>
      <c r="P54" s="880"/>
      <c r="Q54" s="879"/>
      <c r="R54" s="880"/>
      <c r="S54" s="879"/>
      <c r="T54" s="880"/>
      <c r="U54" s="879"/>
      <c r="V54" s="880"/>
      <c r="W54" s="879"/>
      <c r="X54" s="880"/>
      <c r="Y54" s="879"/>
      <c r="Z54" s="880"/>
      <c r="AA54" s="879"/>
      <c r="AB54" s="880"/>
      <c r="AC54" s="879"/>
      <c r="AD54" s="880"/>
      <c r="AE54" s="879"/>
      <c r="AF54" s="880"/>
      <c r="AG54" s="879"/>
      <c r="AH54" s="879"/>
      <c r="AI54" s="880"/>
      <c r="AJ54" s="879"/>
      <c r="AK54" s="880"/>
      <c r="AL54" s="879"/>
      <c r="AM54" s="880"/>
      <c r="AN54" s="879"/>
      <c r="AO54" s="880"/>
      <c r="AP54" s="879"/>
      <c r="AQ54" s="880"/>
      <c r="AR54" s="879"/>
      <c r="AS54" s="880"/>
      <c r="AT54" s="879"/>
      <c r="AU54" s="880"/>
      <c r="AV54" s="879"/>
      <c r="AW54" s="880"/>
      <c r="AX54" s="879"/>
      <c r="AY54" s="880"/>
      <c r="AZ54" s="879"/>
    </row>
    <row r="55" spans="1:72">
      <c r="A55" s="879"/>
      <c r="B55" s="880"/>
      <c r="C55" s="879"/>
      <c r="D55" s="880"/>
      <c r="E55" s="879"/>
      <c r="F55" s="880"/>
      <c r="G55" s="879"/>
      <c r="H55" s="880"/>
      <c r="I55" s="879"/>
      <c r="J55" s="880"/>
      <c r="K55" s="879"/>
      <c r="L55" s="880"/>
      <c r="M55" s="879"/>
      <c r="N55" s="880"/>
      <c r="O55" s="879"/>
      <c r="P55" s="880"/>
      <c r="Q55" s="879"/>
      <c r="R55" s="880"/>
      <c r="S55" s="879"/>
      <c r="T55" s="880"/>
      <c r="U55" s="879"/>
      <c r="V55" s="880"/>
      <c r="W55" s="879"/>
      <c r="X55" s="880"/>
      <c r="Y55" s="879"/>
      <c r="Z55" s="880"/>
      <c r="AA55" s="879"/>
      <c r="AB55" s="880"/>
      <c r="AC55" s="879"/>
      <c r="AD55" s="880"/>
      <c r="AE55" s="879"/>
      <c r="AF55" s="880"/>
      <c r="AG55" s="879"/>
      <c r="AH55" s="879"/>
      <c r="AI55" s="880"/>
      <c r="AJ55" s="879"/>
      <c r="AK55" s="880"/>
      <c r="AL55" s="879"/>
      <c r="AM55" s="880"/>
      <c r="AN55" s="879"/>
      <c r="AO55" s="880"/>
      <c r="AP55" s="879"/>
      <c r="AQ55" s="880"/>
      <c r="AR55" s="879"/>
      <c r="AS55" s="880"/>
      <c r="AT55" s="879"/>
      <c r="AU55" s="880"/>
      <c r="AV55" s="879"/>
      <c r="AW55" s="880"/>
      <c r="AX55" s="879"/>
      <c r="AY55" s="880"/>
      <c r="AZ55" s="879"/>
    </row>
    <row r="56" spans="1:72">
      <c r="A56" s="879"/>
      <c r="B56" s="880"/>
      <c r="C56" s="879"/>
      <c r="D56" s="880"/>
      <c r="E56" s="879"/>
      <c r="F56" s="880"/>
      <c r="G56" s="879"/>
      <c r="H56" s="880"/>
      <c r="I56" s="879"/>
      <c r="J56" s="880"/>
      <c r="K56" s="879"/>
      <c r="L56" s="880"/>
      <c r="M56" s="879"/>
      <c r="N56" s="880"/>
      <c r="O56" s="879"/>
      <c r="P56" s="880"/>
      <c r="Q56" s="879"/>
      <c r="R56" s="880"/>
      <c r="S56" s="879"/>
      <c r="T56" s="880"/>
      <c r="U56" s="879"/>
      <c r="V56" s="880"/>
      <c r="W56" s="879"/>
      <c r="X56" s="880"/>
      <c r="Y56" s="879"/>
      <c r="Z56" s="880"/>
      <c r="AA56" s="879"/>
      <c r="AB56" s="880"/>
      <c r="AC56" s="879"/>
      <c r="AD56" s="880"/>
      <c r="AE56" s="879"/>
      <c r="AF56" s="880"/>
      <c r="AG56" s="879"/>
      <c r="AH56" s="879"/>
      <c r="AI56" s="880"/>
      <c r="AJ56" s="879"/>
      <c r="AK56" s="880"/>
      <c r="AL56" s="879"/>
      <c r="AM56" s="880"/>
      <c r="AN56" s="879"/>
      <c r="AO56" s="880"/>
      <c r="AP56" s="879"/>
      <c r="AQ56" s="880"/>
      <c r="AR56" s="879"/>
      <c r="AS56" s="880"/>
      <c r="AT56" s="879"/>
      <c r="AU56" s="880"/>
      <c r="AV56" s="879"/>
      <c r="AW56" s="880"/>
      <c r="AX56" s="879"/>
      <c r="AY56" s="880"/>
      <c r="AZ56" s="879"/>
    </row>
    <row r="57" spans="1:72">
      <c r="A57" s="879"/>
      <c r="B57" s="880"/>
      <c r="C57" s="879"/>
      <c r="D57" s="880"/>
      <c r="E57" s="879"/>
      <c r="F57" s="880"/>
      <c r="G57" s="879"/>
      <c r="H57" s="880"/>
      <c r="I57" s="879"/>
      <c r="J57" s="880"/>
      <c r="K57" s="879"/>
      <c r="L57" s="880"/>
      <c r="M57" s="879"/>
      <c r="N57" s="880"/>
      <c r="O57" s="879"/>
      <c r="P57" s="880"/>
      <c r="Q57" s="879"/>
      <c r="R57" s="880"/>
      <c r="S57" s="879"/>
      <c r="T57" s="880"/>
      <c r="U57" s="879"/>
      <c r="V57" s="880"/>
      <c r="W57" s="879"/>
      <c r="X57" s="880"/>
      <c r="Y57" s="879"/>
      <c r="Z57" s="880"/>
      <c r="AA57" s="879"/>
      <c r="AB57" s="880"/>
      <c r="AC57" s="879"/>
      <c r="AD57" s="880"/>
      <c r="AE57" s="879"/>
      <c r="AF57" s="880"/>
      <c r="AG57" s="879"/>
      <c r="AH57" s="879"/>
      <c r="AI57" s="880"/>
      <c r="AJ57" s="879"/>
      <c r="AK57" s="880"/>
      <c r="AL57" s="879"/>
      <c r="AM57" s="880"/>
      <c r="AN57" s="879"/>
      <c r="AO57" s="880"/>
      <c r="AP57" s="879"/>
      <c r="AQ57" s="880"/>
      <c r="AR57" s="879"/>
      <c r="AS57" s="880"/>
      <c r="AT57" s="879"/>
      <c r="AU57" s="880"/>
      <c r="AV57" s="879"/>
      <c r="AW57" s="880"/>
      <c r="AX57" s="879"/>
      <c r="AY57" s="880"/>
      <c r="AZ57" s="879"/>
    </row>
    <row r="58" spans="1:72">
      <c r="A58" s="879"/>
      <c r="B58" s="880"/>
      <c r="C58" s="879"/>
      <c r="D58" s="880"/>
      <c r="E58" s="879"/>
      <c r="F58" s="880"/>
      <c r="G58" s="879"/>
      <c r="H58" s="880"/>
      <c r="I58" s="879"/>
      <c r="J58" s="880"/>
      <c r="K58" s="879"/>
      <c r="L58" s="880"/>
      <c r="M58" s="879"/>
      <c r="N58" s="880"/>
      <c r="O58" s="879"/>
      <c r="P58" s="880"/>
      <c r="Q58" s="879"/>
      <c r="R58" s="880"/>
      <c r="S58" s="879"/>
      <c r="T58" s="880"/>
      <c r="U58" s="879"/>
      <c r="V58" s="880"/>
      <c r="W58" s="879"/>
      <c r="X58" s="880"/>
      <c r="Y58" s="879"/>
      <c r="Z58" s="880"/>
      <c r="AA58" s="879"/>
      <c r="AB58" s="880"/>
      <c r="AC58" s="879"/>
      <c r="AD58" s="880"/>
      <c r="AE58" s="879"/>
      <c r="AF58" s="880"/>
      <c r="AG58" s="879"/>
      <c r="AH58" s="879"/>
      <c r="AI58" s="880"/>
      <c r="AJ58" s="879"/>
      <c r="AK58" s="880"/>
      <c r="AL58" s="879"/>
      <c r="AM58" s="880"/>
      <c r="AN58" s="879"/>
      <c r="AO58" s="880"/>
      <c r="AP58" s="879"/>
      <c r="AQ58" s="880"/>
      <c r="AR58" s="879"/>
      <c r="AS58" s="880"/>
      <c r="AT58" s="879"/>
      <c r="AU58" s="880"/>
      <c r="AV58" s="879"/>
      <c r="AW58" s="880"/>
      <c r="AX58" s="879"/>
      <c r="AY58" s="880"/>
      <c r="AZ58" s="879"/>
    </row>
    <row r="59" spans="1:72">
      <c r="A59" s="879"/>
      <c r="B59" s="880"/>
      <c r="C59" s="879"/>
      <c r="D59" s="880"/>
      <c r="E59" s="879"/>
      <c r="F59" s="880"/>
      <c r="G59" s="879"/>
      <c r="H59" s="880"/>
      <c r="I59" s="879"/>
      <c r="J59" s="880"/>
      <c r="K59" s="879"/>
      <c r="L59" s="880"/>
      <c r="M59" s="879"/>
      <c r="N59" s="880"/>
      <c r="O59" s="879"/>
      <c r="P59" s="880"/>
      <c r="Q59" s="879"/>
      <c r="R59" s="880"/>
      <c r="S59" s="879"/>
      <c r="T59" s="880"/>
      <c r="U59" s="879"/>
      <c r="V59" s="880"/>
      <c r="W59" s="879"/>
      <c r="X59" s="880"/>
      <c r="Y59" s="879"/>
      <c r="Z59" s="880"/>
      <c r="AA59" s="879"/>
      <c r="AB59" s="880"/>
      <c r="AC59" s="879"/>
      <c r="AD59" s="880"/>
      <c r="AE59" s="879"/>
      <c r="AF59" s="880"/>
      <c r="AG59" s="879"/>
      <c r="AH59" s="879"/>
      <c r="AI59" s="880"/>
      <c r="AJ59" s="879"/>
      <c r="AK59" s="880"/>
      <c r="AL59" s="879"/>
      <c r="AM59" s="880"/>
      <c r="AN59" s="879"/>
      <c r="AO59" s="880"/>
      <c r="AP59" s="879"/>
      <c r="AQ59" s="880"/>
      <c r="AR59" s="879"/>
      <c r="AS59" s="880"/>
      <c r="AT59" s="879"/>
      <c r="AU59" s="880"/>
      <c r="AV59" s="879"/>
      <c r="AW59" s="880"/>
      <c r="AX59" s="879"/>
      <c r="AY59" s="880"/>
      <c r="AZ59" s="879"/>
    </row>
    <row r="60" spans="1:72">
      <c r="A60" s="879"/>
      <c r="B60" s="880"/>
      <c r="C60" s="879"/>
      <c r="D60" s="880"/>
      <c r="E60" s="879"/>
      <c r="F60" s="880"/>
      <c r="G60" s="879"/>
      <c r="H60" s="880"/>
      <c r="I60" s="879"/>
      <c r="J60" s="880"/>
      <c r="K60" s="879"/>
      <c r="L60" s="880"/>
      <c r="M60" s="879"/>
      <c r="N60" s="880"/>
      <c r="O60" s="879"/>
      <c r="P60" s="880"/>
      <c r="Q60" s="879"/>
      <c r="R60" s="880"/>
      <c r="S60" s="879"/>
      <c r="T60" s="880"/>
      <c r="U60" s="879"/>
      <c r="V60" s="880"/>
      <c r="W60" s="879"/>
      <c r="X60" s="880"/>
      <c r="Y60" s="879"/>
      <c r="Z60" s="880"/>
      <c r="AA60" s="879"/>
      <c r="AB60" s="880"/>
      <c r="AC60" s="879"/>
      <c r="AD60" s="880"/>
      <c r="AE60" s="879"/>
      <c r="AF60" s="880"/>
      <c r="AG60" s="879"/>
      <c r="AH60" s="879"/>
      <c r="AI60" s="880"/>
      <c r="AJ60" s="879"/>
      <c r="AK60" s="880"/>
      <c r="AL60" s="879"/>
      <c r="AM60" s="880"/>
      <c r="AN60" s="879"/>
      <c r="AO60" s="880"/>
      <c r="AP60" s="879"/>
      <c r="AQ60" s="880"/>
      <c r="AR60" s="879"/>
      <c r="AS60" s="880"/>
      <c r="AT60" s="879"/>
      <c r="AU60" s="880"/>
      <c r="AV60" s="879"/>
      <c r="AW60" s="880"/>
      <c r="AX60" s="879"/>
      <c r="AY60" s="880"/>
      <c r="AZ60" s="879"/>
    </row>
    <row r="61" spans="1:72">
      <c r="A61" s="879"/>
      <c r="B61" s="880"/>
      <c r="C61" s="879"/>
      <c r="D61" s="880"/>
      <c r="E61" s="879"/>
      <c r="F61" s="880"/>
      <c r="G61" s="879"/>
      <c r="H61" s="880"/>
      <c r="I61" s="879"/>
      <c r="J61" s="880"/>
      <c r="K61" s="879"/>
      <c r="L61" s="880"/>
      <c r="M61" s="879"/>
      <c r="N61" s="880"/>
      <c r="O61" s="879"/>
      <c r="P61" s="880"/>
      <c r="Q61" s="879"/>
      <c r="R61" s="880"/>
      <c r="S61" s="879"/>
      <c r="T61" s="880"/>
      <c r="U61" s="879"/>
      <c r="V61" s="880"/>
      <c r="W61" s="879"/>
      <c r="X61" s="880"/>
      <c r="Y61" s="879"/>
      <c r="Z61" s="880"/>
      <c r="AA61" s="879"/>
      <c r="AB61" s="880"/>
      <c r="AC61" s="879"/>
      <c r="AD61" s="880"/>
      <c r="AE61" s="879"/>
      <c r="AF61" s="880"/>
      <c r="AG61" s="879"/>
      <c r="AH61" s="879"/>
      <c r="AI61" s="880"/>
      <c r="AJ61" s="879"/>
      <c r="AK61" s="880"/>
      <c r="AL61" s="879"/>
      <c r="AM61" s="880"/>
      <c r="AN61" s="879"/>
      <c r="AO61" s="880"/>
      <c r="AP61" s="879"/>
      <c r="AQ61" s="880"/>
      <c r="AR61" s="879"/>
      <c r="AS61" s="880"/>
      <c r="AT61" s="879"/>
      <c r="AU61" s="880"/>
      <c r="AV61" s="879"/>
      <c r="AW61" s="880"/>
      <c r="AX61" s="879"/>
      <c r="AY61" s="880"/>
      <c r="AZ61" s="879"/>
    </row>
    <row r="62" spans="1:72">
      <c r="A62" s="879"/>
      <c r="B62" s="880"/>
      <c r="C62" s="879"/>
      <c r="D62" s="880"/>
      <c r="E62" s="879"/>
      <c r="F62" s="880"/>
      <c r="G62" s="879"/>
      <c r="H62" s="880"/>
      <c r="I62" s="879"/>
      <c r="J62" s="880"/>
      <c r="K62" s="879"/>
      <c r="L62" s="880"/>
      <c r="M62" s="879"/>
      <c r="N62" s="880"/>
      <c r="O62" s="879"/>
      <c r="P62" s="880"/>
      <c r="Q62" s="879"/>
      <c r="R62" s="880"/>
      <c r="S62" s="879"/>
      <c r="T62" s="880"/>
      <c r="U62" s="879"/>
      <c r="V62" s="880"/>
      <c r="W62" s="879"/>
      <c r="X62" s="880"/>
      <c r="Y62" s="879"/>
      <c r="Z62" s="880"/>
      <c r="AA62" s="879"/>
      <c r="AB62" s="880"/>
      <c r="AC62" s="879"/>
      <c r="AD62" s="880"/>
      <c r="AE62" s="879"/>
      <c r="AF62" s="880"/>
      <c r="AG62" s="879"/>
      <c r="AH62" s="879"/>
      <c r="AI62" s="880"/>
      <c r="AJ62" s="879"/>
      <c r="AK62" s="880"/>
      <c r="AL62" s="879"/>
      <c r="AM62" s="880"/>
      <c r="AN62" s="879"/>
      <c r="AO62" s="880"/>
      <c r="AP62" s="879"/>
      <c r="AQ62" s="880"/>
      <c r="AR62" s="879"/>
      <c r="AS62" s="880"/>
      <c r="AT62" s="879"/>
      <c r="AU62" s="880"/>
      <c r="AV62" s="879"/>
      <c r="AW62" s="880"/>
      <c r="AX62" s="879"/>
      <c r="AY62" s="880"/>
      <c r="AZ62" s="879"/>
    </row>
    <row r="63" spans="1:72">
      <c r="A63" s="879"/>
      <c r="B63" s="880"/>
      <c r="C63" s="879"/>
      <c r="D63" s="880"/>
      <c r="E63" s="879"/>
      <c r="F63" s="880"/>
      <c r="G63" s="879"/>
      <c r="H63" s="880"/>
      <c r="I63" s="879"/>
      <c r="J63" s="880"/>
      <c r="K63" s="879"/>
      <c r="L63" s="880"/>
      <c r="M63" s="879"/>
      <c r="N63" s="880"/>
      <c r="O63" s="879"/>
      <c r="P63" s="880"/>
      <c r="Q63" s="879"/>
      <c r="R63" s="880"/>
      <c r="S63" s="879"/>
      <c r="T63" s="880"/>
      <c r="U63" s="879"/>
      <c r="V63" s="880"/>
      <c r="W63" s="879"/>
      <c r="X63" s="880"/>
      <c r="Y63" s="879"/>
      <c r="Z63" s="880"/>
      <c r="AA63" s="879"/>
      <c r="AB63" s="880"/>
      <c r="AC63" s="879"/>
      <c r="AD63" s="880"/>
      <c r="AE63" s="879"/>
      <c r="AF63" s="880"/>
      <c r="AG63" s="879"/>
      <c r="AH63" s="879"/>
      <c r="AI63" s="880"/>
      <c r="AJ63" s="879"/>
      <c r="AK63" s="880"/>
      <c r="AL63" s="879"/>
      <c r="AM63" s="880"/>
      <c r="AN63" s="879"/>
      <c r="AO63" s="880"/>
      <c r="AP63" s="879"/>
      <c r="AQ63" s="880"/>
      <c r="AR63" s="879"/>
      <c r="AS63" s="880"/>
      <c r="AT63" s="879"/>
      <c r="AU63" s="880"/>
      <c r="AV63" s="879"/>
      <c r="AW63" s="880"/>
      <c r="AX63" s="879"/>
      <c r="AY63" s="880"/>
      <c r="AZ63" s="879"/>
    </row>
    <row r="64" spans="1:72">
      <c r="A64" s="879"/>
      <c r="B64" s="880"/>
      <c r="C64" s="879"/>
      <c r="D64" s="880"/>
      <c r="E64" s="879"/>
      <c r="F64" s="880"/>
      <c r="G64" s="879"/>
      <c r="H64" s="880"/>
      <c r="I64" s="879"/>
      <c r="J64" s="880"/>
      <c r="K64" s="879"/>
      <c r="L64" s="880"/>
      <c r="M64" s="879"/>
      <c r="N64" s="880"/>
      <c r="O64" s="879"/>
      <c r="P64" s="880"/>
      <c r="Q64" s="879"/>
      <c r="R64" s="880"/>
      <c r="S64" s="879"/>
      <c r="T64" s="880"/>
      <c r="U64" s="879"/>
      <c r="V64" s="880"/>
      <c r="W64" s="879"/>
      <c r="X64" s="880"/>
      <c r="Y64" s="879"/>
      <c r="Z64" s="880"/>
      <c r="AA64" s="879"/>
      <c r="AB64" s="880"/>
      <c r="AC64" s="879"/>
      <c r="AD64" s="880"/>
      <c r="AE64" s="879"/>
      <c r="AF64" s="880"/>
      <c r="AG64" s="879"/>
      <c r="AH64" s="879"/>
      <c r="AI64" s="880"/>
      <c r="AJ64" s="879"/>
      <c r="AK64" s="880"/>
      <c r="AL64" s="879"/>
      <c r="AM64" s="880"/>
      <c r="AN64" s="879"/>
      <c r="AO64" s="880"/>
      <c r="AP64" s="879"/>
      <c r="AQ64" s="880"/>
      <c r="AR64" s="879"/>
      <c r="AS64" s="880"/>
      <c r="AT64" s="879"/>
      <c r="AU64" s="880"/>
      <c r="AV64" s="879"/>
      <c r="AW64" s="880"/>
      <c r="AX64" s="879"/>
      <c r="AY64" s="880"/>
      <c r="AZ64" s="879"/>
    </row>
    <row r="65" spans="1:52">
      <c r="A65" s="879"/>
      <c r="B65" s="880"/>
      <c r="C65" s="879"/>
      <c r="D65" s="880"/>
      <c r="E65" s="879"/>
      <c r="F65" s="880"/>
      <c r="G65" s="879"/>
      <c r="H65" s="880"/>
      <c r="I65" s="879"/>
      <c r="J65" s="880"/>
      <c r="K65" s="879"/>
      <c r="L65" s="880"/>
      <c r="M65" s="879"/>
      <c r="N65" s="880"/>
      <c r="O65" s="879"/>
      <c r="P65" s="880"/>
      <c r="Q65" s="879"/>
      <c r="R65" s="880"/>
      <c r="S65" s="879"/>
      <c r="T65" s="880"/>
      <c r="U65" s="879"/>
      <c r="V65" s="880"/>
      <c r="W65" s="879"/>
      <c r="X65" s="880"/>
      <c r="Y65" s="879"/>
      <c r="Z65" s="880"/>
      <c r="AA65" s="879"/>
      <c r="AB65" s="880"/>
      <c r="AC65" s="879"/>
      <c r="AD65" s="880"/>
      <c r="AE65" s="879"/>
      <c r="AF65" s="880"/>
      <c r="AG65" s="879"/>
      <c r="AH65" s="879"/>
      <c r="AI65" s="880"/>
      <c r="AJ65" s="879"/>
      <c r="AK65" s="880"/>
      <c r="AL65" s="879"/>
      <c r="AM65" s="880"/>
      <c r="AN65" s="879"/>
      <c r="AO65" s="880"/>
      <c r="AP65" s="879"/>
      <c r="AQ65" s="880"/>
      <c r="AR65" s="879"/>
      <c r="AS65" s="880"/>
      <c r="AT65" s="879"/>
      <c r="AU65" s="880"/>
      <c r="AV65" s="879"/>
      <c r="AW65" s="880"/>
      <c r="AX65" s="879"/>
      <c r="AY65" s="880"/>
      <c r="AZ65" s="879"/>
    </row>
    <row r="66" spans="1:52">
      <c r="A66" s="879"/>
      <c r="B66" s="880"/>
      <c r="C66" s="879"/>
      <c r="D66" s="880"/>
      <c r="E66" s="879"/>
      <c r="F66" s="880"/>
      <c r="G66" s="879"/>
      <c r="H66" s="880"/>
      <c r="I66" s="879"/>
      <c r="J66" s="880"/>
      <c r="K66" s="879"/>
      <c r="L66" s="880"/>
      <c r="M66" s="879"/>
      <c r="N66" s="880"/>
      <c r="O66" s="879"/>
      <c r="P66" s="880"/>
      <c r="Q66" s="879"/>
      <c r="R66" s="880"/>
      <c r="S66" s="879"/>
      <c r="T66" s="880"/>
      <c r="U66" s="879"/>
      <c r="V66" s="880"/>
      <c r="W66" s="879"/>
      <c r="X66" s="880"/>
      <c r="Y66" s="879"/>
      <c r="Z66" s="880"/>
      <c r="AA66" s="879"/>
      <c r="AB66" s="880"/>
      <c r="AC66" s="879"/>
      <c r="AD66" s="880"/>
      <c r="AE66" s="879"/>
      <c r="AF66" s="880"/>
      <c r="AG66" s="879"/>
      <c r="AH66" s="879"/>
      <c r="AI66" s="880"/>
      <c r="AJ66" s="879"/>
      <c r="AK66" s="880"/>
      <c r="AL66" s="879"/>
      <c r="AM66" s="880"/>
      <c r="AN66" s="879"/>
      <c r="AO66" s="880"/>
      <c r="AP66" s="879"/>
      <c r="AQ66" s="880"/>
      <c r="AR66" s="879"/>
      <c r="AS66" s="880"/>
      <c r="AT66" s="879"/>
      <c r="AU66" s="880"/>
      <c r="AV66" s="879"/>
      <c r="AW66" s="880"/>
      <c r="AX66" s="879"/>
      <c r="AY66" s="880"/>
      <c r="AZ66" s="879"/>
    </row>
    <row r="67" spans="1:52">
      <c r="A67" s="879"/>
      <c r="B67" s="880"/>
      <c r="C67" s="879"/>
      <c r="D67" s="880"/>
      <c r="E67" s="879"/>
      <c r="F67" s="880"/>
      <c r="G67" s="879"/>
      <c r="H67" s="880"/>
      <c r="I67" s="879"/>
      <c r="J67" s="880"/>
      <c r="K67" s="879"/>
      <c r="L67" s="880"/>
      <c r="M67" s="879"/>
      <c r="N67" s="880"/>
      <c r="O67" s="879"/>
      <c r="P67" s="880"/>
      <c r="Q67" s="879"/>
      <c r="R67" s="880"/>
      <c r="S67" s="879"/>
      <c r="T67" s="880"/>
      <c r="U67" s="879"/>
      <c r="V67" s="880"/>
      <c r="W67" s="879"/>
      <c r="X67" s="880"/>
      <c r="Y67" s="879"/>
      <c r="Z67" s="880"/>
      <c r="AA67" s="879"/>
      <c r="AB67" s="880"/>
      <c r="AC67" s="879"/>
      <c r="AD67" s="880"/>
      <c r="AE67" s="879"/>
      <c r="AF67" s="880"/>
      <c r="AG67" s="879"/>
      <c r="AH67" s="879"/>
      <c r="AI67" s="880"/>
      <c r="AJ67" s="879"/>
      <c r="AK67" s="880"/>
      <c r="AL67" s="879"/>
      <c r="AM67" s="880"/>
      <c r="AN67" s="879"/>
      <c r="AO67" s="880"/>
      <c r="AP67" s="879"/>
      <c r="AQ67" s="880"/>
      <c r="AR67" s="879"/>
      <c r="AS67" s="880"/>
      <c r="AT67" s="879"/>
      <c r="AU67" s="880"/>
      <c r="AV67" s="879"/>
      <c r="AW67" s="880"/>
      <c r="AX67" s="879"/>
      <c r="AY67" s="880"/>
      <c r="AZ67" s="879"/>
    </row>
    <row r="68" spans="1:52">
      <c r="A68" s="879"/>
      <c r="B68" s="880"/>
      <c r="C68" s="879"/>
      <c r="D68" s="880"/>
      <c r="E68" s="879"/>
      <c r="F68" s="880"/>
      <c r="G68" s="879"/>
      <c r="H68" s="880"/>
      <c r="I68" s="879"/>
      <c r="J68" s="880"/>
      <c r="K68" s="879"/>
      <c r="L68" s="880"/>
      <c r="M68" s="879"/>
      <c r="N68" s="880"/>
      <c r="O68" s="879"/>
      <c r="P68" s="880"/>
      <c r="Q68" s="879"/>
      <c r="R68" s="880"/>
      <c r="S68" s="879"/>
      <c r="T68" s="880"/>
      <c r="U68" s="879"/>
      <c r="V68" s="880"/>
      <c r="W68" s="879"/>
      <c r="X68" s="880"/>
      <c r="Y68" s="879"/>
      <c r="Z68" s="880"/>
      <c r="AA68" s="879"/>
      <c r="AB68" s="880"/>
      <c r="AC68" s="879"/>
      <c r="AD68" s="880"/>
      <c r="AE68" s="879"/>
      <c r="AF68" s="880"/>
      <c r="AG68" s="879"/>
      <c r="AH68" s="879"/>
      <c r="AI68" s="880"/>
      <c r="AJ68" s="879"/>
      <c r="AK68" s="880"/>
      <c r="AL68" s="879"/>
      <c r="AM68" s="880"/>
      <c r="AN68" s="879"/>
      <c r="AO68" s="880"/>
      <c r="AP68" s="879"/>
      <c r="AQ68" s="880"/>
      <c r="AR68" s="879"/>
      <c r="AS68" s="880"/>
      <c r="AT68" s="879"/>
      <c r="AU68" s="880"/>
      <c r="AV68" s="879"/>
      <c r="AW68" s="880"/>
      <c r="AX68" s="879"/>
      <c r="AY68" s="880"/>
      <c r="AZ68" s="879"/>
    </row>
    <row r="69" spans="1:52">
      <c r="A69" s="879"/>
      <c r="B69" s="880"/>
      <c r="C69" s="879"/>
      <c r="D69" s="880"/>
      <c r="E69" s="879"/>
      <c r="F69" s="880"/>
      <c r="G69" s="879"/>
      <c r="H69" s="880"/>
      <c r="I69" s="879"/>
      <c r="J69" s="880"/>
      <c r="K69" s="879"/>
      <c r="L69" s="880"/>
      <c r="M69" s="879"/>
      <c r="N69" s="880"/>
      <c r="O69" s="879"/>
      <c r="P69" s="880"/>
      <c r="Q69" s="879"/>
      <c r="R69" s="880"/>
      <c r="S69" s="879"/>
      <c r="T69" s="880"/>
      <c r="U69" s="879"/>
      <c r="V69" s="880"/>
      <c r="W69" s="879"/>
      <c r="X69" s="880"/>
      <c r="Y69" s="879"/>
      <c r="Z69" s="880"/>
      <c r="AA69" s="879"/>
      <c r="AB69" s="880"/>
      <c r="AC69" s="879"/>
      <c r="AD69" s="880"/>
      <c r="AE69" s="879"/>
      <c r="AF69" s="880"/>
      <c r="AG69" s="879"/>
      <c r="AH69" s="879"/>
      <c r="AI69" s="880"/>
      <c r="AJ69" s="879"/>
      <c r="AK69" s="880"/>
      <c r="AL69" s="879"/>
      <c r="AM69" s="880"/>
      <c r="AN69" s="879"/>
      <c r="AO69" s="880"/>
      <c r="AP69" s="879"/>
      <c r="AQ69" s="880"/>
      <c r="AR69" s="879"/>
      <c r="AS69" s="880"/>
      <c r="AT69" s="879"/>
      <c r="AU69" s="880"/>
      <c r="AV69" s="879"/>
      <c r="AW69" s="880"/>
      <c r="AX69" s="879"/>
      <c r="AY69" s="880"/>
      <c r="AZ69" s="879"/>
    </row>
    <row r="70" spans="1:52">
      <c r="A70" s="879"/>
      <c r="B70" s="880"/>
      <c r="C70" s="879"/>
      <c r="D70" s="880"/>
      <c r="E70" s="879"/>
      <c r="F70" s="880"/>
      <c r="G70" s="879"/>
      <c r="H70" s="880"/>
      <c r="I70" s="879"/>
      <c r="J70" s="880"/>
      <c r="K70" s="879"/>
      <c r="L70" s="880"/>
      <c r="M70" s="879"/>
      <c r="N70" s="880"/>
      <c r="O70" s="879"/>
      <c r="P70" s="880"/>
      <c r="Q70" s="879"/>
      <c r="R70" s="880"/>
      <c r="S70" s="879"/>
      <c r="T70" s="880"/>
      <c r="U70" s="879"/>
      <c r="V70" s="880"/>
      <c r="W70" s="879"/>
      <c r="X70" s="880"/>
      <c r="Y70" s="879"/>
      <c r="Z70" s="880"/>
      <c r="AA70" s="879"/>
      <c r="AB70" s="880"/>
      <c r="AC70" s="879"/>
      <c r="AD70" s="880"/>
      <c r="AE70" s="879"/>
      <c r="AF70" s="880"/>
      <c r="AG70" s="879"/>
      <c r="AH70" s="879"/>
      <c r="AI70" s="880"/>
      <c r="AJ70" s="879"/>
      <c r="AK70" s="880"/>
      <c r="AL70" s="879"/>
      <c r="AM70" s="880"/>
      <c r="AN70" s="879"/>
      <c r="AO70" s="880"/>
      <c r="AP70" s="879"/>
      <c r="AQ70" s="880"/>
      <c r="AR70" s="879"/>
      <c r="AS70" s="880"/>
      <c r="AT70" s="879"/>
      <c r="AU70" s="880"/>
      <c r="AV70" s="879"/>
      <c r="AW70" s="880"/>
      <c r="AX70" s="879"/>
      <c r="AY70" s="880"/>
      <c r="AZ70" s="879"/>
    </row>
    <row r="71" spans="1:52">
      <c r="A71" s="879"/>
      <c r="B71" s="880"/>
      <c r="C71" s="879"/>
      <c r="D71" s="880"/>
      <c r="E71" s="879"/>
      <c r="F71" s="880"/>
      <c r="G71" s="879"/>
      <c r="H71" s="880"/>
      <c r="I71" s="879"/>
      <c r="J71" s="880"/>
      <c r="K71" s="879"/>
      <c r="L71" s="880"/>
      <c r="M71" s="879"/>
      <c r="N71" s="880"/>
      <c r="O71" s="879"/>
      <c r="P71" s="880"/>
      <c r="Q71" s="879"/>
      <c r="R71" s="880"/>
      <c r="S71" s="879"/>
      <c r="T71" s="880"/>
      <c r="U71" s="879"/>
      <c r="V71" s="880"/>
      <c r="W71" s="879"/>
      <c r="X71" s="880"/>
      <c r="Y71" s="879"/>
      <c r="Z71" s="880"/>
      <c r="AA71" s="879"/>
      <c r="AB71" s="880"/>
      <c r="AC71" s="879"/>
      <c r="AD71" s="880"/>
      <c r="AE71" s="879"/>
      <c r="AF71" s="880"/>
      <c r="AG71" s="879"/>
      <c r="AH71" s="879"/>
      <c r="AI71" s="880"/>
      <c r="AJ71" s="879"/>
      <c r="AK71" s="880"/>
      <c r="AL71" s="879"/>
      <c r="AM71" s="880"/>
      <c r="AN71" s="879"/>
      <c r="AO71" s="880"/>
      <c r="AP71" s="879"/>
      <c r="AQ71" s="880"/>
      <c r="AR71" s="879"/>
      <c r="AS71" s="880"/>
      <c r="AT71" s="879"/>
      <c r="AU71" s="880"/>
      <c r="AV71" s="879"/>
      <c r="AW71" s="880"/>
      <c r="AX71" s="879"/>
      <c r="AY71" s="880"/>
      <c r="AZ71" s="879"/>
    </row>
    <row r="72" spans="1:52">
      <c r="A72" s="879"/>
      <c r="B72" s="880"/>
      <c r="C72" s="879"/>
      <c r="D72" s="880"/>
      <c r="E72" s="879"/>
      <c r="F72" s="880"/>
      <c r="G72" s="879"/>
      <c r="H72" s="880"/>
      <c r="I72" s="879"/>
      <c r="J72" s="880"/>
      <c r="K72" s="879"/>
      <c r="L72" s="880"/>
      <c r="M72" s="879"/>
      <c r="N72" s="880"/>
      <c r="O72" s="879"/>
      <c r="P72" s="880"/>
      <c r="Q72" s="879"/>
      <c r="R72" s="880"/>
      <c r="S72" s="879"/>
      <c r="T72" s="880"/>
      <c r="U72" s="879"/>
      <c r="V72" s="880"/>
      <c r="W72" s="879"/>
      <c r="X72" s="880"/>
      <c r="Y72" s="879"/>
      <c r="Z72" s="880"/>
      <c r="AA72" s="879"/>
      <c r="AB72" s="880"/>
      <c r="AC72" s="879"/>
      <c r="AD72" s="880"/>
      <c r="AE72" s="879"/>
      <c r="AF72" s="880"/>
      <c r="AG72" s="879"/>
      <c r="AH72" s="879"/>
      <c r="AI72" s="880"/>
      <c r="AJ72" s="879"/>
      <c r="AK72" s="880"/>
      <c r="AL72" s="879"/>
      <c r="AM72" s="880"/>
      <c r="AN72" s="879"/>
      <c r="AO72" s="880"/>
      <c r="AP72" s="879"/>
      <c r="AQ72" s="880"/>
      <c r="AR72" s="879"/>
      <c r="AS72" s="880"/>
      <c r="AT72" s="879"/>
      <c r="AU72" s="880"/>
      <c r="AV72" s="879"/>
      <c r="AW72" s="880"/>
      <c r="AX72" s="879"/>
      <c r="AY72" s="880"/>
      <c r="AZ72" s="879"/>
    </row>
    <row r="73" spans="1:52">
      <c r="A73" s="879"/>
      <c r="B73" s="880"/>
      <c r="C73" s="879"/>
      <c r="D73" s="880"/>
      <c r="E73" s="879"/>
      <c r="F73" s="880"/>
      <c r="G73" s="879"/>
      <c r="H73" s="880"/>
      <c r="I73" s="879"/>
      <c r="J73" s="880"/>
      <c r="K73" s="879"/>
      <c r="L73" s="880"/>
      <c r="M73" s="879"/>
      <c r="N73" s="880"/>
      <c r="O73" s="879"/>
      <c r="P73" s="880"/>
      <c r="Q73" s="879"/>
      <c r="R73" s="880"/>
      <c r="S73" s="879"/>
      <c r="T73" s="880"/>
      <c r="U73" s="879"/>
      <c r="V73" s="880"/>
      <c r="W73" s="879"/>
      <c r="X73" s="880"/>
      <c r="Y73" s="879"/>
      <c r="Z73" s="880"/>
      <c r="AA73" s="879"/>
      <c r="AB73" s="880"/>
      <c r="AC73" s="879"/>
      <c r="AD73" s="880"/>
      <c r="AE73" s="879"/>
      <c r="AF73" s="880"/>
      <c r="AG73" s="879"/>
      <c r="AH73" s="879"/>
      <c r="AI73" s="880"/>
      <c r="AJ73" s="879"/>
      <c r="AK73" s="880"/>
      <c r="AL73" s="879"/>
      <c r="AM73" s="880"/>
      <c r="AN73" s="879"/>
      <c r="AO73" s="880"/>
      <c r="AP73" s="879"/>
      <c r="AQ73" s="880"/>
      <c r="AR73" s="879"/>
      <c r="AS73" s="880"/>
      <c r="AT73" s="879"/>
      <c r="AU73" s="880"/>
      <c r="AV73" s="879"/>
      <c r="AW73" s="880"/>
      <c r="AX73" s="879"/>
      <c r="AY73" s="880"/>
      <c r="AZ73" s="879"/>
    </row>
  </sheetData>
  <mergeCells count="72">
    <mergeCell ref="AC2:AC3"/>
    <mergeCell ref="AG1:AI1"/>
    <mergeCell ref="A1:C1"/>
    <mergeCell ref="P2:P3"/>
    <mergeCell ref="Q2:Q3"/>
    <mergeCell ref="R2:R3"/>
    <mergeCell ref="S2:S3"/>
    <mergeCell ref="T2:T3"/>
    <mergeCell ref="U2:U3"/>
    <mergeCell ref="V2:V3"/>
    <mergeCell ref="W2:W3"/>
    <mergeCell ref="X2:X3"/>
    <mergeCell ref="Y2:Y3"/>
    <mergeCell ref="Z2:Z3"/>
    <mergeCell ref="AA2:AA3"/>
    <mergeCell ref="AB2:AB3"/>
    <mergeCell ref="AP2:AP3"/>
    <mergeCell ref="AD2:AD3"/>
    <mergeCell ref="AE2:AE3"/>
    <mergeCell ref="AF2:AF3"/>
    <mergeCell ref="AH2:AH3"/>
    <mergeCell ref="AI2:AI3"/>
    <mergeCell ref="AJ2:AJ3"/>
    <mergeCell ref="AK2:AK3"/>
    <mergeCell ref="AL2:AL3"/>
    <mergeCell ref="AM2:AM3"/>
    <mergeCell ref="AN2:AN3"/>
    <mergeCell ref="AO2:AO3"/>
    <mergeCell ref="BB2:BB3"/>
    <mergeCell ref="AQ2:AQ3"/>
    <mergeCell ref="AR2:AR3"/>
    <mergeCell ref="AS2:AS3"/>
    <mergeCell ref="AT2:AT3"/>
    <mergeCell ref="AU2:AU3"/>
    <mergeCell ref="AV2:AV3"/>
    <mergeCell ref="BS2:BS3"/>
    <mergeCell ref="BT2:BT3"/>
    <mergeCell ref="BI2:BI3"/>
    <mergeCell ref="BJ2:BJ3"/>
    <mergeCell ref="BK2:BK3"/>
    <mergeCell ref="BL2:BL3"/>
    <mergeCell ref="BM2:BM3"/>
    <mergeCell ref="BN2:BN3"/>
    <mergeCell ref="G2:G3"/>
    <mergeCell ref="BO2:BO3"/>
    <mergeCell ref="BP2:BP3"/>
    <mergeCell ref="BQ2:BQ3"/>
    <mergeCell ref="BR2:BR3"/>
    <mergeCell ref="BC2:BC3"/>
    <mergeCell ref="BD2:BD3"/>
    <mergeCell ref="BE2:BE3"/>
    <mergeCell ref="BF2:BF3"/>
    <mergeCell ref="BG2:BG3"/>
    <mergeCell ref="BH2:BH3"/>
    <mergeCell ref="AW2:AW3"/>
    <mergeCell ref="AX2:AX3"/>
    <mergeCell ref="AY2:AY3"/>
    <mergeCell ref="AZ2:AZ3"/>
    <mergeCell ref="BA2:BA3"/>
    <mergeCell ref="B2:B3"/>
    <mergeCell ref="C2:C3"/>
    <mergeCell ref="D2:D3"/>
    <mergeCell ref="E2:E3"/>
    <mergeCell ref="F2:F3"/>
    <mergeCell ref="N2:N3"/>
    <mergeCell ref="O2:O3"/>
    <mergeCell ref="H2:H3"/>
    <mergeCell ref="I2:I3"/>
    <mergeCell ref="J2:J3"/>
    <mergeCell ref="K2:K3"/>
    <mergeCell ref="L2:L3"/>
    <mergeCell ref="M2:M3"/>
  </mergeCells>
  <hyperlinks>
    <hyperlink ref="A1" location="INDEX!A1" display="INDEX!A1"/>
    <hyperlink ref="AG1" location="INDEX!A1" display="INDEX!A1"/>
  </hyperlinks>
  <pageMargins left="0" right="0" top="0" bottom="0" header="0" footer="0"/>
  <pageSetup paperSize="9" scale="32" orientation="landscape" r:id="rId1"/>
  <headerFooter alignWithMargins="0"/>
  <colBreaks count="1" manualBreakCount="1">
    <brk id="32" min="1" max="48" man="1"/>
  </colBreak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CFF33"/>
  </sheetPr>
  <dimension ref="A1:M34"/>
  <sheetViews>
    <sheetView zoomScaleNormal="100" workbookViewId="0">
      <selection activeCell="K1" sqref="K1:M1"/>
    </sheetView>
  </sheetViews>
  <sheetFormatPr defaultColWidth="9.140625" defaultRowHeight="12.75"/>
  <cols>
    <col min="1" max="1" width="12.42578125" style="435" bestFit="1" customWidth="1"/>
    <col min="2" max="2" width="29.140625" style="435" bestFit="1" customWidth="1"/>
    <col min="3" max="3" width="11" style="435" bestFit="1" customWidth="1"/>
    <col min="4" max="4" width="11.5703125" style="435" bestFit="1" customWidth="1"/>
    <col min="5" max="5" width="10.5703125" style="435" bestFit="1" customWidth="1"/>
    <col min="6" max="7" width="12.7109375" style="435" customWidth="1"/>
    <col min="8" max="8" width="12" style="435" bestFit="1" customWidth="1"/>
    <col min="9" max="9" width="16.7109375" style="435" bestFit="1" customWidth="1"/>
    <col min="10" max="10" width="13.5703125" style="435" customWidth="1"/>
    <col min="11" max="16384" width="9.140625" style="435"/>
  </cols>
  <sheetData>
    <row r="1" spans="1:13" ht="24" thickBot="1">
      <c r="A1" s="3090" t="s">
        <v>1286</v>
      </c>
      <c r="B1" s="3090"/>
      <c r="C1" s="3090"/>
      <c r="D1" s="3090"/>
      <c r="E1" s="3090"/>
      <c r="F1" s="3090"/>
      <c r="G1" s="3090"/>
      <c r="H1" s="3090"/>
      <c r="I1" s="3090"/>
      <c r="J1" s="3090"/>
      <c r="K1" s="2777" t="s">
        <v>1749</v>
      </c>
      <c r="L1" s="2778"/>
      <c r="M1" s="2779"/>
    </row>
    <row r="2" spans="1:13" ht="20.25">
      <c r="A2" s="3091" t="s">
        <v>1287</v>
      </c>
      <c r="B2" s="3091"/>
      <c r="C2" s="1289"/>
      <c r="D2" s="3090"/>
      <c r="E2" s="3090"/>
      <c r="F2" s="3090"/>
      <c r="G2" s="3090"/>
      <c r="H2" s="3090"/>
      <c r="I2" s="3090"/>
      <c r="J2" s="3090"/>
    </row>
    <row r="3" spans="1:13">
      <c r="A3" s="3092"/>
      <c r="B3" s="3092"/>
      <c r="C3" s="3092"/>
      <c r="D3" s="3092"/>
      <c r="E3" s="3092"/>
      <c r="F3" s="3092"/>
      <c r="G3" s="3092"/>
      <c r="H3" s="3092"/>
      <c r="I3" s="3092"/>
      <c r="J3" s="3092"/>
    </row>
    <row r="4" spans="1:13" ht="15.75">
      <c r="A4" s="3093" t="s">
        <v>1288</v>
      </c>
      <c r="B4" s="3093"/>
      <c r="C4" s="3093"/>
      <c r="D4" s="3093"/>
      <c r="E4" s="3093"/>
      <c r="F4" s="3093"/>
      <c r="G4" s="3093"/>
      <c r="H4" s="3093"/>
      <c r="I4" s="3093"/>
      <c r="J4" s="3093"/>
    </row>
    <row r="5" spans="1:13">
      <c r="A5" s="3089"/>
      <c r="B5" s="3089"/>
      <c r="C5" s="567" t="s">
        <v>1289</v>
      </c>
      <c r="D5" s="567" t="s">
        <v>1290</v>
      </c>
      <c r="E5" s="567" t="s">
        <v>1291</v>
      </c>
      <c r="F5" s="567" t="s">
        <v>1292</v>
      </c>
      <c r="G5" s="567" t="s">
        <v>1293</v>
      </c>
      <c r="H5" s="567" t="s">
        <v>1294</v>
      </c>
      <c r="I5" s="646"/>
      <c r="J5" s="646"/>
    </row>
    <row r="6" spans="1:13" ht="15.75">
      <c r="A6" s="3089"/>
      <c r="B6" s="3089"/>
      <c r="C6" s="658" t="s">
        <v>1295</v>
      </c>
      <c r="D6" s="658" t="s">
        <v>1296</v>
      </c>
      <c r="E6" s="658" t="s">
        <v>1297</v>
      </c>
      <c r="F6" s="658" t="s">
        <v>1298</v>
      </c>
      <c r="G6" s="658" t="s">
        <v>1299</v>
      </c>
      <c r="H6" s="658" t="s">
        <v>1300</v>
      </c>
      <c r="I6" s="646"/>
      <c r="J6" s="646"/>
    </row>
    <row r="7" spans="1:13" s="1264" customFormat="1" ht="26.25" thickBot="1">
      <c r="A7" s="3089"/>
      <c r="B7" s="3089"/>
      <c r="C7" s="1275" t="s">
        <v>1301</v>
      </c>
      <c r="D7" s="1275" t="s">
        <v>1302</v>
      </c>
      <c r="E7" s="1275" t="s">
        <v>1303</v>
      </c>
      <c r="F7" s="1275" t="s">
        <v>1304</v>
      </c>
      <c r="G7" s="1275" t="s">
        <v>1305</v>
      </c>
      <c r="H7" s="1275" t="s">
        <v>1306</v>
      </c>
      <c r="I7" s="1263"/>
      <c r="J7" s="1263"/>
    </row>
    <row r="8" spans="1:13">
      <c r="A8" s="3094"/>
      <c r="B8" s="1274" t="s">
        <v>1307</v>
      </c>
      <c r="C8" s="1276">
        <v>5</v>
      </c>
      <c r="D8" s="1277">
        <v>4</v>
      </c>
      <c r="E8" s="1277">
        <v>1.8</v>
      </c>
      <c r="F8" s="1277">
        <v>2.37</v>
      </c>
      <c r="G8" s="1277">
        <v>4.3</v>
      </c>
      <c r="H8" s="1278">
        <v>3</v>
      </c>
      <c r="I8" s="742"/>
      <c r="J8" s="646"/>
    </row>
    <row r="9" spans="1:13">
      <c r="A9" s="3094"/>
      <c r="B9" s="1274" t="s">
        <v>1308</v>
      </c>
      <c r="C9" s="1279">
        <v>15</v>
      </c>
      <c r="D9" s="1267">
        <v>74</v>
      </c>
      <c r="E9" s="1267">
        <v>8.5</v>
      </c>
      <c r="F9" s="1267">
        <v>9.5</v>
      </c>
      <c r="G9" s="1267">
        <v>46</v>
      </c>
      <c r="H9" s="1280">
        <v>12.5</v>
      </c>
      <c r="I9" s="742"/>
      <c r="J9" s="646"/>
    </row>
    <row r="10" spans="1:13">
      <c r="A10" s="3094"/>
      <c r="B10" s="1274" t="s">
        <v>1309</v>
      </c>
      <c r="C10" s="1279"/>
      <c r="D10" s="1267"/>
      <c r="E10" s="1267">
        <v>500</v>
      </c>
      <c r="F10" s="1267">
        <v>540</v>
      </c>
      <c r="G10" s="1267">
        <v>260</v>
      </c>
      <c r="H10" s="1280">
        <v>472</v>
      </c>
      <c r="I10" s="742"/>
      <c r="J10" s="646"/>
    </row>
    <row r="11" spans="1:13" ht="13.5" thickBot="1">
      <c r="A11" s="3094"/>
      <c r="B11" s="1274" t="s">
        <v>1310</v>
      </c>
      <c r="C11" s="1281" t="s">
        <v>683</v>
      </c>
      <c r="D11" s="1269" t="s">
        <v>1311</v>
      </c>
      <c r="E11" s="1269" t="s">
        <v>1312</v>
      </c>
      <c r="F11" s="1269" t="s">
        <v>1313</v>
      </c>
      <c r="G11" s="1269" t="s">
        <v>1314</v>
      </c>
      <c r="H11" s="1282" t="s">
        <v>1315</v>
      </c>
      <c r="I11" s="742"/>
      <c r="J11" s="646"/>
    </row>
    <row r="12" spans="1:13" ht="13.5" thickBot="1">
      <c r="A12" s="3094"/>
      <c r="B12" s="1268"/>
      <c r="C12" s="1270">
        <v>84.47</v>
      </c>
      <c r="D12" s="1271"/>
      <c r="E12" s="1271">
        <v>0.14000000000000001</v>
      </c>
      <c r="F12" s="1271">
        <v>0.97</v>
      </c>
      <c r="G12" s="1272"/>
      <c r="H12" s="1273">
        <v>7.66</v>
      </c>
      <c r="I12" s="742"/>
      <c r="J12" s="646"/>
    </row>
    <row r="13" spans="1:13">
      <c r="A13" s="3094"/>
      <c r="B13" s="3089"/>
      <c r="C13" s="3095"/>
      <c r="D13" s="3095"/>
      <c r="E13" s="3095"/>
      <c r="F13" s="3095"/>
      <c r="G13" s="3095"/>
      <c r="H13" s="3095"/>
      <c r="I13" s="658"/>
      <c r="J13" s="658"/>
    </row>
    <row r="14" spans="1:13">
      <c r="A14" s="654" t="s">
        <v>1316</v>
      </c>
      <c r="B14" s="646" t="s">
        <v>1317</v>
      </c>
      <c r="C14" s="1284" t="s">
        <v>1318</v>
      </c>
      <c r="D14" s="1283">
        <f>100/(C12/C8+E12/E8+F12/F8+H12/H8)</f>
        <v>5.0164555263348394</v>
      </c>
      <c r="E14" s="3089"/>
      <c r="F14" s="3089"/>
      <c r="G14" s="3089"/>
      <c r="H14" s="3089"/>
      <c r="I14" s="3089"/>
      <c r="J14" s="3089"/>
    </row>
    <row r="15" spans="1:13">
      <c r="A15" s="654"/>
      <c r="B15" s="646" t="s">
        <v>1319</v>
      </c>
      <c r="C15" s="3096"/>
      <c r="D15" s="3097"/>
      <c r="E15" s="3089"/>
      <c r="F15" s="3089"/>
      <c r="G15" s="3089"/>
      <c r="H15" s="3089"/>
      <c r="I15" s="3089"/>
      <c r="J15" s="3089"/>
    </row>
    <row r="16" spans="1:13">
      <c r="A16" s="654"/>
      <c r="B16" s="646" t="s">
        <v>1320</v>
      </c>
      <c r="C16" s="3098"/>
      <c r="D16" s="3099"/>
      <c r="E16" s="3089"/>
      <c r="F16" s="3089"/>
      <c r="G16" s="3089"/>
      <c r="H16" s="3089"/>
      <c r="I16" s="3089"/>
      <c r="J16" s="3089"/>
    </row>
    <row r="17" spans="1:10">
      <c r="A17" s="654" t="s">
        <v>1321</v>
      </c>
      <c r="B17" s="646" t="s">
        <v>1322</v>
      </c>
      <c r="C17" s="1284" t="s">
        <v>1323</v>
      </c>
      <c r="D17" s="1283">
        <f>100/(C12/C9+E12/E9+F12/F9+H12/H9)</f>
        <v>15.716575612169542</v>
      </c>
      <c r="E17" s="3089"/>
      <c r="F17" s="3089"/>
      <c r="G17" s="3089"/>
      <c r="H17" s="3089"/>
      <c r="I17" s="3089"/>
      <c r="J17" s="3089"/>
    </row>
    <row r="18" spans="1:10">
      <c r="A18" s="646"/>
      <c r="B18" s="646" t="s">
        <v>1319</v>
      </c>
      <c r="C18" s="3096"/>
      <c r="D18" s="3097"/>
      <c r="E18" s="3089"/>
      <c r="F18" s="3089"/>
      <c r="G18" s="3089"/>
      <c r="H18" s="3089"/>
      <c r="I18" s="3089"/>
      <c r="J18" s="3089"/>
    </row>
    <row r="19" spans="1:10">
      <c r="A19" s="646"/>
      <c r="B19" s="646" t="s">
        <v>1324</v>
      </c>
      <c r="C19" s="3098"/>
      <c r="D19" s="3099"/>
      <c r="E19" s="3089"/>
      <c r="F19" s="3089"/>
      <c r="G19" s="3089"/>
      <c r="H19" s="3089"/>
      <c r="I19" s="3089"/>
      <c r="J19" s="3089"/>
    </row>
    <row r="20" spans="1:10">
      <c r="A20" s="3089"/>
      <c r="B20" s="3089"/>
      <c r="C20" s="3089"/>
      <c r="D20" s="3089"/>
      <c r="E20" s="3089"/>
      <c r="F20" s="3089"/>
      <c r="G20" s="3089"/>
      <c r="H20" s="3089"/>
      <c r="I20" s="3089"/>
      <c r="J20" s="3089"/>
    </row>
    <row r="21" spans="1:10" ht="15.75">
      <c r="A21" s="3093" t="s">
        <v>1325</v>
      </c>
      <c r="B21" s="3093"/>
      <c r="C21" s="3093"/>
      <c r="D21" s="3093"/>
      <c r="E21" s="3093"/>
      <c r="F21" s="3093"/>
      <c r="G21" s="3093"/>
      <c r="H21" s="3093"/>
      <c r="I21" s="3093"/>
      <c r="J21" s="3093"/>
    </row>
    <row r="22" spans="1:10" s="1265" customFormat="1" ht="25.5">
      <c r="A22" s="1262" t="s">
        <v>1326</v>
      </c>
      <c r="B22" s="1262" t="s">
        <v>1326</v>
      </c>
      <c r="C22" s="1262" t="s">
        <v>1327</v>
      </c>
      <c r="D22" s="1262" t="s">
        <v>1048</v>
      </c>
      <c r="E22" s="1262" t="s">
        <v>1092</v>
      </c>
      <c r="F22" s="1262" t="s">
        <v>1328</v>
      </c>
      <c r="G22" s="1262" t="s">
        <v>1329</v>
      </c>
      <c r="H22" s="1262" t="s">
        <v>1330</v>
      </c>
      <c r="I22" s="1262" t="s">
        <v>1331</v>
      </c>
      <c r="J22" s="1262" t="s">
        <v>1332</v>
      </c>
    </row>
    <row r="23" spans="1:10" s="504" customFormat="1" ht="15">
      <c r="A23" s="658" t="s">
        <v>286</v>
      </c>
      <c r="B23" s="658" t="s">
        <v>357</v>
      </c>
      <c r="C23" s="658" t="s">
        <v>1333</v>
      </c>
      <c r="D23" s="658" t="s">
        <v>889</v>
      </c>
      <c r="E23" s="658" t="s">
        <v>1334</v>
      </c>
      <c r="F23" s="1266" t="s">
        <v>211</v>
      </c>
      <c r="G23" s="658" t="s">
        <v>1334</v>
      </c>
      <c r="H23" s="658" t="s">
        <v>1334</v>
      </c>
      <c r="I23" s="658" t="s">
        <v>1334</v>
      </c>
      <c r="J23" s="658" t="s">
        <v>211</v>
      </c>
    </row>
    <row r="24" spans="1:10" s="504" customFormat="1">
      <c r="A24" s="1267">
        <v>48</v>
      </c>
      <c r="B24" s="483">
        <f>A24/1000</f>
        <v>4.8000000000000001E-2</v>
      </c>
      <c r="C24" s="483">
        <f>SUMSQ(B24/2)*3.14</f>
        <v>1.80864E-3</v>
      </c>
      <c r="D24" s="483">
        <v>500</v>
      </c>
      <c r="E24" s="1285">
        <f>C24*D24</f>
        <v>0.90432000000000001</v>
      </c>
      <c r="F24" s="1288">
        <v>0.93</v>
      </c>
      <c r="G24" s="1285">
        <f>E24*F24</f>
        <v>0.84101760000000003</v>
      </c>
      <c r="H24" s="1267">
        <v>8</v>
      </c>
      <c r="I24" s="1285">
        <f>SUM(E24,H24)</f>
        <v>8.9043200000000002</v>
      </c>
      <c r="J24" s="1286">
        <f>G24/I24*100</f>
        <v>9.4450513907855953</v>
      </c>
    </row>
    <row r="25" spans="1:10" s="504" customFormat="1">
      <c r="A25" s="3089"/>
      <c r="B25" s="3089"/>
      <c r="C25" s="3089"/>
      <c r="D25" s="3089"/>
      <c r="E25" s="3089"/>
      <c r="F25" s="3089"/>
      <c r="G25" s="3089"/>
      <c r="H25" s="3089"/>
      <c r="I25" s="3089"/>
      <c r="J25" s="3089"/>
    </row>
    <row r="26" spans="1:10" ht="15.75">
      <c r="A26" s="3093" t="s">
        <v>1335</v>
      </c>
      <c r="B26" s="3093"/>
      <c r="C26" s="3093"/>
      <c r="D26" s="3093"/>
      <c r="E26" s="3093"/>
      <c r="F26" s="3093"/>
      <c r="G26" s="3093"/>
      <c r="H26" s="3093"/>
      <c r="I26" s="3093"/>
      <c r="J26" s="3093"/>
    </row>
    <row r="27" spans="1:10" s="1264" customFormat="1" ht="25.5">
      <c r="A27" s="1263"/>
      <c r="B27" s="1263"/>
      <c r="C27" s="1262" t="s">
        <v>1336</v>
      </c>
      <c r="D27" s="1262" t="s">
        <v>1337</v>
      </c>
      <c r="E27" s="3100"/>
      <c r="F27" s="3100"/>
      <c r="G27" s="3100"/>
      <c r="H27" s="3100"/>
      <c r="I27" s="3100"/>
      <c r="J27" s="3100"/>
    </row>
    <row r="28" spans="1:10">
      <c r="A28" s="654"/>
      <c r="B28" s="1261" t="s">
        <v>1307</v>
      </c>
      <c r="C28" s="1286">
        <f>D14</f>
        <v>5.0164555263348394</v>
      </c>
      <c r="D28" s="1267">
        <v>0</v>
      </c>
      <c r="E28" s="3100"/>
      <c r="F28" s="3100"/>
      <c r="G28" s="3100"/>
      <c r="H28" s="3100"/>
      <c r="I28" s="3100"/>
      <c r="J28" s="3100"/>
    </row>
    <row r="29" spans="1:10">
      <c r="A29" s="654"/>
      <c r="B29" s="1261" t="s">
        <v>1308</v>
      </c>
      <c r="C29" s="1286">
        <f>D17</f>
        <v>15.716575612169542</v>
      </c>
      <c r="D29" s="1267">
        <v>0</v>
      </c>
      <c r="E29" s="3100"/>
      <c r="F29" s="3100"/>
      <c r="G29" s="3100"/>
      <c r="H29" s="3100"/>
      <c r="I29" s="3100"/>
      <c r="J29" s="3100"/>
    </row>
    <row r="30" spans="1:10">
      <c r="A30" s="654"/>
      <c r="B30" s="1261" t="s">
        <v>1092</v>
      </c>
      <c r="C30" s="1285">
        <f>G24</f>
        <v>0.84101760000000003</v>
      </c>
      <c r="D30" s="1285">
        <f>H24</f>
        <v>8</v>
      </c>
      <c r="E30" s="3100"/>
      <c r="F30" s="3100"/>
      <c r="G30" s="3100"/>
      <c r="H30" s="3100"/>
      <c r="I30" s="3100"/>
      <c r="J30" s="3100"/>
    </row>
    <row r="31" spans="1:10">
      <c r="A31" s="3101"/>
      <c r="B31" s="3102"/>
      <c r="C31" s="3102"/>
      <c r="D31" s="3103"/>
      <c r="E31" s="3100"/>
      <c r="F31" s="3100"/>
      <c r="G31" s="3100"/>
      <c r="H31" s="3100"/>
      <c r="I31" s="3100"/>
      <c r="J31" s="3100"/>
    </row>
    <row r="32" spans="1:10">
      <c r="A32" s="654" t="s">
        <v>1338</v>
      </c>
      <c r="B32" s="646" t="s">
        <v>1339</v>
      </c>
      <c r="C32" s="1284" t="s">
        <v>1318</v>
      </c>
      <c r="D32" s="1287">
        <f>(C30*C28)/SUM(C30,D30)</f>
        <v>0.47719929742757927</v>
      </c>
      <c r="E32" s="3100"/>
      <c r="F32" s="3100"/>
      <c r="G32" s="3100"/>
      <c r="H32" s="3100"/>
      <c r="I32" s="3100"/>
      <c r="J32" s="3100"/>
    </row>
    <row r="33" spans="1:10">
      <c r="A33" s="3101"/>
      <c r="B33" s="3102"/>
      <c r="C33" s="3102"/>
      <c r="D33" s="3103"/>
      <c r="E33" s="3100"/>
      <c r="F33" s="3100"/>
      <c r="G33" s="3100"/>
      <c r="H33" s="3100"/>
      <c r="I33" s="3100"/>
      <c r="J33" s="3100"/>
    </row>
    <row r="34" spans="1:10">
      <c r="A34" s="654" t="s">
        <v>1340</v>
      </c>
      <c r="B34" s="646" t="s">
        <v>1341</v>
      </c>
      <c r="C34" s="1284" t="s">
        <v>1323</v>
      </c>
      <c r="D34" s="1287">
        <f>(C30*C29)/SUM(C30,D30)</f>
        <v>1.495067344008608</v>
      </c>
      <c r="E34" s="3100"/>
      <c r="F34" s="3100"/>
      <c r="G34" s="3100"/>
      <c r="H34" s="3100"/>
      <c r="I34" s="3100"/>
      <c r="J34" s="3100"/>
    </row>
  </sheetData>
  <mergeCells count="19">
    <mergeCell ref="A21:J21"/>
    <mergeCell ref="A25:J25"/>
    <mergeCell ref="A26:J26"/>
    <mergeCell ref="E27:J34"/>
    <mergeCell ref="A31:D31"/>
    <mergeCell ref="A33:D33"/>
    <mergeCell ref="K1:M1"/>
    <mergeCell ref="A20:J20"/>
    <mergeCell ref="A1:J1"/>
    <mergeCell ref="A2:B2"/>
    <mergeCell ref="D2:J2"/>
    <mergeCell ref="A3:J3"/>
    <mergeCell ref="A4:J4"/>
    <mergeCell ref="A5:B7"/>
    <mergeCell ref="A8:A13"/>
    <mergeCell ref="B13:H13"/>
    <mergeCell ref="E14:J19"/>
    <mergeCell ref="C15:D16"/>
    <mergeCell ref="C18:D19"/>
  </mergeCells>
  <hyperlinks>
    <hyperlink ref="K1" location="INDEX!A1" display="INDEX!A1"/>
  </hyperlinks>
  <pageMargins left="0.75" right="0.75" top="1" bottom="1" header="0.5" footer="0.5"/>
  <pageSetup paperSize="9" orientation="portrait" r:id="rId1"/>
  <headerFooter alignWithMargins="0"/>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O23"/>
  <sheetViews>
    <sheetView showGridLines="0" tabSelected="1" topLeftCell="A28" zoomScale="92" zoomScaleNormal="92" zoomScaleSheetLayoutView="115" workbookViewId="0">
      <selection activeCell="H7" sqref="H7"/>
    </sheetView>
  </sheetViews>
  <sheetFormatPr defaultRowHeight="12.75"/>
  <cols>
    <col min="1" max="1" width="2.85546875" style="435" customWidth="1"/>
    <col min="2" max="2" width="2.5703125" style="435" customWidth="1"/>
    <col min="3" max="3" width="31.140625" style="435" bestFit="1" customWidth="1"/>
    <col min="4" max="4" width="8.28515625" style="435" bestFit="1" customWidth="1"/>
    <col min="5" max="5" width="9.140625" style="435"/>
    <col min="6" max="6" width="5.7109375" style="435" customWidth="1"/>
    <col min="7" max="7" width="4.42578125" style="435" bestFit="1" customWidth="1"/>
    <col min="8" max="8" width="5.5703125" style="435" customWidth="1"/>
    <col min="9" max="9" width="6.28515625" style="435" bestFit="1" customWidth="1"/>
    <col min="10" max="10" width="5" style="435" customWidth="1"/>
    <col min="11" max="11" width="13.28515625" style="435" bestFit="1" customWidth="1"/>
    <col min="12" max="12" width="1.7109375" style="435" customWidth="1"/>
    <col min="13" max="13" width="2.7109375" style="435" customWidth="1"/>
    <col min="14" max="256" width="9.140625" style="435"/>
    <col min="257" max="257" width="2.85546875" style="435" customWidth="1"/>
    <col min="258" max="258" width="2.5703125" style="435" customWidth="1"/>
    <col min="259" max="259" width="25" style="435" customWidth="1"/>
    <col min="260" max="260" width="8.28515625" style="435" bestFit="1" customWidth="1"/>
    <col min="261" max="261" width="9.140625" style="435"/>
    <col min="262" max="262" width="5.7109375" style="435" customWidth="1"/>
    <col min="263" max="263" width="4.42578125" style="435" bestFit="1" customWidth="1"/>
    <col min="264" max="264" width="5.5703125" style="435" customWidth="1"/>
    <col min="265" max="265" width="6.28515625" style="435" bestFit="1" customWidth="1"/>
    <col min="266" max="266" width="5" style="435" customWidth="1"/>
    <col min="267" max="267" width="13.28515625" style="435" bestFit="1" customWidth="1"/>
    <col min="268" max="268" width="1.7109375" style="435" customWidth="1"/>
    <col min="269" max="269" width="2.7109375" style="435" customWidth="1"/>
    <col min="270" max="512" width="9.140625" style="435"/>
    <col min="513" max="513" width="2.85546875" style="435" customWidth="1"/>
    <col min="514" max="514" width="2.5703125" style="435" customWidth="1"/>
    <col min="515" max="515" width="25" style="435" customWidth="1"/>
    <col min="516" max="516" width="8.28515625" style="435" bestFit="1" customWidth="1"/>
    <col min="517" max="517" width="9.140625" style="435"/>
    <col min="518" max="518" width="5.7109375" style="435" customWidth="1"/>
    <col min="519" max="519" width="4.42578125" style="435" bestFit="1" customWidth="1"/>
    <col min="520" max="520" width="5.5703125" style="435" customWidth="1"/>
    <col min="521" max="521" width="6.28515625" style="435" bestFit="1" customWidth="1"/>
    <col min="522" max="522" width="5" style="435" customWidth="1"/>
    <col min="523" max="523" width="13.28515625" style="435" bestFit="1" customWidth="1"/>
    <col min="524" max="524" width="1.7109375" style="435" customWidth="1"/>
    <col min="525" max="525" width="2.7109375" style="435" customWidth="1"/>
    <col min="526" max="768" width="9.140625" style="435"/>
    <col min="769" max="769" width="2.85546875" style="435" customWidth="1"/>
    <col min="770" max="770" width="2.5703125" style="435" customWidth="1"/>
    <col min="771" max="771" width="25" style="435" customWidth="1"/>
    <col min="772" max="772" width="8.28515625" style="435" bestFit="1" customWidth="1"/>
    <col min="773" max="773" width="9.140625" style="435"/>
    <col min="774" max="774" width="5.7109375" style="435" customWidth="1"/>
    <col min="775" max="775" width="4.42578125" style="435" bestFit="1" customWidth="1"/>
    <col min="776" max="776" width="5.5703125" style="435" customWidth="1"/>
    <col min="777" max="777" width="6.28515625" style="435" bestFit="1" customWidth="1"/>
    <col min="778" max="778" width="5" style="435" customWidth="1"/>
    <col min="779" max="779" width="13.28515625" style="435" bestFit="1" customWidth="1"/>
    <col min="780" max="780" width="1.7109375" style="435" customWidth="1"/>
    <col min="781" max="781" width="2.7109375" style="435" customWidth="1"/>
    <col min="782" max="1024" width="9.140625" style="435"/>
    <col min="1025" max="1025" width="2.85546875" style="435" customWidth="1"/>
    <col min="1026" max="1026" width="2.5703125" style="435" customWidth="1"/>
    <col min="1027" max="1027" width="25" style="435" customWidth="1"/>
    <col min="1028" max="1028" width="8.28515625" style="435" bestFit="1" customWidth="1"/>
    <col min="1029" max="1029" width="9.140625" style="435"/>
    <col min="1030" max="1030" width="5.7109375" style="435" customWidth="1"/>
    <col min="1031" max="1031" width="4.42578125" style="435" bestFit="1" customWidth="1"/>
    <col min="1032" max="1032" width="5.5703125" style="435" customWidth="1"/>
    <col min="1033" max="1033" width="6.28515625" style="435" bestFit="1" customWidth="1"/>
    <col min="1034" max="1034" width="5" style="435" customWidth="1"/>
    <col min="1035" max="1035" width="13.28515625" style="435" bestFit="1" customWidth="1"/>
    <col min="1036" max="1036" width="1.7109375" style="435" customWidth="1"/>
    <col min="1037" max="1037" width="2.7109375" style="435" customWidth="1"/>
    <col min="1038" max="1280" width="9.140625" style="435"/>
    <col min="1281" max="1281" width="2.85546875" style="435" customWidth="1"/>
    <col min="1282" max="1282" width="2.5703125" style="435" customWidth="1"/>
    <col min="1283" max="1283" width="25" style="435" customWidth="1"/>
    <col min="1284" max="1284" width="8.28515625" style="435" bestFit="1" customWidth="1"/>
    <col min="1285" max="1285" width="9.140625" style="435"/>
    <col min="1286" max="1286" width="5.7109375" style="435" customWidth="1"/>
    <col min="1287" max="1287" width="4.42578125" style="435" bestFit="1" customWidth="1"/>
    <col min="1288" max="1288" width="5.5703125" style="435" customWidth="1"/>
    <col min="1289" max="1289" width="6.28515625" style="435" bestFit="1" customWidth="1"/>
    <col min="1290" max="1290" width="5" style="435" customWidth="1"/>
    <col min="1291" max="1291" width="13.28515625" style="435" bestFit="1" customWidth="1"/>
    <col min="1292" max="1292" width="1.7109375" style="435" customWidth="1"/>
    <col min="1293" max="1293" width="2.7109375" style="435" customWidth="1"/>
    <col min="1294" max="1536" width="9.140625" style="435"/>
    <col min="1537" max="1537" width="2.85546875" style="435" customWidth="1"/>
    <col min="1538" max="1538" width="2.5703125" style="435" customWidth="1"/>
    <col min="1539" max="1539" width="25" style="435" customWidth="1"/>
    <col min="1540" max="1540" width="8.28515625" style="435" bestFit="1" customWidth="1"/>
    <col min="1541" max="1541" width="9.140625" style="435"/>
    <col min="1542" max="1542" width="5.7109375" style="435" customWidth="1"/>
    <col min="1543" max="1543" width="4.42578125" style="435" bestFit="1" customWidth="1"/>
    <col min="1544" max="1544" width="5.5703125" style="435" customWidth="1"/>
    <col min="1545" max="1545" width="6.28515625" style="435" bestFit="1" customWidth="1"/>
    <col min="1546" max="1546" width="5" style="435" customWidth="1"/>
    <col min="1547" max="1547" width="13.28515625" style="435" bestFit="1" customWidth="1"/>
    <col min="1548" max="1548" width="1.7109375" style="435" customWidth="1"/>
    <col min="1549" max="1549" width="2.7109375" style="435" customWidth="1"/>
    <col min="1550" max="1792" width="9.140625" style="435"/>
    <col min="1793" max="1793" width="2.85546875" style="435" customWidth="1"/>
    <col min="1794" max="1794" width="2.5703125" style="435" customWidth="1"/>
    <col min="1795" max="1795" width="25" style="435" customWidth="1"/>
    <col min="1796" max="1796" width="8.28515625" style="435" bestFit="1" customWidth="1"/>
    <col min="1797" max="1797" width="9.140625" style="435"/>
    <col min="1798" max="1798" width="5.7109375" style="435" customWidth="1"/>
    <col min="1799" max="1799" width="4.42578125" style="435" bestFit="1" customWidth="1"/>
    <col min="1800" max="1800" width="5.5703125" style="435" customWidth="1"/>
    <col min="1801" max="1801" width="6.28515625" style="435" bestFit="1" customWidth="1"/>
    <col min="1802" max="1802" width="5" style="435" customWidth="1"/>
    <col min="1803" max="1803" width="13.28515625" style="435" bestFit="1" customWidth="1"/>
    <col min="1804" max="1804" width="1.7109375" style="435" customWidth="1"/>
    <col min="1805" max="1805" width="2.7109375" style="435" customWidth="1"/>
    <col min="1806" max="2048" width="9.140625" style="435"/>
    <col min="2049" max="2049" width="2.85546875" style="435" customWidth="1"/>
    <col min="2050" max="2050" width="2.5703125" style="435" customWidth="1"/>
    <col min="2051" max="2051" width="25" style="435" customWidth="1"/>
    <col min="2052" max="2052" width="8.28515625" style="435" bestFit="1" customWidth="1"/>
    <col min="2053" max="2053" width="9.140625" style="435"/>
    <col min="2054" max="2054" width="5.7109375" style="435" customWidth="1"/>
    <col min="2055" max="2055" width="4.42578125" style="435" bestFit="1" customWidth="1"/>
    <col min="2056" max="2056" width="5.5703125" style="435" customWidth="1"/>
    <col min="2057" max="2057" width="6.28515625" style="435" bestFit="1" customWidth="1"/>
    <col min="2058" max="2058" width="5" style="435" customWidth="1"/>
    <col min="2059" max="2059" width="13.28515625" style="435" bestFit="1" customWidth="1"/>
    <col min="2060" max="2060" width="1.7109375" style="435" customWidth="1"/>
    <col min="2061" max="2061" width="2.7109375" style="435" customWidth="1"/>
    <col min="2062" max="2304" width="9.140625" style="435"/>
    <col min="2305" max="2305" width="2.85546875" style="435" customWidth="1"/>
    <col min="2306" max="2306" width="2.5703125" style="435" customWidth="1"/>
    <col min="2307" max="2307" width="25" style="435" customWidth="1"/>
    <col min="2308" max="2308" width="8.28515625" style="435" bestFit="1" customWidth="1"/>
    <col min="2309" max="2309" width="9.140625" style="435"/>
    <col min="2310" max="2310" width="5.7109375" style="435" customWidth="1"/>
    <col min="2311" max="2311" width="4.42578125" style="435" bestFit="1" customWidth="1"/>
    <col min="2312" max="2312" width="5.5703125" style="435" customWidth="1"/>
    <col min="2313" max="2313" width="6.28515625" style="435" bestFit="1" customWidth="1"/>
    <col min="2314" max="2314" width="5" style="435" customWidth="1"/>
    <col min="2315" max="2315" width="13.28515625" style="435" bestFit="1" customWidth="1"/>
    <col min="2316" max="2316" width="1.7109375" style="435" customWidth="1"/>
    <col min="2317" max="2317" width="2.7109375" style="435" customWidth="1"/>
    <col min="2318" max="2560" width="9.140625" style="435"/>
    <col min="2561" max="2561" width="2.85546875" style="435" customWidth="1"/>
    <col min="2562" max="2562" width="2.5703125" style="435" customWidth="1"/>
    <col min="2563" max="2563" width="25" style="435" customWidth="1"/>
    <col min="2564" max="2564" width="8.28515625" style="435" bestFit="1" customWidth="1"/>
    <col min="2565" max="2565" width="9.140625" style="435"/>
    <col min="2566" max="2566" width="5.7109375" style="435" customWidth="1"/>
    <col min="2567" max="2567" width="4.42578125" style="435" bestFit="1" customWidth="1"/>
    <col min="2568" max="2568" width="5.5703125" style="435" customWidth="1"/>
    <col min="2569" max="2569" width="6.28515625" style="435" bestFit="1" customWidth="1"/>
    <col min="2570" max="2570" width="5" style="435" customWidth="1"/>
    <col min="2571" max="2571" width="13.28515625" style="435" bestFit="1" customWidth="1"/>
    <col min="2572" max="2572" width="1.7109375" style="435" customWidth="1"/>
    <col min="2573" max="2573" width="2.7109375" style="435" customWidth="1"/>
    <col min="2574" max="2816" width="9.140625" style="435"/>
    <col min="2817" max="2817" width="2.85546875" style="435" customWidth="1"/>
    <col min="2818" max="2818" width="2.5703125" style="435" customWidth="1"/>
    <col min="2819" max="2819" width="25" style="435" customWidth="1"/>
    <col min="2820" max="2820" width="8.28515625" style="435" bestFit="1" customWidth="1"/>
    <col min="2821" max="2821" width="9.140625" style="435"/>
    <col min="2822" max="2822" width="5.7109375" style="435" customWidth="1"/>
    <col min="2823" max="2823" width="4.42578125" style="435" bestFit="1" customWidth="1"/>
    <col min="2824" max="2824" width="5.5703125" style="435" customWidth="1"/>
    <col min="2825" max="2825" width="6.28515625" style="435" bestFit="1" customWidth="1"/>
    <col min="2826" max="2826" width="5" style="435" customWidth="1"/>
    <col min="2827" max="2827" width="13.28515625" style="435" bestFit="1" customWidth="1"/>
    <col min="2828" max="2828" width="1.7109375" style="435" customWidth="1"/>
    <col min="2829" max="2829" width="2.7109375" style="435" customWidth="1"/>
    <col min="2830" max="3072" width="9.140625" style="435"/>
    <col min="3073" max="3073" width="2.85546875" style="435" customWidth="1"/>
    <col min="3074" max="3074" width="2.5703125" style="435" customWidth="1"/>
    <col min="3075" max="3075" width="25" style="435" customWidth="1"/>
    <col min="3076" max="3076" width="8.28515625" style="435" bestFit="1" customWidth="1"/>
    <col min="3077" max="3077" width="9.140625" style="435"/>
    <col min="3078" max="3078" width="5.7109375" style="435" customWidth="1"/>
    <col min="3079" max="3079" width="4.42578125" style="435" bestFit="1" customWidth="1"/>
    <col min="3080" max="3080" width="5.5703125" style="435" customWidth="1"/>
    <col min="3081" max="3081" width="6.28515625" style="435" bestFit="1" customWidth="1"/>
    <col min="3082" max="3082" width="5" style="435" customWidth="1"/>
    <col min="3083" max="3083" width="13.28515625" style="435" bestFit="1" customWidth="1"/>
    <col min="3084" max="3084" width="1.7109375" style="435" customWidth="1"/>
    <col min="3085" max="3085" width="2.7109375" style="435" customWidth="1"/>
    <col min="3086" max="3328" width="9.140625" style="435"/>
    <col min="3329" max="3329" width="2.85546875" style="435" customWidth="1"/>
    <col min="3330" max="3330" width="2.5703125" style="435" customWidth="1"/>
    <col min="3331" max="3331" width="25" style="435" customWidth="1"/>
    <col min="3332" max="3332" width="8.28515625" style="435" bestFit="1" customWidth="1"/>
    <col min="3333" max="3333" width="9.140625" style="435"/>
    <col min="3334" max="3334" width="5.7109375" style="435" customWidth="1"/>
    <col min="3335" max="3335" width="4.42578125" style="435" bestFit="1" customWidth="1"/>
    <col min="3336" max="3336" width="5.5703125" style="435" customWidth="1"/>
    <col min="3337" max="3337" width="6.28515625" style="435" bestFit="1" customWidth="1"/>
    <col min="3338" max="3338" width="5" style="435" customWidth="1"/>
    <col min="3339" max="3339" width="13.28515625" style="435" bestFit="1" customWidth="1"/>
    <col min="3340" max="3340" width="1.7109375" style="435" customWidth="1"/>
    <col min="3341" max="3341" width="2.7109375" style="435" customWidth="1"/>
    <col min="3342" max="3584" width="9.140625" style="435"/>
    <col min="3585" max="3585" width="2.85546875" style="435" customWidth="1"/>
    <col min="3586" max="3586" width="2.5703125" style="435" customWidth="1"/>
    <col min="3587" max="3587" width="25" style="435" customWidth="1"/>
    <col min="3588" max="3588" width="8.28515625" style="435" bestFit="1" customWidth="1"/>
    <col min="3589" max="3589" width="9.140625" style="435"/>
    <col min="3590" max="3590" width="5.7109375" style="435" customWidth="1"/>
    <col min="3591" max="3591" width="4.42578125" style="435" bestFit="1" customWidth="1"/>
    <col min="3592" max="3592" width="5.5703125" style="435" customWidth="1"/>
    <col min="3593" max="3593" width="6.28515625" style="435" bestFit="1" customWidth="1"/>
    <col min="3594" max="3594" width="5" style="435" customWidth="1"/>
    <col min="3595" max="3595" width="13.28515625" style="435" bestFit="1" customWidth="1"/>
    <col min="3596" max="3596" width="1.7109375" style="435" customWidth="1"/>
    <col min="3597" max="3597" width="2.7109375" style="435" customWidth="1"/>
    <col min="3598" max="3840" width="9.140625" style="435"/>
    <col min="3841" max="3841" width="2.85546875" style="435" customWidth="1"/>
    <col min="3842" max="3842" width="2.5703125" style="435" customWidth="1"/>
    <col min="3843" max="3843" width="25" style="435" customWidth="1"/>
    <col min="3844" max="3844" width="8.28515625" style="435" bestFit="1" customWidth="1"/>
    <col min="3845" max="3845" width="9.140625" style="435"/>
    <col min="3846" max="3846" width="5.7109375" style="435" customWidth="1"/>
    <col min="3847" max="3847" width="4.42578125" style="435" bestFit="1" customWidth="1"/>
    <col min="3848" max="3848" width="5.5703125" style="435" customWidth="1"/>
    <col min="3849" max="3849" width="6.28515625" style="435" bestFit="1" customWidth="1"/>
    <col min="3850" max="3850" width="5" style="435" customWidth="1"/>
    <col min="3851" max="3851" width="13.28515625" style="435" bestFit="1" customWidth="1"/>
    <col min="3852" max="3852" width="1.7109375" style="435" customWidth="1"/>
    <col min="3853" max="3853" width="2.7109375" style="435" customWidth="1"/>
    <col min="3854" max="4096" width="9.140625" style="435"/>
    <col min="4097" max="4097" width="2.85546875" style="435" customWidth="1"/>
    <col min="4098" max="4098" width="2.5703125" style="435" customWidth="1"/>
    <col min="4099" max="4099" width="25" style="435" customWidth="1"/>
    <col min="4100" max="4100" width="8.28515625" style="435" bestFit="1" customWidth="1"/>
    <col min="4101" max="4101" width="9.140625" style="435"/>
    <col min="4102" max="4102" width="5.7109375" style="435" customWidth="1"/>
    <col min="4103" max="4103" width="4.42578125" style="435" bestFit="1" customWidth="1"/>
    <col min="4104" max="4104" width="5.5703125" style="435" customWidth="1"/>
    <col min="4105" max="4105" width="6.28515625" style="435" bestFit="1" customWidth="1"/>
    <col min="4106" max="4106" width="5" style="435" customWidth="1"/>
    <col min="4107" max="4107" width="13.28515625" style="435" bestFit="1" customWidth="1"/>
    <col min="4108" max="4108" width="1.7109375" style="435" customWidth="1"/>
    <col min="4109" max="4109" width="2.7109375" style="435" customWidth="1"/>
    <col min="4110" max="4352" width="9.140625" style="435"/>
    <col min="4353" max="4353" width="2.85546875" style="435" customWidth="1"/>
    <col min="4354" max="4354" width="2.5703125" style="435" customWidth="1"/>
    <col min="4355" max="4355" width="25" style="435" customWidth="1"/>
    <col min="4356" max="4356" width="8.28515625" style="435" bestFit="1" customWidth="1"/>
    <col min="4357" max="4357" width="9.140625" style="435"/>
    <col min="4358" max="4358" width="5.7109375" style="435" customWidth="1"/>
    <col min="4359" max="4359" width="4.42578125" style="435" bestFit="1" customWidth="1"/>
    <col min="4360" max="4360" width="5.5703125" style="435" customWidth="1"/>
    <col min="4361" max="4361" width="6.28515625" style="435" bestFit="1" customWidth="1"/>
    <col min="4362" max="4362" width="5" style="435" customWidth="1"/>
    <col min="4363" max="4363" width="13.28515625" style="435" bestFit="1" customWidth="1"/>
    <col min="4364" max="4364" width="1.7109375" style="435" customWidth="1"/>
    <col min="4365" max="4365" width="2.7109375" style="435" customWidth="1"/>
    <col min="4366" max="4608" width="9.140625" style="435"/>
    <col min="4609" max="4609" width="2.85546875" style="435" customWidth="1"/>
    <col min="4610" max="4610" width="2.5703125" style="435" customWidth="1"/>
    <col min="4611" max="4611" width="25" style="435" customWidth="1"/>
    <col min="4612" max="4612" width="8.28515625" style="435" bestFit="1" customWidth="1"/>
    <col min="4613" max="4613" width="9.140625" style="435"/>
    <col min="4614" max="4614" width="5.7109375" style="435" customWidth="1"/>
    <col min="4615" max="4615" width="4.42578125" style="435" bestFit="1" customWidth="1"/>
    <col min="4616" max="4616" width="5.5703125" style="435" customWidth="1"/>
    <col min="4617" max="4617" width="6.28515625" style="435" bestFit="1" customWidth="1"/>
    <col min="4618" max="4618" width="5" style="435" customWidth="1"/>
    <col min="4619" max="4619" width="13.28515625" style="435" bestFit="1" customWidth="1"/>
    <col min="4620" max="4620" width="1.7109375" style="435" customWidth="1"/>
    <col min="4621" max="4621" width="2.7109375" style="435" customWidth="1"/>
    <col min="4622" max="4864" width="9.140625" style="435"/>
    <col min="4865" max="4865" width="2.85546875" style="435" customWidth="1"/>
    <col min="4866" max="4866" width="2.5703125" style="435" customWidth="1"/>
    <col min="4867" max="4867" width="25" style="435" customWidth="1"/>
    <col min="4868" max="4868" width="8.28515625" style="435" bestFit="1" customWidth="1"/>
    <col min="4869" max="4869" width="9.140625" style="435"/>
    <col min="4870" max="4870" width="5.7109375" style="435" customWidth="1"/>
    <col min="4871" max="4871" width="4.42578125" style="435" bestFit="1" customWidth="1"/>
    <col min="4872" max="4872" width="5.5703125" style="435" customWidth="1"/>
    <col min="4873" max="4873" width="6.28515625" style="435" bestFit="1" customWidth="1"/>
    <col min="4874" max="4874" width="5" style="435" customWidth="1"/>
    <col min="4875" max="4875" width="13.28515625" style="435" bestFit="1" customWidth="1"/>
    <col min="4876" max="4876" width="1.7109375" style="435" customWidth="1"/>
    <col min="4877" max="4877" width="2.7109375" style="435" customWidth="1"/>
    <col min="4878" max="5120" width="9.140625" style="435"/>
    <col min="5121" max="5121" width="2.85546875" style="435" customWidth="1"/>
    <col min="5122" max="5122" width="2.5703125" style="435" customWidth="1"/>
    <col min="5123" max="5123" width="25" style="435" customWidth="1"/>
    <col min="5124" max="5124" width="8.28515625" style="435" bestFit="1" customWidth="1"/>
    <col min="5125" max="5125" width="9.140625" style="435"/>
    <col min="5126" max="5126" width="5.7109375" style="435" customWidth="1"/>
    <col min="5127" max="5127" width="4.42578125" style="435" bestFit="1" customWidth="1"/>
    <col min="5128" max="5128" width="5.5703125" style="435" customWidth="1"/>
    <col min="5129" max="5129" width="6.28515625" style="435" bestFit="1" customWidth="1"/>
    <col min="5130" max="5130" width="5" style="435" customWidth="1"/>
    <col min="5131" max="5131" width="13.28515625" style="435" bestFit="1" customWidth="1"/>
    <col min="5132" max="5132" width="1.7109375" style="435" customWidth="1"/>
    <col min="5133" max="5133" width="2.7109375" style="435" customWidth="1"/>
    <col min="5134" max="5376" width="9.140625" style="435"/>
    <col min="5377" max="5377" width="2.85546875" style="435" customWidth="1"/>
    <col min="5378" max="5378" width="2.5703125" style="435" customWidth="1"/>
    <col min="5379" max="5379" width="25" style="435" customWidth="1"/>
    <col min="5380" max="5380" width="8.28515625" style="435" bestFit="1" customWidth="1"/>
    <col min="5381" max="5381" width="9.140625" style="435"/>
    <col min="5382" max="5382" width="5.7109375" style="435" customWidth="1"/>
    <col min="5383" max="5383" width="4.42578125" style="435" bestFit="1" customWidth="1"/>
    <col min="5384" max="5384" width="5.5703125" style="435" customWidth="1"/>
    <col min="5385" max="5385" width="6.28515625" style="435" bestFit="1" customWidth="1"/>
    <col min="5386" max="5386" width="5" style="435" customWidth="1"/>
    <col min="5387" max="5387" width="13.28515625" style="435" bestFit="1" customWidth="1"/>
    <col min="5388" max="5388" width="1.7109375" style="435" customWidth="1"/>
    <col min="5389" max="5389" width="2.7109375" style="435" customWidth="1"/>
    <col min="5390" max="5632" width="9.140625" style="435"/>
    <col min="5633" max="5633" width="2.85546875" style="435" customWidth="1"/>
    <col min="5634" max="5634" width="2.5703125" style="435" customWidth="1"/>
    <col min="5635" max="5635" width="25" style="435" customWidth="1"/>
    <col min="5636" max="5636" width="8.28515625" style="435" bestFit="1" customWidth="1"/>
    <col min="5637" max="5637" width="9.140625" style="435"/>
    <col min="5638" max="5638" width="5.7109375" style="435" customWidth="1"/>
    <col min="5639" max="5639" width="4.42578125" style="435" bestFit="1" customWidth="1"/>
    <col min="5640" max="5640" width="5.5703125" style="435" customWidth="1"/>
    <col min="5641" max="5641" width="6.28515625" style="435" bestFit="1" customWidth="1"/>
    <col min="5642" max="5642" width="5" style="435" customWidth="1"/>
    <col min="5643" max="5643" width="13.28515625" style="435" bestFit="1" customWidth="1"/>
    <col min="5644" max="5644" width="1.7109375" style="435" customWidth="1"/>
    <col min="5645" max="5645" width="2.7109375" style="435" customWidth="1"/>
    <col min="5646" max="5888" width="9.140625" style="435"/>
    <col min="5889" max="5889" width="2.85546875" style="435" customWidth="1"/>
    <col min="5890" max="5890" width="2.5703125" style="435" customWidth="1"/>
    <col min="5891" max="5891" width="25" style="435" customWidth="1"/>
    <col min="5892" max="5892" width="8.28515625" style="435" bestFit="1" customWidth="1"/>
    <col min="5893" max="5893" width="9.140625" style="435"/>
    <col min="5894" max="5894" width="5.7109375" style="435" customWidth="1"/>
    <col min="5895" max="5895" width="4.42578125" style="435" bestFit="1" customWidth="1"/>
    <col min="5896" max="5896" width="5.5703125" style="435" customWidth="1"/>
    <col min="5897" max="5897" width="6.28515625" style="435" bestFit="1" customWidth="1"/>
    <col min="5898" max="5898" width="5" style="435" customWidth="1"/>
    <col min="5899" max="5899" width="13.28515625" style="435" bestFit="1" customWidth="1"/>
    <col min="5900" max="5900" width="1.7109375" style="435" customWidth="1"/>
    <col min="5901" max="5901" width="2.7109375" style="435" customWidth="1"/>
    <col min="5902" max="6144" width="9.140625" style="435"/>
    <col min="6145" max="6145" width="2.85546875" style="435" customWidth="1"/>
    <col min="6146" max="6146" width="2.5703125" style="435" customWidth="1"/>
    <col min="6147" max="6147" width="25" style="435" customWidth="1"/>
    <col min="6148" max="6148" width="8.28515625" style="435" bestFit="1" customWidth="1"/>
    <col min="6149" max="6149" width="9.140625" style="435"/>
    <col min="6150" max="6150" width="5.7109375" style="435" customWidth="1"/>
    <col min="6151" max="6151" width="4.42578125" style="435" bestFit="1" customWidth="1"/>
    <col min="6152" max="6152" width="5.5703125" style="435" customWidth="1"/>
    <col min="6153" max="6153" width="6.28515625" style="435" bestFit="1" customWidth="1"/>
    <col min="6154" max="6154" width="5" style="435" customWidth="1"/>
    <col min="6155" max="6155" width="13.28515625" style="435" bestFit="1" customWidth="1"/>
    <col min="6156" max="6156" width="1.7109375" style="435" customWidth="1"/>
    <col min="6157" max="6157" width="2.7109375" style="435" customWidth="1"/>
    <col min="6158" max="6400" width="9.140625" style="435"/>
    <col min="6401" max="6401" width="2.85546875" style="435" customWidth="1"/>
    <col min="6402" max="6402" width="2.5703125" style="435" customWidth="1"/>
    <col min="6403" max="6403" width="25" style="435" customWidth="1"/>
    <col min="6404" max="6404" width="8.28515625" style="435" bestFit="1" customWidth="1"/>
    <col min="6405" max="6405" width="9.140625" style="435"/>
    <col min="6406" max="6406" width="5.7109375" style="435" customWidth="1"/>
    <col min="6407" max="6407" width="4.42578125" style="435" bestFit="1" customWidth="1"/>
    <col min="6408" max="6408" width="5.5703125" style="435" customWidth="1"/>
    <col min="6409" max="6409" width="6.28515625" style="435" bestFit="1" customWidth="1"/>
    <col min="6410" max="6410" width="5" style="435" customWidth="1"/>
    <col min="6411" max="6411" width="13.28515625" style="435" bestFit="1" customWidth="1"/>
    <col min="6412" max="6412" width="1.7109375" style="435" customWidth="1"/>
    <col min="6413" max="6413" width="2.7109375" style="435" customWidth="1"/>
    <col min="6414" max="6656" width="9.140625" style="435"/>
    <col min="6657" max="6657" width="2.85546875" style="435" customWidth="1"/>
    <col min="6658" max="6658" width="2.5703125" style="435" customWidth="1"/>
    <col min="6659" max="6659" width="25" style="435" customWidth="1"/>
    <col min="6660" max="6660" width="8.28515625" style="435" bestFit="1" customWidth="1"/>
    <col min="6661" max="6661" width="9.140625" style="435"/>
    <col min="6662" max="6662" width="5.7109375" style="435" customWidth="1"/>
    <col min="6663" max="6663" width="4.42578125" style="435" bestFit="1" customWidth="1"/>
    <col min="6664" max="6664" width="5.5703125" style="435" customWidth="1"/>
    <col min="6665" max="6665" width="6.28515625" style="435" bestFit="1" customWidth="1"/>
    <col min="6666" max="6666" width="5" style="435" customWidth="1"/>
    <col min="6667" max="6667" width="13.28515625" style="435" bestFit="1" customWidth="1"/>
    <col min="6668" max="6668" width="1.7109375" style="435" customWidth="1"/>
    <col min="6669" max="6669" width="2.7109375" style="435" customWidth="1"/>
    <col min="6670" max="6912" width="9.140625" style="435"/>
    <col min="6913" max="6913" width="2.85546875" style="435" customWidth="1"/>
    <col min="6914" max="6914" width="2.5703125" style="435" customWidth="1"/>
    <col min="6915" max="6915" width="25" style="435" customWidth="1"/>
    <col min="6916" max="6916" width="8.28515625" style="435" bestFit="1" customWidth="1"/>
    <col min="6917" max="6917" width="9.140625" style="435"/>
    <col min="6918" max="6918" width="5.7109375" style="435" customWidth="1"/>
    <col min="6919" max="6919" width="4.42578125" style="435" bestFit="1" customWidth="1"/>
    <col min="6920" max="6920" width="5.5703125" style="435" customWidth="1"/>
    <col min="6921" max="6921" width="6.28515625" style="435" bestFit="1" customWidth="1"/>
    <col min="6922" max="6922" width="5" style="435" customWidth="1"/>
    <col min="6923" max="6923" width="13.28515625" style="435" bestFit="1" customWidth="1"/>
    <col min="6924" max="6924" width="1.7109375" style="435" customWidth="1"/>
    <col min="6925" max="6925" width="2.7109375" style="435" customWidth="1"/>
    <col min="6926" max="7168" width="9.140625" style="435"/>
    <col min="7169" max="7169" width="2.85546875" style="435" customWidth="1"/>
    <col min="7170" max="7170" width="2.5703125" style="435" customWidth="1"/>
    <col min="7171" max="7171" width="25" style="435" customWidth="1"/>
    <col min="7172" max="7172" width="8.28515625" style="435" bestFit="1" customWidth="1"/>
    <col min="7173" max="7173" width="9.140625" style="435"/>
    <col min="7174" max="7174" width="5.7109375" style="435" customWidth="1"/>
    <col min="7175" max="7175" width="4.42578125" style="435" bestFit="1" customWidth="1"/>
    <col min="7176" max="7176" width="5.5703125" style="435" customWidth="1"/>
    <col min="7177" max="7177" width="6.28515625" style="435" bestFit="1" customWidth="1"/>
    <col min="7178" max="7178" width="5" style="435" customWidth="1"/>
    <col min="7179" max="7179" width="13.28515625" style="435" bestFit="1" customWidth="1"/>
    <col min="7180" max="7180" width="1.7109375" style="435" customWidth="1"/>
    <col min="7181" max="7181" width="2.7109375" style="435" customWidth="1"/>
    <col min="7182" max="7424" width="9.140625" style="435"/>
    <col min="7425" max="7425" width="2.85546875" style="435" customWidth="1"/>
    <col min="7426" max="7426" width="2.5703125" style="435" customWidth="1"/>
    <col min="7427" max="7427" width="25" style="435" customWidth="1"/>
    <col min="7428" max="7428" width="8.28515625" style="435" bestFit="1" customWidth="1"/>
    <col min="7429" max="7429" width="9.140625" style="435"/>
    <col min="7430" max="7430" width="5.7109375" style="435" customWidth="1"/>
    <col min="7431" max="7431" width="4.42578125" style="435" bestFit="1" customWidth="1"/>
    <col min="7432" max="7432" width="5.5703125" style="435" customWidth="1"/>
    <col min="7433" max="7433" width="6.28515625" style="435" bestFit="1" customWidth="1"/>
    <col min="7434" max="7434" width="5" style="435" customWidth="1"/>
    <col min="7435" max="7435" width="13.28515625" style="435" bestFit="1" customWidth="1"/>
    <col min="7436" max="7436" width="1.7109375" style="435" customWidth="1"/>
    <col min="7437" max="7437" width="2.7109375" style="435" customWidth="1"/>
    <col min="7438" max="7680" width="9.140625" style="435"/>
    <col min="7681" max="7681" width="2.85546875" style="435" customWidth="1"/>
    <col min="7682" max="7682" width="2.5703125" style="435" customWidth="1"/>
    <col min="7683" max="7683" width="25" style="435" customWidth="1"/>
    <col min="7684" max="7684" width="8.28515625" style="435" bestFit="1" customWidth="1"/>
    <col min="7685" max="7685" width="9.140625" style="435"/>
    <col min="7686" max="7686" width="5.7109375" style="435" customWidth="1"/>
    <col min="7687" max="7687" width="4.42578125" style="435" bestFit="1" customWidth="1"/>
    <col min="7688" max="7688" width="5.5703125" style="435" customWidth="1"/>
    <col min="7689" max="7689" width="6.28515625" style="435" bestFit="1" customWidth="1"/>
    <col min="7690" max="7690" width="5" style="435" customWidth="1"/>
    <col min="7691" max="7691" width="13.28515625" style="435" bestFit="1" customWidth="1"/>
    <col min="7692" max="7692" width="1.7109375" style="435" customWidth="1"/>
    <col min="7693" max="7693" width="2.7109375" style="435" customWidth="1"/>
    <col min="7694" max="7936" width="9.140625" style="435"/>
    <col min="7937" max="7937" width="2.85546875" style="435" customWidth="1"/>
    <col min="7938" max="7938" width="2.5703125" style="435" customWidth="1"/>
    <col min="7939" max="7939" width="25" style="435" customWidth="1"/>
    <col min="7940" max="7940" width="8.28515625" style="435" bestFit="1" customWidth="1"/>
    <col min="7941" max="7941" width="9.140625" style="435"/>
    <col min="7942" max="7942" width="5.7109375" style="435" customWidth="1"/>
    <col min="7943" max="7943" width="4.42578125" style="435" bestFit="1" customWidth="1"/>
    <col min="7944" max="7944" width="5.5703125" style="435" customWidth="1"/>
    <col min="7945" max="7945" width="6.28515625" style="435" bestFit="1" customWidth="1"/>
    <col min="7946" max="7946" width="5" style="435" customWidth="1"/>
    <col min="7947" max="7947" width="13.28515625" style="435" bestFit="1" customWidth="1"/>
    <col min="7948" max="7948" width="1.7109375" style="435" customWidth="1"/>
    <col min="7949" max="7949" width="2.7109375" style="435" customWidth="1"/>
    <col min="7950" max="8192" width="9.140625" style="435"/>
    <col min="8193" max="8193" width="2.85546875" style="435" customWidth="1"/>
    <col min="8194" max="8194" width="2.5703125" style="435" customWidth="1"/>
    <col min="8195" max="8195" width="25" style="435" customWidth="1"/>
    <col min="8196" max="8196" width="8.28515625" style="435" bestFit="1" customWidth="1"/>
    <col min="8197" max="8197" width="9.140625" style="435"/>
    <col min="8198" max="8198" width="5.7109375" style="435" customWidth="1"/>
    <col min="8199" max="8199" width="4.42578125" style="435" bestFit="1" customWidth="1"/>
    <col min="8200" max="8200" width="5.5703125" style="435" customWidth="1"/>
    <col min="8201" max="8201" width="6.28515625" style="435" bestFit="1" customWidth="1"/>
    <col min="8202" max="8202" width="5" style="435" customWidth="1"/>
    <col min="8203" max="8203" width="13.28515625" style="435" bestFit="1" customWidth="1"/>
    <col min="8204" max="8204" width="1.7109375" style="435" customWidth="1"/>
    <col min="8205" max="8205" width="2.7109375" style="435" customWidth="1"/>
    <col min="8206" max="8448" width="9.140625" style="435"/>
    <col min="8449" max="8449" width="2.85546875" style="435" customWidth="1"/>
    <col min="8450" max="8450" width="2.5703125" style="435" customWidth="1"/>
    <col min="8451" max="8451" width="25" style="435" customWidth="1"/>
    <col min="8452" max="8452" width="8.28515625" style="435" bestFit="1" customWidth="1"/>
    <col min="8453" max="8453" width="9.140625" style="435"/>
    <col min="8454" max="8454" width="5.7109375" style="435" customWidth="1"/>
    <col min="8455" max="8455" width="4.42578125" style="435" bestFit="1" customWidth="1"/>
    <col min="8456" max="8456" width="5.5703125" style="435" customWidth="1"/>
    <col min="8457" max="8457" width="6.28515625" style="435" bestFit="1" customWidth="1"/>
    <col min="8458" max="8458" width="5" style="435" customWidth="1"/>
    <col min="8459" max="8459" width="13.28515625" style="435" bestFit="1" customWidth="1"/>
    <col min="8460" max="8460" width="1.7109375" style="435" customWidth="1"/>
    <col min="8461" max="8461" width="2.7109375" style="435" customWidth="1"/>
    <col min="8462" max="8704" width="9.140625" style="435"/>
    <col min="8705" max="8705" width="2.85546875" style="435" customWidth="1"/>
    <col min="8706" max="8706" width="2.5703125" style="435" customWidth="1"/>
    <col min="8707" max="8707" width="25" style="435" customWidth="1"/>
    <col min="8708" max="8708" width="8.28515625" style="435" bestFit="1" customWidth="1"/>
    <col min="8709" max="8709" width="9.140625" style="435"/>
    <col min="8710" max="8710" width="5.7109375" style="435" customWidth="1"/>
    <col min="8711" max="8711" width="4.42578125" style="435" bestFit="1" customWidth="1"/>
    <col min="8712" max="8712" width="5.5703125" style="435" customWidth="1"/>
    <col min="8713" max="8713" width="6.28515625" style="435" bestFit="1" customWidth="1"/>
    <col min="8714" max="8714" width="5" style="435" customWidth="1"/>
    <col min="8715" max="8715" width="13.28515625" style="435" bestFit="1" customWidth="1"/>
    <col min="8716" max="8716" width="1.7109375" style="435" customWidth="1"/>
    <col min="8717" max="8717" width="2.7109375" style="435" customWidth="1"/>
    <col min="8718" max="8960" width="9.140625" style="435"/>
    <col min="8961" max="8961" width="2.85546875" style="435" customWidth="1"/>
    <col min="8962" max="8962" width="2.5703125" style="435" customWidth="1"/>
    <col min="8963" max="8963" width="25" style="435" customWidth="1"/>
    <col min="8964" max="8964" width="8.28515625" style="435" bestFit="1" customWidth="1"/>
    <col min="8965" max="8965" width="9.140625" style="435"/>
    <col min="8966" max="8966" width="5.7109375" style="435" customWidth="1"/>
    <col min="8967" max="8967" width="4.42578125" style="435" bestFit="1" customWidth="1"/>
    <col min="8968" max="8968" width="5.5703125" style="435" customWidth="1"/>
    <col min="8969" max="8969" width="6.28515625" style="435" bestFit="1" customWidth="1"/>
    <col min="8970" max="8970" width="5" style="435" customWidth="1"/>
    <col min="8971" max="8971" width="13.28515625" style="435" bestFit="1" customWidth="1"/>
    <col min="8972" max="8972" width="1.7109375" style="435" customWidth="1"/>
    <col min="8973" max="8973" width="2.7109375" style="435" customWidth="1"/>
    <col min="8974" max="9216" width="9.140625" style="435"/>
    <col min="9217" max="9217" width="2.85546875" style="435" customWidth="1"/>
    <col min="9218" max="9218" width="2.5703125" style="435" customWidth="1"/>
    <col min="9219" max="9219" width="25" style="435" customWidth="1"/>
    <col min="9220" max="9220" width="8.28515625" style="435" bestFit="1" customWidth="1"/>
    <col min="9221" max="9221" width="9.140625" style="435"/>
    <col min="9222" max="9222" width="5.7109375" style="435" customWidth="1"/>
    <col min="9223" max="9223" width="4.42578125" style="435" bestFit="1" customWidth="1"/>
    <col min="9224" max="9224" width="5.5703125" style="435" customWidth="1"/>
    <col min="9225" max="9225" width="6.28515625" style="435" bestFit="1" customWidth="1"/>
    <col min="9226" max="9226" width="5" style="435" customWidth="1"/>
    <col min="9227" max="9227" width="13.28515625" style="435" bestFit="1" customWidth="1"/>
    <col min="9228" max="9228" width="1.7109375" style="435" customWidth="1"/>
    <col min="9229" max="9229" width="2.7109375" style="435" customWidth="1"/>
    <col min="9230" max="9472" width="9.140625" style="435"/>
    <col min="9473" max="9473" width="2.85546875" style="435" customWidth="1"/>
    <col min="9474" max="9474" width="2.5703125" style="435" customWidth="1"/>
    <col min="9475" max="9475" width="25" style="435" customWidth="1"/>
    <col min="9476" max="9476" width="8.28515625" style="435" bestFit="1" customWidth="1"/>
    <col min="9477" max="9477" width="9.140625" style="435"/>
    <col min="9478" max="9478" width="5.7109375" style="435" customWidth="1"/>
    <col min="9479" max="9479" width="4.42578125" style="435" bestFit="1" customWidth="1"/>
    <col min="9480" max="9480" width="5.5703125" style="435" customWidth="1"/>
    <col min="9481" max="9481" width="6.28515625" style="435" bestFit="1" customWidth="1"/>
    <col min="9482" max="9482" width="5" style="435" customWidth="1"/>
    <col min="9483" max="9483" width="13.28515625" style="435" bestFit="1" customWidth="1"/>
    <col min="9484" max="9484" width="1.7109375" style="435" customWidth="1"/>
    <col min="9485" max="9485" width="2.7109375" style="435" customWidth="1"/>
    <col min="9486" max="9728" width="9.140625" style="435"/>
    <col min="9729" max="9729" width="2.85546875" style="435" customWidth="1"/>
    <col min="9730" max="9730" width="2.5703125" style="435" customWidth="1"/>
    <col min="9731" max="9731" width="25" style="435" customWidth="1"/>
    <col min="9732" max="9732" width="8.28515625" style="435" bestFit="1" customWidth="1"/>
    <col min="9733" max="9733" width="9.140625" style="435"/>
    <col min="9734" max="9734" width="5.7109375" style="435" customWidth="1"/>
    <col min="9735" max="9735" width="4.42578125" style="435" bestFit="1" customWidth="1"/>
    <col min="9736" max="9736" width="5.5703125" style="435" customWidth="1"/>
    <col min="9737" max="9737" width="6.28515625" style="435" bestFit="1" customWidth="1"/>
    <col min="9738" max="9738" width="5" style="435" customWidth="1"/>
    <col min="9739" max="9739" width="13.28515625" style="435" bestFit="1" customWidth="1"/>
    <col min="9740" max="9740" width="1.7109375" style="435" customWidth="1"/>
    <col min="9741" max="9741" width="2.7109375" style="435" customWidth="1"/>
    <col min="9742" max="9984" width="9.140625" style="435"/>
    <col min="9985" max="9985" width="2.85546875" style="435" customWidth="1"/>
    <col min="9986" max="9986" width="2.5703125" style="435" customWidth="1"/>
    <col min="9987" max="9987" width="25" style="435" customWidth="1"/>
    <col min="9988" max="9988" width="8.28515625" style="435" bestFit="1" customWidth="1"/>
    <col min="9989" max="9989" width="9.140625" style="435"/>
    <col min="9990" max="9990" width="5.7109375" style="435" customWidth="1"/>
    <col min="9991" max="9991" width="4.42578125" style="435" bestFit="1" customWidth="1"/>
    <col min="9992" max="9992" width="5.5703125" style="435" customWidth="1"/>
    <col min="9993" max="9993" width="6.28515625" style="435" bestFit="1" customWidth="1"/>
    <col min="9994" max="9994" width="5" style="435" customWidth="1"/>
    <col min="9995" max="9995" width="13.28515625" style="435" bestFit="1" customWidth="1"/>
    <col min="9996" max="9996" width="1.7109375" style="435" customWidth="1"/>
    <col min="9997" max="9997" width="2.7109375" style="435" customWidth="1"/>
    <col min="9998" max="10240" width="9.140625" style="435"/>
    <col min="10241" max="10241" width="2.85546875" style="435" customWidth="1"/>
    <col min="10242" max="10242" width="2.5703125" style="435" customWidth="1"/>
    <col min="10243" max="10243" width="25" style="435" customWidth="1"/>
    <col min="10244" max="10244" width="8.28515625" style="435" bestFit="1" customWidth="1"/>
    <col min="10245" max="10245" width="9.140625" style="435"/>
    <col min="10246" max="10246" width="5.7109375" style="435" customWidth="1"/>
    <col min="10247" max="10247" width="4.42578125" style="435" bestFit="1" customWidth="1"/>
    <col min="10248" max="10248" width="5.5703125" style="435" customWidth="1"/>
    <col min="10249" max="10249" width="6.28515625" style="435" bestFit="1" customWidth="1"/>
    <col min="10250" max="10250" width="5" style="435" customWidth="1"/>
    <col min="10251" max="10251" width="13.28515625" style="435" bestFit="1" customWidth="1"/>
    <col min="10252" max="10252" width="1.7109375" style="435" customWidth="1"/>
    <col min="10253" max="10253" width="2.7109375" style="435" customWidth="1"/>
    <col min="10254" max="10496" width="9.140625" style="435"/>
    <col min="10497" max="10497" width="2.85546875" style="435" customWidth="1"/>
    <col min="10498" max="10498" width="2.5703125" style="435" customWidth="1"/>
    <col min="10499" max="10499" width="25" style="435" customWidth="1"/>
    <col min="10500" max="10500" width="8.28515625" style="435" bestFit="1" customWidth="1"/>
    <col min="10501" max="10501" width="9.140625" style="435"/>
    <col min="10502" max="10502" width="5.7109375" style="435" customWidth="1"/>
    <col min="10503" max="10503" width="4.42578125" style="435" bestFit="1" customWidth="1"/>
    <col min="10504" max="10504" width="5.5703125" style="435" customWidth="1"/>
    <col min="10505" max="10505" width="6.28515625" style="435" bestFit="1" customWidth="1"/>
    <col min="10506" max="10506" width="5" style="435" customWidth="1"/>
    <col min="10507" max="10507" width="13.28515625" style="435" bestFit="1" customWidth="1"/>
    <col min="10508" max="10508" width="1.7109375" style="435" customWidth="1"/>
    <col min="10509" max="10509" width="2.7109375" style="435" customWidth="1"/>
    <col min="10510" max="10752" width="9.140625" style="435"/>
    <col min="10753" max="10753" width="2.85546875" style="435" customWidth="1"/>
    <col min="10754" max="10754" width="2.5703125" style="435" customWidth="1"/>
    <col min="10755" max="10755" width="25" style="435" customWidth="1"/>
    <col min="10756" max="10756" width="8.28515625" style="435" bestFit="1" customWidth="1"/>
    <col min="10757" max="10757" width="9.140625" style="435"/>
    <col min="10758" max="10758" width="5.7109375" style="435" customWidth="1"/>
    <col min="10759" max="10759" width="4.42578125" style="435" bestFit="1" customWidth="1"/>
    <col min="10760" max="10760" width="5.5703125" style="435" customWidth="1"/>
    <col min="10761" max="10761" width="6.28515625" style="435" bestFit="1" customWidth="1"/>
    <col min="10762" max="10762" width="5" style="435" customWidth="1"/>
    <col min="10763" max="10763" width="13.28515625" style="435" bestFit="1" customWidth="1"/>
    <col min="10764" max="10764" width="1.7109375" style="435" customWidth="1"/>
    <col min="10765" max="10765" width="2.7109375" style="435" customWidth="1"/>
    <col min="10766" max="11008" width="9.140625" style="435"/>
    <col min="11009" max="11009" width="2.85546875" style="435" customWidth="1"/>
    <col min="11010" max="11010" width="2.5703125" style="435" customWidth="1"/>
    <col min="11011" max="11011" width="25" style="435" customWidth="1"/>
    <col min="11012" max="11012" width="8.28515625" style="435" bestFit="1" customWidth="1"/>
    <col min="11013" max="11013" width="9.140625" style="435"/>
    <col min="11014" max="11014" width="5.7109375" style="435" customWidth="1"/>
    <col min="11015" max="11015" width="4.42578125" style="435" bestFit="1" customWidth="1"/>
    <col min="11016" max="11016" width="5.5703125" style="435" customWidth="1"/>
    <col min="11017" max="11017" width="6.28515625" style="435" bestFit="1" customWidth="1"/>
    <col min="11018" max="11018" width="5" style="435" customWidth="1"/>
    <col min="11019" max="11019" width="13.28515625" style="435" bestFit="1" customWidth="1"/>
    <col min="11020" max="11020" width="1.7109375" style="435" customWidth="1"/>
    <col min="11021" max="11021" width="2.7109375" style="435" customWidth="1"/>
    <col min="11022" max="11264" width="9.140625" style="435"/>
    <col min="11265" max="11265" width="2.85546875" style="435" customWidth="1"/>
    <col min="11266" max="11266" width="2.5703125" style="435" customWidth="1"/>
    <col min="11267" max="11267" width="25" style="435" customWidth="1"/>
    <col min="11268" max="11268" width="8.28515625" style="435" bestFit="1" customWidth="1"/>
    <col min="11269" max="11269" width="9.140625" style="435"/>
    <col min="11270" max="11270" width="5.7109375" style="435" customWidth="1"/>
    <col min="11271" max="11271" width="4.42578125" style="435" bestFit="1" customWidth="1"/>
    <col min="11272" max="11272" width="5.5703125" style="435" customWidth="1"/>
    <col min="11273" max="11273" width="6.28515625" style="435" bestFit="1" customWidth="1"/>
    <col min="11274" max="11274" width="5" style="435" customWidth="1"/>
    <col min="11275" max="11275" width="13.28515625" style="435" bestFit="1" customWidth="1"/>
    <col min="11276" max="11276" width="1.7109375" style="435" customWidth="1"/>
    <col min="11277" max="11277" width="2.7109375" style="435" customWidth="1"/>
    <col min="11278" max="11520" width="9.140625" style="435"/>
    <col min="11521" max="11521" width="2.85546875" style="435" customWidth="1"/>
    <col min="11522" max="11522" width="2.5703125" style="435" customWidth="1"/>
    <col min="11523" max="11523" width="25" style="435" customWidth="1"/>
    <col min="11524" max="11524" width="8.28515625" style="435" bestFit="1" customWidth="1"/>
    <col min="11525" max="11525" width="9.140625" style="435"/>
    <col min="11526" max="11526" width="5.7109375" style="435" customWidth="1"/>
    <col min="11527" max="11527" width="4.42578125" style="435" bestFit="1" customWidth="1"/>
    <col min="11528" max="11528" width="5.5703125" style="435" customWidth="1"/>
    <col min="11529" max="11529" width="6.28515625" style="435" bestFit="1" customWidth="1"/>
    <col min="11530" max="11530" width="5" style="435" customWidth="1"/>
    <col min="11531" max="11531" width="13.28515625" style="435" bestFit="1" customWidth="1"/>
    <col min="11532" max="11532" width="1.7109375" style="435" customWidth="1"/>
    <col min="11533" max="11533" width="2.7109375" style="435" customWidth="1"/>
    <col min="11534" max="11776" width="9.140625" style="435"/>
    <col min="11777" max="11777" width="2.85546875" style="435" customWidth="1"/>
    <col min="11778" max="11778" width="2.5703125" style="435" customWidth="1"/>
    <col min="11779" max="11779" width="25" style="435" customWidth="1"/>
    <col min="11780" max="11780" width="8.28515625" style="435" bestFit="1" customWidth="1"/>
    <col min="11781" max="11781" width="9.140625" style="435"/>
    <col min="11782" max="11782" width="5.7109375" style="435" customWidth="1"/>
    <col min="11783" max="11783" width="4.42578125" style="435" bestFit="1" customWidth="1"/>
    <col min="11784" max="11784" width="5.5703125" style="435" customWidth="1"/>
    <col min="11785" max="11785" width="6.28515625" style="435" bestFit="1" customWidth="1"/>
    <col min="11786" max="11786" width="5" style="435" customWidth="1"/>
    <col min="11787" max="11787" width="13.28515625" style="435" bestFit="1" customWidth="1"/>
    <col min="11788" max="11788" width="1.7109375" style="435" customWidth="1"/>
    <col min="11789" max="11789" width="2.7109375" style="435" customWidth="1"/>
    <col min="11790" max="12032" width="9.140625" style="435"/>
    <col min="12033" max="12033" width="2.85546875" style="435" customWidth="1"/>
    <col min="12034" max="12034" width="2.5703125" style="435" customWidth="1"/>
    <col min="12035" max="12035" width="25" style="435" customWidth="1"/>
    <col min="12036" max="12036" width="8.28515625" style="435" bestFit="1" customWidth="1"/>
    <col min="12037" max="12037" width="9.140625" style="435"/>
    <col min="12038" max="12038" width="5.7109375" style="435" customWidth="1"/>
    <col min="12039" max="12039" width="4.42578125" style="435" bestFit="1" customWidth="1"/>
    <col min="12040" max="12040" width="5.5703125" style="435" customWidth="1"/>
    <col min="12041" max="12041" width="6.28515625" style="435" bestFit="1" customWidth="1"/>
    <col min="12042" max="12042" width="5" style="435" customWidth="1"/>
    <col min="12043" max="12043" width="13.28515625" style="435" bestFit="1" customWidth="1"/>
    <col min="12044" max="12044" width="1.7109375" style="435" customWidth="1"/>
    <col min="12045" max="12045" width="2.7109375" style="435" customWidth="1"/>
    <col min="12046" max="12288" width="9.140625" style="435"/>
    <col min="12289" max="12289" width="2.85546875" style="435" customWidth="1"/>
    <col min="12290" max="12290" width="2.5703125" style="435" customWidth="1"/>
    <col min="12291" max="12291" width="25" style="435" customWidth="1"/>
    <col min="12292" max="12292" width="8.28515625" style="435" bestFit="1" customWidth="1"/>
    <col min="12293" max="12293" width="9.140625" style="435"/>
    <col min="12294" max="12294" width="5.7109375" style="435" customWidth="1"/>
    <col min="12295" max="12295" width="4.42578125" style="435" bestFit="1" customWidth="1"/>
    <col min="12296" max="12296" width="5.5703125" style="435" customWidth="1"/>
    <col min="12297" max="12297" width="6.28515625" style="435" bestFit="1" customWidth="1"/>
    <col min="12298" max="12298" width="5" style="435" customWidth="1"/>
    <col min="12299" max="12299" width="13.28515625" style="435" bestFit="1" customWidth="1"/>
    <col min="12300" max="12300" width="1.7109375" style="435" customWidth="1"/>
    <col min="12301" max="12301" width="2.7109375" style="435" customWidth="1"/>
    <col min="12302" max="12544" width="9.140625" style="435"/>
    <col min="12545" max="12545" width="2.85546875" style="435" customWidth="1"/>
    <col min="12546" max="12546" width="2.5703125" style="435" customWidth="1"/>
    <col min="12547" max="12547" width="25" style="435" customWidth="1"/>
    <col min="12548" max="12548" width="8.28515625" style="435" bestFit="1" customWidth="1"/>
    <col min="12549" max="12549" width="9.140625" style="435"/>
    <col min="12550" max="12550" width="5.7109375" style="435" customWidth="1"/>
    <col min="12551" max="12551" width="4.42578125" style="435" bestFit="1" customWidth="1"/>
    <col min="12552" max="12552" width="5.5703125" style="435" customWidth="1"/>
    <col min="12553" max="12553" width="6.28515625" style="435" bestFit="1" customWidth="1"/>
    <col min="12554" max="12554" width="5" style="435" customWidth="1"/>
    <col min="12555" max="12555" width="13.28515625" style="435" bestFit="1" customWidth="1"/>
    <col min="12556" max="12556" width="1.7109375" style="435" customWidth="1"/>
    <col min="12557" max="12557" width="2.7109375" style="435" customWidth="1"/>
    <col min="12558" max="12800" width="9.140625" style="435"/>
    <col min="12801" max="12801" width="2.85546875" style="435" customWidth="1"/>
    <col min="12802" max="12802" width="2.5703125" style="435" customWidth="1"/>
    <col min="12803" max="12803" width="25" style="435" customWidth="1"/>
    <col min="12804" max="12804" width="8.28515625" style="435" bestFit="1" customWidth="1"/>
    <col min="12805" max="12805" width="9.140625" style="435"/>
    <col min="12806" max="12806" width="5.7109375" style="435" customWidth="1"/>
    <col min="12807" max="12807" width="4.42578125" style="435" bestFit="1" customWidth="1"/>
    <col min="12808" max="12808" width="5.5703125" style="435" customWidth="1"/>
    <col min="12809" max="12809" width="6.28515625" style="435" bestFit="1" customWidth="1"/>
    <col min="12810" max="12810" width="5" style="435" customWidth="1"/>
    <col min="12811" max="12811" width="13.28515625" style="435" bestFit="1" customWidth="1"/>
    <col min="12812" max="12812" width="1.7109375" style="435" customWidth="1"/>
    <col min="12813" max="12813" width="2.7109375" style="435" customWidth="1"/>
    <col min="12814" max="13056" width="9.140625" style="435"/>
    <col min="13057" max="13057" width="2.85546875" style="435" customWidth="1"/>
    <col min="13058" max="13058" width="2.5703125" style="435" customWidth="1"/>
    <col min="13059" max="13059" width="25" style="435" customWidth="1"/>
    <col min="13060" max="13060" width="8.28515625" style="435" bestFit="1" customWidth="1"/>
    <col min="13061" max="13061" width="9.140625" style="435"/>
    <col min="13062" max="13062" width="5.7109375" style="435" customWidth="1"/>
    <col min="13063" max="13063" width="4.42578125" style="435" bestFit="1" customWidth="1"/>
    <col min="13064" max="13064" width="5.5703125" style="435" customWidth="1"/>
    <col min="13065" max="13065" width="6.28515625" style="435" bestFit="1" customWidth="1"/>
    <col min="13066" max="13066" width="5" style="435" customWidth="1"/>
    <col min="13067" max="13067" width="13.28515625" style="435" bestFit="1" customWidth="1"/>
    <col min="13068" max="13068" width="1.7109375" style="435" customWidth="1"/>
    <col min="13069" max="13069" width="2.7109375" style="435" customWidth="1"/>
    <col min="13070" max="13312" width="9.140625" style="435"/>
    <col min="13313" max="13313" width="2.85546875" style="435" customWidth="1"/>
    <col min="13314" max="13314" width="2.5703125" style="435" customWidth="1"/>
    <col min="13315" max="13315" width="25" style="435" customWidth="1"/>
    <col min="13316" max="13316" width="8.28515625" style="435" bestFit="1" customWidth="1"/>
    <col min="13317" max="13317" width="9.140625" style="435"/>
    <col min="13318" max="13318" width="5.7109375" style="435" customWidth="1"/>
    <col min="13319" max="13319" width="4.42578125" style="435" bestFit="1" customWidth="1"/>
    <col min="13320" max="13320" width="5.5703125" style="435" customWidth="1"/>
    <col min="13321" max="13321" width="6.28515625" style="435" bestFit="1" customWidth="1"/>
    <col min="13322" max="13322" width="5" style="435" customWidth="1"/>
    <col min="13323" max="13323" width="13.28515625" style="435" bestFit="1" customWidth="1"/>
    <col min="13324" max="13324" width="1.7109375" style="435" customWidth="1"/>
    <col min="13325" max="13325" width="2.7109375" style="435" customWidth="1"/>
    <col min="13326" max="13568" width="9.140625" style="435"/>
    <col min="13569" max="13569" width="2.85546875" style="435" customWidth="1"/>
    <col min="13570" max="13570" width="2.5703125" style="435" customWidth="1"/>
    <col min="13571" max="13571" width="25" style="435" customWidth="1"/>
    <col min="13572" max="13572" width="8.28515625" style="435" bestFit="1" customWidth="1"/>
    <col min="13573" max="13573" width="9.140625" style="435"/>
    <col min="13574" max="13574" width="5.7109375" style="435" customWidth="1"/>
    <col min="13575" max="13575" width="4.42578125" style="435" bestFit="1" customWidth="1"/>
    <col min="13576" max="13576" width="5.5703125" style="435" customWidth="1"/>
    <col min="13577" max="13577" width="6.28515625" style="435" bestFit="1" customWidth="1"/>
    <col min="13578" max="13578" width="5" style="435" customWidth="1"/>
    <col min="13579" max="13579" width="13.28515625" style="435" bestFit="1" customWidth="1"/>
    <col min="13580" max="13580" width="1.7109375" style="435" customWidth="1"/>
    <col min="13581" max="13581" width="2.7109375" style="435" customWidth="1"/>
    <col min="13582" max="13824" width="9.140625" style="435"/>
    <col min="13825" max="13825" width="2.85546875" style="435" customWidth="1"/>
    <col min="13826" max="13826" width="2.5703125" style="435" customWidth="1"/>
    <col min="13827" max="13827" width="25" style="435" customWidth="1"/>
    <col min="13828" max="13828" width="8.28515625" style="435" bestFit="1" customWidth="1"/>
    <col min="13829" max="13829" width="9.140625" style="435"/>
    <col min="13830" max="13830" width="5.7109375" style="435" customWidth="1"/>
    <col min="13831" max="13831" width="4.42578125" style="435" bestFit="1" customWidth="1"/>
    <col min="13832" max="13832" width="5.5703125" style="435" customWidth="1"/>
    <col min="13833" max="13833" width="6.28515625" style="435" bestFit="1" customWidth="1"/>
    <col min="13834" max="13834" width="5" style="435" customWidth="1"/>
    <col min="13835" max="13835" width="13.28515625" style="435" bestFit="1" customWidth="1"/>
    <col min="13836" max="13836" width="1.7109375" style="435" customWidth="1"/>
    <col min="13837" max="13837" width="2.7109375" style="435" customWidth="1"/>
    <col min="13838" max="14080" width="9.140625" style="435"/>
    <col min="14081" max="14081" width="2.85546875" style="435" customWidth="1"/>
    <col min="14082" max="14082" width="2.5703125" style="435" customWidth="1"/>
    <col min="14083" max="14083" width="25" style="435" customWidth="1"/>
    <col min="14084" max="14084" width="8.28515625" style="435" bestFit="1" customWidth="1"/>
    <col min="14085" max="14085" width="9.140625" style="435"/>
    <col min="14086" max="14086" width="5.7109375" style="435" customWidth="1"/>
    <col min="14087" max="14087" width="4.42578125" style="435" bestFit="1" customWidth="1"/>
    <col min="14088" max="14088" width="5.5703125" style="435" customWidth="1"/>
    <col min="14089" max="14089" width="6.28515625" style="435" bestFit="1" customWidth="1"/>
    <col min="14090" max="14090" width="5" style="435" customWidth="1"/>
    <col min="14091" max="14091" width="13.28515625" style="435" bestFit="1" customWidth="1"/>
    <col min="14092" max="14092" width="1.7109375" style="435" customWidth="1"/>
    <col min="14093" max="14093" width="2.7109375" style="435" customWidth="1"/>
    <col min="14094" max="14336" width="9.140625" style="435"/>
    <col min="14337" max="14337" width="2.85546875" style="435" customWidth="1"/>
    <col min="14338" max="14338" width="2.5703125" style="435" customWidth="1"/>
    <col min="14339" max="14339" width="25" style="435" customWidth="1"/>
    <col min="14340" max="14340" width="8.28515625" style="435" bestFit="1" customWidth="1"/>
    <col min="14341" max="14341" width="9.140625" style="435"/>
    <col min="14342" max="14342" width="5.7109375" style="435" customWidth="1"/>
    <col min="14343" max="14343" width="4.42578125" style="435" bestFit="1" customWidth="1"/>
    <col min="14344" max="14344" width="5.5703125" style="435" customWidth="1"/>
    <col min="14345" max="14345" width="6.28515625" style="435" bestFit="1" customWidth="1"/>
    <col min="14346" max="14346" width="5" style="435" customWidth="1"/>
    <col min="14347" max="14347" width="13.28515625" style="435" bestFit="1" customWidth="1"/>
    <col min="14348" max="14348" width="1.7109375" style="435" customWidth="1"/>
    <col min="14349" max="14349" width="2.7109375" style="435" customWidth="1"/>
    <col min="14350" max="14592" width="9.140625" style="435"/>
    <col min="14593" max="14593" width="2.85546875" style="435" customWidth="1"/>
    <col min="14594" max="14594" width="2.5703125" style="435" customWidth="1"/>
    <col min="14595" max="14595" width="25" style="435" customWidth="1"/>
    <col min="14596" max="14596" width="8.28515625" style="435" bestFit="1" customWidth="1"/>
    <col min="14597" max="14597" width="9.140625" style="435"/>
    <col min="14598" max="14598" width="5.7109375" style="435" customWidth="1"/>
    <col min="14599" max="14599" width="4.42578125" style="435" bestFit="1" customWidth="1"/>
    <col min="14600" max="14600" width="5.5703125" style="435" customWidth="1"/>
    <col min="14601" max="14601" width="6.28515625" style="435" bestFit="1" customWidth="1"/>
    <col min="14602" max="14602" width="5" style="435" customWidth="1"/>
    <col min="14603" max="14603" width="13.28515625" style="435" bestFit="1" customWidth="1"/>
    <col min="14604" max="14604" width="1.7109375" style="435" customWidth="1"/>
    <col min="14605" max="14605" width="2.7109375" style="435" customWidth="1"/>
    <col min="14606" max="14848" width="9.140625" style="435"/>
    <col min="14849" max="14849" width="2.85546875" style="435" customWidth="1"/>
    <col min="14850" max="14850" width="2.5703125" style="435" customWidth="1"/>
    <col min="14851" max="14851" width="25" style="435" customWidth="1"/>
    <col min="14852" max="14852" width="8.28515625" style="435" bestFit="1" customWidth="1"/>
    <col min="14853" max="14853" width="9.140625" style="435"/>
    <col min="14854" max="14854" width="5.7109375" style="435" customWidth="1"/>
    <col min="14855" max="14855" width="4.42578125" style="435" bestFit="1" customWidth="1"/>
    <col min="14856" max="14856" width="5.5703125" style="435" customWidth="1"/>
    <col min="14857" max="14857" width="6.28515625" style="435" bestFit="1" customWidth="1"/>
    <col min="14858" max="14858" width="5" style="435" customWidth="1"/>
    <col min="14859" max="14859" width="13.28515625" style="435" bestFit="1" customWidth="1"/>
    <col min="14860" max="14860" width="1.7109375" style="435" customWidth="1"/>
    <col min="14861" max="14861" width="2.7109375" style="435" customWidth="1"/>
    <col min="14862" max="15104" width="9.140625" style="435"/>
    <col min="15105" max="15105" width="2.85546875" style="435" customWidth="1"/>
    <col min="15106" max="15106" width="2.5703125" style="435" customWidth="1"/>
    <col min="15107" max="15107" width="25" style="435" customWidth="1"/>
    <col min="15108" max="15108" width="8.28515625" style="435" bestFit="1" customWidth="1"/>
    <col min="15109" max="15109" width="9.140625" style="435"/>
    <col min="15110" max="15110" width="5.7109375" style="435" customWidth="1"/>
    <col min="15111" max="15111" width="4.42578125" style="435" bestFit="1" customWidth="1"/>
    <col min="15112" max="15112" width="5.5703125" style="435" customWidth="1"/>
    <col min="15113" max="15113" width="6.28515625" style="435" bestFit="1" customWidth="1"/>
    <col min="15114" max="15114" width="5" style="435" customWidth="1"/>
    <col min="15115" max="15115" width="13.28515625" style="435" bestFit="1" customWidth="1"/>
    <col min="15116" max="15116" width="1.7109375" style="435" customWidth="1"/>
    <col min="15117" max="15117" width="2.7109375" style="435" customWidth="1"/>
    <col min="15118" max="15360" width="9.140625" style="435"/>
    <col min="15361" max="15361" width="2.85546875" style="435" customWidth="1"/>
    <col min="15362" max="15362" width="2.5703125" style="435" customWidth="1"/>
    <col min="15363" max="15363" width="25" style="435" customWidth="1"/>
    <col min="15364" max="15364" width="8.28515625" style="435" bestFit="1" customWidth="1"/>
    <col min="15365" max="15365" width="9.140625" style="435"/>
    <col min="15366" max="15366" width="5.7109375" style="435" customWidth="1"/>
    <col min="15367" max="15367" width="4.42578125" style="435" bestFit="1" customWidth="1"/>
    <col min="15368" max="15368" width="5.5703125" style="435" customWidth="1"/>
    <col min="15369" max="15369" width="6.28515625" style="435" bestFit="1" customWidth="1"/>
    <col min="15370" max="15370" width="5" style="435" customWidth="1"/>
    <col min="15371" max="15371" width="13.28515625" style="435" bestFit="1" customWidth="1"/>
    <col min="15372" max="15372" width="1.7109375" style="435" customWidth="1"/>
    <col min="15373" max="15373" width="2.7109375" style="435" customWidth="1"/>
    <col min="15374" max="15616" width="9.140625" style="435"/>
    <col min="15617" max="15617" width="2.85546875" style="435" customWidth="1"/>
    <col min="15618" max="15618" width="2.5703125" style="435" customWidth="1"/>
    <col min="15619" max="15619" width="25" style="435" customWidth="1"/>
    <col min="15620" max="15620" width="8.28515625" style="435" bestFit="1" customWidth="1"/>
    <col min="15621" max="15621" width="9.140625" style="435"/>
    <col min="15622" max="15622" width="5.7109375" style="435" customWidth="1"/>
    <col min="15623" max="15623" width="4.42578125" style="435" bestFit="1" customWidth="1"/>
    <col min="15624" max="15624" width="5.5703125" style="435" customWidth="1"/>
    <col min="15625" max="15625" width="6.28515625" style="435" bestFit="1" customWidth="1"/>
    <col min="15626" max="15626" width="5" style="435" customWidth="1"/>
    <col min="15627" max="15627" width="13.28515625" style="435" bestFit="1" customWidth="1"/>
    <col min="15628" max="15628" width="1.7109375" style="435" customWidth="1"/>
    <col min="15629" max="15629" width="2.7109375" style="435" customWidth="1"/>
    <col min="15630" max="15872" width="9.140625" style="435"/>
    <col min="15873" max="15873" width="2.85546875" style="435" customWidth="1"/>
    <col min="15874" max="15874" width="2.5703125" style="435" customWidth="1"/>
    <col min="15875" max="15875" width="25" style="435" customWidth="1"/>
    <col min="15876" max="15876" width="8.28515625" style="435" bestFit="1" customWidth="1"/>
    <col min="15877" max="15877" width="9.140625" style="435"/>
    <col min="15878" max="15878" width="5.7109375" style="435" customWidth="1"/>
    <col min="15879" max="15879" width="4.42578125" style="435" bestFit="1" customWidth="1"/>
    <col min="15880" max="15880" width="5.5703125" style="435" customWidth="1"/>
    <col min="15881" max="15881" width="6.28515625" style="435" bestFit="1" customWidth="1"/>
    <col min="15882" max="15882" width="5" style="435" customWidth="1"/>
    <col min="15883" max="15883" width="13.28515625" style="435" bestFit="1" customWidth="1"/>
    <col min="15884" max="15884" width="1.7109375" style="435" customWidth="1"/>
    <col min="15885" max="15885" width="2.7109375" style="435" customWidth="1"/>
    <col min="15886" max="16128" width="9.140625" style="435"/>
    <col min="16129" max="16129" width="2.85546875" style="435" customWidth="1"/>
    <col min="16130" max="16130" width="2.5703125" style="435" customWidth="1"/>
    <col min="16131" max="16131" width="25" style="435" customWidth="1"/>
    <col min="16132" max="16132" width="8.28515625" style="435" bestFit="1" customWidth="1"/>
    <col min="16133" max="16133" width="9.140625" style="435"/>
    <col min="16134" max="16134" width="5.7109375" style="435" customWidth="1"/>
    <col min="16135" max="16135" width="4.42578125" style="435" bestFit="1" customWidth="1"/>
    <col min="16136" max="16136" width="5.5703125" style="435" customWidth="1"/>
    <col min="16137" max="16137" width="6.28515625" style="435" bestFit="1" customWidth="1"/>
    <col min="16138" max="16138" width="5" style="435" customWidth="1"/>
    <col min="16139" max="16139" width="13.28515625" style="435" bestFit="1" customWidth="1"/>
    <col min="16140" max="16140" width="1.7109375" style="435" customWidth="1"/>
    <col min="16141" max="16141" width="2.7109375" style="435" customWidth="1"/>
    <col min="16142" max="16384" width="9.140625" style="435"/>
  </cols>
  <sheetData>
    <row r="1" spans="2:15" ht="24" thickBot="1">
      <c r="E1" s="2777" t="s">
        <v>1749</v>
      </c>
      <c r="F1" s="2778"/>
      <c r="G1" s="2778"/>
      <c r="H1" s="2779"/>
    </row>
    <row r="2" spans="2:15">
      <c r="B2" s="557"/>
      <c r="C2" s="507"/>
      <c r="D2" s="507"/>
      <c r="E2" s="507"/>
      <c r="F2" s="507"/>
      <c r="G2" s="507"/>
      <c r="H2" s="507"/>
      <c r="I2" s="507"/>
      <c r="J2" s="507"/>
      <c r="K2" s="507"/>
      <c r="L2" s="509"/>
    </row>
    <row r="3" spans="2:15" ht="18">
      <c r="B3" s="489"/>
      <c r="C3" s="438"/>
      <c r="D3" s="438"/>
      <c r="E3" s="438"/>
      <c r="F3" s="438"/>
      <c r="G3" s="438"/>
      <c r="H3" s="438"/>
      <c r="I3" s="438"/>
      <c r="J3" s="438"/>
      <c r="K3" s="438"/>
      <c r="L3" s="439"/>
      <c r="O3" s="1946" t="s">
        <v>1794</v>
      </c>
    </row>
    <row r="4" spans="2:15" ht="18.75" thickBot="1">
      <c r="B4" s="489"/>
      <c r="C4" s="438"/>
      <c r="D4" s="438"/>
      <c r="E4" s="438"/>
      <c r="F4" s="438"/>
      <c r="G4" s="438"/>
      <c r="H4" s="438"/>
      <c r="I4" s="438"/>
      <c r="J4" s="438"/>
      <c r="K4" s="438"/>
      <c r="L4" s="439"/>
      <c r="O4" s="1946" t="s">
        <v>1795</v>
      </c>
    </row>
    <row r="5" spans="2:15" ht="13.5" thickBot="1">
      <c r="B5" s="489"/>
      <c r="C5" s="3104" t="s">
        <v>1019</v>
      </c>
      <c r="D5" s="3105"/>
      <c r="E5" s="3106"/>
      <c r="F5" s="464"/>
      <c r="G5" s="464"/>
      <c r="H5" s="464"/>
      <c r="I5" s="464"/>
      <c r="J5" s="464"/>
      <c r="K5" s="464"/>
      <c r="L5" s="439"/>
    </row>
    <row r="6" spans="2:15">
      <c r="B6" s="489"/>
      <c r="C6" s="881" t="s">
        <v>1020</v>
      </c>
      <c r="D6" s="882">
        <v>30</v>
      </c>
      <c r="E6" s="1245" t="s">
        <v>357</v>
      </c>
      <c r="F6" s="464"/>
      <c r="G6" s="464"/>
      <c r="H6" s="464"/>
      <c r="I6" s="464"/>
      <c r="J6" s="464"/>
      <c r="K6" s="464"/>
      <c r="L6" s="439"/>
    </row>
    <row r="7" spans="2:15">
      <c r="B7" s="489"/>
      <c r="C7" s="706" t="s">
        <v>1021</v>
      </c>
      <c r="D7" s="696">
        <v>5.5</v>
      </c>
      <c r="E7" s="883" t="s">
        <v>357</v>
      </c>
      <c r="F7" s="464"/>
      <c r="G7" s="464"/>
      <c r="H7" s="464"/>
      <c r="I7" s="464"/>
      <c r="J7" s="464"/>
      <c r="K7" s="464"/>
      <c r="L7" s="439"/>
    </row>
    <row r="8" spans="2:15">
      <c r="B8" s="489"/>
      <c r="C8" s="706" t="s">
        <v>1022</v>
      </c>
      <c r="D8" s="696">
        <v>5.5</v>
      </c>
      <c r="E8" s="883" t="s">
        <v>357</v>
      </c>
      <c r="F8" s="464"/>
      <c r="G8" s="464"/>
      <c r="H8" s="464"/>
      <c r="I8" s="464"/>
      <c r="J8" s="464"/>
      <c r="K8" s="464"/>
      <c r="L8" s="439"/>
    </row>
    <row r="9" spans="2:15">
      <c r="B9" s="489"/>
      <c r="C9" s="884" t="s">
        <v>1023</v>
      </c>
      <c r="D9" s="884">
        <f>D8*D7*D6</f>
        <v>907.5</v>
      </c>
      <c r="E9" s="885" t="s">
        <v>1024</v>
      </c>
      <c r="F9" s="464"/>
      <c r="G9" s="464"/>
      <c r="H9" s="464"/>
      <c r="I9" s="464"/>
      <c r="J9" s="464"/>
      <c r="K9" s="464"/>
      <c r="L9" s="439"/>
    </row>
    <row r="10" spans="2:15">
      <c r="B10" s="489"/>
      <c r="C10" s="706" t="s">
        <v>1025</v>
      </c>
      <c r="D10" s="763">
        <v>2</v>
      </c>
      <c r="E10" s="2048" t="s">
        <v>1809</v>
      </c>
      <c r="F10" s="464"/>
      <c r="G10" s="464"/>
      <c r="H10" s="464"/>
      <c r="I10" s="464"/>
      <c r="J10" s="464"/>
      <c r="K10" s="464"/>
      <c r="L10" s="439"/>
    </row>
    <row r="11" spans="2:15" ht="13.5" thickBot="1">
      <c r="B11" s="489"/>
      <c r="C11" s="886" t="s">
        <v>1026</v>
      </c>
      <c r="D11" s="702">
        <v>0.5</v>
      </c>
      <c r="E11" s="887" t="s">
        <v>732</v>
      </c>
      <c r="F11" s="464"/>
      <c r="G11" s="464"/>
      <c r="H11" s="464"/>
      <c r="I11" s="464"/>
      <c r="J11" s="464"/>
      <c r="K11" s="464"/>
      <c r="L11" s="439"/>
    </row>
    <row r="12" spans="2:15" ht="12.75" customHeight="1" thickBot="1">
      <c r="B12" s="489"/>
      <c r="C12" s="888" t="s">
        <v>1027</v>
      </c>
      <c r="D12" s="889">
        <f>((D9/D11)/3600)*D10</f>
        <v>1.0083333333333333</v>
      </c>
      <c r="E12" s="890" t="s">
        <v>1028</v>
      </c>
      <c r="F12" s="464"/>
      <c r="G12" s="464"/>
      <c r="H12" s="464"/>
      <c r="I12" s="464"/>
      <c r="J12" s="464"/>
      <c r="K12" s="464"/>
      <c r="L12" s="439"/>
    </row>
    <row r="13" spans="2:15" ht="24" customHeight="1" thickBot="1">
      <c r="B13" s="489"/>
      <c r="C13" s="3107" t="s">
        <v>1029</v>
      </c>
      <c r="D13" s="3108"/>
      <c r="E13" s="3109"/>
      <c r="F13" s="2045">
        <f>INT(D12)</f>
        <v>1</v>
      </c>
      <c r="G13" s="2046" t="s">
        <v>1030</v>
      </c>
      <c r="H13" s="2045">
        <f>INT((D12-INT(D12))*60)</f>
        <v>0</v>
      </c>
      <c r="I13" s="2047" t="s">
        <v>1031</v>
      </c>
      <c r="J13" s="892">
        <f>ROUND(((D12-INT(D12))*60-INT((D12-INT(D12))*60))*60,0)</f>
        <v>30</v>
      </c>
      <c r="K13" s="893" t="s">
        <v>855</v>
      </c>
      <c r="L13" s="439"/>
    </row>
    <row r="14" spans="2:15" ht="18.75" thickBot="1">
      <c r="B14" s="489"/>
      <c r="C14" s="894"/>
      <c r="D14" s="894"/>
      <c r="E14" s="894"/>
      <c r="F14" s="891">
        <f>(F13*60)+ROUNDUP(H13,1)+ROUNDUP((J13/60),1)</f>
        <v>60.5</v>
      </c>
      <c r="G14" s="3113" t="s">
        <v>854</v>
      </c>
      <c r="H14" s="3113"/>
      <c r="I14" s="3114"/>
      <c r="J14" s="896"/>
      <c r="K14" s="464"/>
      <c r="L14" s="439"/>
    </row>
    <row r="15" spans="2:15" ht="12.75" customHeight="1" thickBot="1">
      <c r="B15" s="489"/>
      <c r="C15" s="3104" t="s">
        <v>1032</v>
      </c>
      <c r="D15" s="3105"/>
      <c r="E15" s="3106"/>
      <c r="F15" s="464"/>
      <c r="G15" s="897"/>
      <c r="H15" s="895"/>
      <c r="I15" s="896"/>
      <c r="J15" s="896"/>
      <c r="K15" s="464"/>
      <c r="L15" s="439"/>
    </row>
    <row r="16" spans="2:15">
      <c r="B16" s="489"/>
      <c r="C16" s="881" t="s">
        <v>1033</v>
      </c>
      <c r="D16" s="882">
        <v>41</v>
      </c>
      <c r="E16" s="1591" t="s">
        <v>732</v>
      </c>
      <c r="F16" s="464"/>
      <c r="G16" s="464"/>
      <c r="H16" s="898"/>
      <c r="I16" s="464"/>
      <c r="J16" s="464"/>
      <c r="K16" s="464"/>
      <c r="L16" s="439"/>
    </row>
    <row r="17" spans="2:12" ht="12.75" customHeight="1">
      <c r="B17" s="489"/>
      <c r="C17" s="1590" t="s">
        <v>1521</v>
      </c>
      <c r="D17" s="1593">
        <v>0.219</v>
      </c>
      <c r="E17" s="3110" t="s">
        <v>1522</v>
      </c>
      <c r="F17" s="3111"/>
      <c r="G17" s="3111"/>
      <c r="H17" s="3111"/>
      <c r="I17" s="3111"/>
      <c r="J17" s="3111"/>
      <c r="K17" s="3112"/>
      <c r="L17" s="439"/>
    </row>
    <row r="18" spans="2:12" ht="25.5">
      <c r="B18" s="489"/>
      <c r="C18" s="900" t="s">
        <v>1034</v>
      </c>
      <c r="D18" s="901">
        <f>D16-($D$17*D16)</f>
        <v>32.021000000000001</v>
      </c>
      <c r="E18" s="1592" t="s">
        <v>732</v>
      </c>
      <c r="F18" s="464"/>
      <c r="G18" s="464"/>
      <c r="H18" s="899"/>
      <c r="I18" s="464"/>
      <c r="J18" s="464"/>
      <c r="K18" s="464"/>
      <c r="L18" s="439"/>
    </row>
    <row r="19" spans="2:12">
      <c r="B19" s="489"/>
      <c r="C19" s="438"/>
      <c r="D19" s="438"/>
      <c r="E19" s="438"/>
      <c r="F19" s="438"/>
      <c r="G19" s="438"/>
      <c r="H19" s="438"/>
      <c r="I19" s="438"/>
      <c r="J19" s="438"/>
      <c r="K19" s="438"/>
      <c r="L19" s="439"/>
    </row>
    <row r="20" spans="2:12" ht="13.5" thickBot="1">
      <c r="B20" s="488"/>
      <c r="C20" s="448"/>
      <c r="D20" s="448"/>
      <c r="E20" s="448"/>
      <c r="F20" s="448"/>
      <c r="G20" s="448"/>
      <c r="H20" s="448"/>
      <c r="I20" s="448"/>
      <c r="J20" s="448"/>
      <c r="K20" s="448"/>
      <c r="L20" s="450"/>
    </row>
    <row r="23" spans="2:12">
      <c r="C23" s="1943" t="s">
        <v>1782</v>
      </c>
    </row>
  </sheetData>
  <mergeCells count="6">
    <mergeCell ref="C5:E5"/>
    <mergeCell ref="C13:E13"/>
    <mergeCell ref="C15:E15"/>
    <mergeCell ref="E17:K17"/>
    <mergeCell ref="E1:H1"/>
    <mergeCell ref="G14:I14"/>
  </mergeCells>
  <conditionalFormatting sqref="F13">
    <cfRule type="cellIs" dxfId="4" priority="2" stopIfTrue="1" operator="equal">
      <formula>$H$13</formula>
    </cfRule>
  </conditionalFormatting>
  <conditionalFormatting sqref="F14:G14">
    <cfRule type="cellIs" dxfId="3" priority="1" stopIfTrue="1" operator="equal">
      <formula>$H$13</formula>
    </cfRule>
  </conditionalFormatting>
  <hyperlinks>
    <hyperlink ref="E1" location="INDEX!A1" display="INDEX!A1"/>
  </hyperlinks>
  <printOptions horizontalCentered="1" verticalCentered="1"/>
  <pageMargins left="0" right="0" top="0" bottom="0" header="0" footer="0"/>
  <pageSetup paperSize="9" scale="165" orientation="landscape"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M151"/>
  <sheetViews>
    <sheetView zoomScale="56" zoomScaleNormal="56" workbookViewId="0">
      <selection activeCell="C1" sqref="C1:E1"/>
    </sheetView>
  </sheetViews>
  <sheetFormatPr defaultRowHeight="15"/>
  <cols>
    <col min="1" max="1" width="27.85546875" customWidth="1"/>
    <col min="2" max="2" width="19.7109375" customWidth="1"/>
    <col min="3" max="3" width="13.42578125" bestFit="1" customWidth="1"/>
    <col min="4" max="4" width="14.5703125" customWidth="1"/>
    <col min="5" max="5" width="12.28515625" customWidth="1"/>
    <col min="6" max="6" width="13.140625" customWidth="1"/>
    <col min="7" max="7" width="12.85546875" customWidth="1"/>
    <col min="8" max="8" width="14.140625" customWidth="1"/>
    <col min="9" max="9" width="16.42578125" customWidth="1"/>
    <col min="10" max="10" width="11.85546875" customWidth="1"/>
    <col min="11" max="15" width="20.42578125" customWidth="1"/>
  </cols>
  <sheetData>
    <row r="1" spans="1:9" ht="24" thickBot="1">
      <c r="A1" s="435"/>
      <c r="B1" s="435"/>
      <c r="C1" s="2777" t="s">
        <v>1749</v>
      </c>
      <c r="D1" s="2778"/>
      <c r="E1" s="2779"/>
      <c r="F1" s="435"/>
    </row>
    <row r="2" spans="1:9" ht="15.75" thickBot="1">
      <c r="A2" s="435"/>
      <c r="B2" s="435"/>
      <c r="C2" s="435"/>
      <c r="D2" s="435"/>
      <c r="E2" s="435"/>
      <c r="F2" s="435"/>
    </row>
    <row r="3" spans="1:9" ht="15.75">
      <c r="A3" s="2796" t="s">
        <v>1514</v>
      </c>
      <c r="B3" s="2797"/>
      <c r="C3" s="2797"/>
      <c r="D3" s="2797"/>
      <c r="E3" s="2798"/>
    </row>
    <row r="4" spans="1:9">
      <c r="A4" s="1386" t="s">
        <v>598</v>
      </c>
      <c r="B4" s="479"/>
      <c r="C4" s="479"/>
      <c r="D4" s="479"/>
      <c r="E4" s="480"/>
    </row>
    <row r="5" spans="1:9">
      <c r="A5" s="476" t="s">
        <v>1421</v>
      </c>
      <c r="B5" s="477">
        <v>-5</v>
      </c>
      <c r="C5" s="478" t="s">
        <v>1417</v>
      </c>
      <c r="D5" s="479"/>
      <c r="E5" s="480"/>
    </row>
    <row r="6" spans="1:9" ht="15.75" thickBot="1">
      <c r="A6" s="476" t="s">
        <v>1420</v>
      </c>
      <c r="B6" s="477">
        <v>2.5</v>
      </c>
      <c r="C6" s="478" t="s">
        <v>1418</v>
      </c>
      <c r="D6" s="479"/>
      <c r="E6" s="480"/>
    </row>
    <row r="7" spans="1:9" ht="16.5" thickBot="1">
      <c r="A7" s="482" t="s">
        <v>1513</v>
      </c>
      <c r="B7" s="1385">
        <f>33-((10.45+10*(B6)^(0.5)-B6)*(33-B5))/22.04</f>
        <v>-7.9679108635205154</v>
      </c>
      <c r="C7" s="2794" t="s">
        <v>1419</v>
      </c>
      <c r="D7" s="2795"/>
      <c r="E7" s="439"/>
    </row>
    <row r="8" spans="1:9" ht="15.75" thickBot="1">
      <c r="A8" s="488"/>
      <c r="B8" s="448"/>
      <c r="C8" s="448"/>
      <c r="D8" s="448"/>
      <c r="E8" s="450"/>
      <c r="I8" s="2330"/>
    </row>
    <row r="9" spans="1:9" ht="15.75" thickBot="1"/>
    <row r="10" spans="1:9" ht="15.75">
      <c r="A10" s="2796" t="s">
        <v>1508</v>
      </c>
      <c r="B10" s="2797"/>
      <c r="C10" s="2797"/>
      <c r="D10" s="2797"/>
      <c r="E10" s="2798"/>
    </row>
    <row r="11" spans="1:9">
      <c r="A11" s="1386" t="s">
        <v>598</v>
      </c>
      <c r="B11" s="479"/>
      <c r="C11" s="479"/>
      <c r="D11" s="479"/>
      <c r="E11" s="480"/>
    </row>
    <row r="12" spans="1:9">
      <c r="A12" s="476" t="s">
        <v>1421</v>
      </c>
      <c r="B12" s="1478">
        <f>B5</f>
        <v>-5</v>
      </c>
      <c r="C12" s="478" t="s">
        <v>1417</v>
      </c>
      <c r="D12" s="479"/>
      <c r="E12" s="480"/>
    </row>
    <row r="13" spans="1:9" ht="15.75" thickBot="1">
      <c r="A13" s="476" t="s">
        <v>1420</v>
      </c>
      <c r="B13" s="1478">
        <v>200</v>
      </c>
      <c r="C13" s="478" t="s">
        <v>1418</v>
      </c>
      <c r="D13" s="479"/>
      <c r="E13" s="480"/>
    </row>
    <row r="14" spans="1:9" ht="16.5" thickBot="1">
      <c r="A14" s="482" t="s">
        <v>1513</v>
      </c>
      <c r="B14" s="1385">
        <f>1.41-1.162*B6+0.98*B5+0.0124*(B6)^2+0.0185*B6*B5</f>
        <v>-6.548750000000001</v>
      </c>
      <c r="C14" s="2794" t="s">
        <v>1419</v>
      </c>
      <c r="D14" s="2795"/>
      <c r="E14" s="439"/>
    </row>
    <row r="15" spans="1:9" ht="15.75" thickBot="1">
      <c r="A15" s="488"/>
      <c r="B15" s="448"/>
      <c r="C15" s="448"/>
      <c r="D15" s="448"/>
      <c r="E15" s="450"/>
    </row>
    <row r="16" spans="1:9" ht="15.75" thickBot="1"/>
    <row r="17" spans="1:39" ht="15.75">
      <c r="A17" s="2796" t="s">
        <v>1509</v>
      </c>
      <c r="B17" s="2797"/>
      <c r="C17" s="2797"/>
      <c r="D17" s="2797"/>
      <c r="E17" s="2798"/>
    </row>
    <row r="18" spans="1:39">
      <c r="A18" s="1386" t="s">
        <v>598</v>
      </c>
      <c r="B18" s="479"/>
      <c r="C18" s="479"/>
      <c r="D18" s="479"/>
      <c r="E18" s="480"/>
    </row>
    <row r="19" spans="1:39">
      <c r="A19" s="476" t="s">
        <v>1421</v>
      </c>
      <c r="B19" s="1478">
        <f>B5</f>
        <v>-5</v>
      </c>
      <c r="C19" s="478" t="s">
        <v>1417</v>
      </c>
      <c r="D19" s="479"/>
      <c r="E19" s="480"/>
    </row>
    <row r="20" spans="1:39">
      <c r="A20" s="476" t="s">
        <v>1420</v>
      </c>
      <c r="B20" s="1478">
        <f>B6</f>
        <v>2.5</v>
      </c>
      <c r="C20" s="865" t="s">
        <v>1418</v>
      </c>
      <c r="D20" s="479"/>
      <c r="E20" s="480"/>
    </row>
    <row r="21" spans="1:39" s="56" customFormat="1" ht="15.75" thickBot="1">
      <c r="A21" s="476" t="s">
        <v>1420</v>
      </c>
      <c r="B21" s="1479">
        <f>((+B20*60*60))/1000</f>
        <v>9</v>
      </c>
      <c r="C21" s="3117" t="s">
        <v>1511</v>
      </c>
      <c r="D21" s="3118"/>
      <c r="E21" s="480"/>
      <c r="J21" s="56">
        <f>2000/60</f>
        <v>33.333333333333336</v>
      </c>
    </row>
    <row r="22" spans="1:39" ht="16.5" thickBot="1">
      <c r="A22" s="482" t="s">
        <v>1513</v>
      </c>
      <c r="B22" s="1385">
        <f>13.12+0.6215*B19-11.37*B21^0.16+0.3965*B19*B21^0.16</f>
        <v>-8.965104351805369</v>
      </c>
      <c r="C22" s="2794" t="s">
        <v>1419</v>
      </c>
      <c r="D22" s="2795"/>
      <c r="E22" s="439"/>
    </row>
    <row r="23" spans="1:39" ht="15.75" thickBot="1">
      <c r="A23" s="488"/>
      <c r="B23" s="448"/>
      <c r="C23" s="448"/>
      <c r="D23" s="448"/>
      <c r="E23" s="450"/>
    </row>
    <row r="24" spans="1:39" ht="15.75" thickBot="1">
      <c r="A24" s="56"/>
      <c r="B24" s="56"/>
      <c r="C24" s="56"/>
      <c r="D24" s="56"/>
      <c r="E24" s="56"/>
      <c r="F24" s="56"/>
      <c r="G24" s="56"/>
      <c r="H24" s="56"/>
      <c r="I24" s="56"/>
    </row>
    <row r="25" spans="1:39" ht="15.75">
      <c r="A25" s="2796" t="s">
        <v>1510</v>
      </c>
      <c r="B25" s="2797"/>
      <c r="C25" s="2797"/>
      <c r="D25" s="2797"/>
      <c r="E25" s="2798"/>
      <c r="F25" s="56"/>
      <c r="G25" s="56"/>
      <c r="H25" s="56"/>
      <c r="I25" s="56"/>
    </row>
    <row r="26" spans="1:39">
      <c r="A26" s="1386" t="s">
        <v>598</v>
      </c>
      <c r="B26" s="479"/>
      <c r="C26" s="479"/>
      <c r="D26" s="479"/>
      <c r="E26" s="480"/>
      <c r="F26" s="56"/>
      <c r="G26" s="56"/>
      <c r="H26" s="56"/>
      <c r="I26" s="56"/>
    </row>
    <row r="27" spans="1:39">
      <c r="A27" s="476" t="s">
        <v>1421</v>
      </c>
      <c r="B27" s="1478">
        <f>B5</f>
        <v>-5</v>
      </c>
      <c r="C27" s="478" t="s">
        <v>1417</v>
      </c>
      <c r="D27" s="479"/>
      <c r="E27" s="480"/>
      <c r="F27" s="56"/>
      <c r="G27" s="56"/>
      <c r="H27" s="56"/>
      <c r="I27" s="56"/>
    </row>
    <row r="28" spans="1:39" ht="15.75" thickBot="1">
      <c r="A28" s="476" t="s">
        <v>1420</v>
      </c>
      <c r="B28" s="1478">
        <f>B6</f>
        <v>2.5</v>
      </c>
      <c r="C28" s="478" t="s">
        <v>1418</v>
      </c>
      <c r="D28" s="479"/>
      <c r="E28" s="480"/>
      <c r="F28" s="56"/>
      <c r="G28" s="56"/>
      <c r="H28" s="56"/>
      <c r="I28" s="56"/>
    </row>
    <row r="29" spans="1:39" ht="16.5" thickBot="1">
      <c r="A29" s="482" t="s">
        <v>1513</v>
      </c>
      <c r="B29" s="1385">
        <f>13.12+0.6215*B27-11.37*(B28*3.6)^0.16+0.3965*B27*(B28*3.6)^0.16</f>
        <v>-8.965104351805369</v>
      </c>
      <c r="C29" s="2794" t="s">
        <v>1419</v>
      </c>
      <c r="D29" s="2795"/>
      <c r="E29" s="439"/>
      <c r="F29" s="56"/>
      <c r="G29" s="56"/>
      <c r="H29" s="56"/>
      <c r="I29" s="56"/>
    </row>
    <row r="30" spans="1:39" s="1387" customFormat="1" ht="27" thickBot="1">
      <c r="A30" s="488"/>
      <c r="B30" s="448"/>
      <c r="C30" s="448"/>
      <c r="D30" s="448"/>
      <c r="E30" s="450"/>
      <c r="F30" s="1477"/>
      <c r="G30" s="1477"/>
      <c r="H30" s="1477"/>
      <c r="I30" s="1477"/>
      <c r="J30" s="56"/>
      <c r="K30" s="56"/>
      <c r="L30" s="56"/>
      <c r="M30" s="56"/>
      <c r="N30" s="56"/>
      <c r="AG30" s="56"/>
      <c r="AH30" s="56"/>
      <c r="AI30" s="56"/>
      <c r="AJ30" s="56"/>
      <c r="AK30" s="56"/>
      <c r="AL30" s="56"/>
    </row>
    <row r="31" spans="1:39" s="1387" customFormat="1" ht="26.25">
      <c r="A31" s="1477"/>
      <c r="B31" s="438"/>
      <c r="C31" s="438"/>
      <c r="D31" s="438"/>
      <c r="E31" s="438"/>
      <c r="F31" s="438"/>
      <c r="G31" s="1477"/>
      <c r="H31" s="1477"/>
      <c r="I31" s="1477"/>
      <c r="J31" s="1477"/>
      <c r="K31" s="56"/>
      <c r="L31" s="56"/>
      <c r="M31" s="56"/>
      <c r="N31" s="56"/>
      <c r="O31" s="56"/>
      <c r="AH31" s="56"/>
      <c r="AI31" s="56"/>
      <c r="AJ31" s="56"/>
      <c r="AK31" s="56"/>
      <c r="AL31" s="56"/>
      <c r="AM31" s="56"/>
    </row>
    <row r="32" spans="1:39" s="1387" customFormat="1" ht="18">
      <c r="A32" s="3119" t="s">
        <v>1512</v>
      </c>
      <c r="B32" s="3120"/>
      <c r="C32" s="3120"/>
      <c r="D32" s="3120"/>
      <c r="E32" s="3120"/>
      <c r="F32" s="3120"/>
      <c r="G32" s="3120"/>
      <c r="H32" s="3120"/>
      <c r="I32" s="3120"/>
      <c r="J32" s="3120"/>
      <c r="K32" s="56"/>
      <c r="L32" s="56"/>
      <c r="M32" s="56"/>
      <c r="N32" s="56"/>
      <c r="O32" s="56"/>
      <c r="AH32" s="56"/>
      <c r="AI32" s="56"/>
      <c r="AJ32" s="56"/>
      <c r="AK32" s="56"/>
      <c r="AL32" s="56"/>
      <c r="AM32" s="56"/>
    </row>
    <row r="33" spans="1:39" s="1387" customFormat="1">
      <c r="K33" s="56" t="s">
        <v>1422</v>
      </c>
      <c r="L33" s="56"/>
      <c r="M33" s="56"/>
      <c r="N33" s="56"/>
      <c r="O33" s="56"/>
      <c r="AH33" s="56"/>
      <c r="AI33" s="56"/>
      <c r="AJ33" s="56"/>
      <c r="AK33" s="56"/>
      <c r="AL33" s="56"/>
      <c r="AM33" s="56"/>
    </row>
    <row r="34" spans="1:39" s="1387" customFormat="1" ht="16.5" thickBot="1">
      <c r="C34" s="1388"/>
      <c r="G34" s="1388"/>
      <c r="H34" s="1388" t="s">
        <v>1423</v>
      </c>
      <c r="I34" s="1476">
        <v>41498</v>
      </c>
      <c r="K34" s="56"/>
      <c r="L34" s="56"/>
      <c r="M34" s="56"/>
      <c r="N34" s="56"/>
      <c r="O34" s="56"/>
      <c r="AH34" s="56"/>
      <c r="AI34" s="56"/>
      <c r="AJ34" s="56"/>
      <c r="AK34" s="56"/>
      <c r="AL34" s="56"/>
      <c r="AM34" s="56"/>
    </row>
    <row r="35" spans="1:39" s="1387" customFormat="1" ht="16.5" thickBot="1">
      <c r="A35" s="1388"/>
      <c r="B35" s="1389"/>
      <c r="C35" s="1388"/>
      <c r="D35" s="1388"/>
      <c r="E35" s="1388"/>
      <c r="F35" s="1388"/>
      <c r="G35" s="1388"/>
      <c r="H35" s="1388"/>
      <c r="I35" s="1388"/>
      <c r="J35" s="1388"/>
      <c r="K35" s="1390" t="s">
        <v>1424</v>
      </c>
      <c r="L35" s="1391" t="s">
        <v>1425</v>
      </c>
      <c r="M35" s="1391" t="s">
        <v>1426</v>
      </c>
      <c r="N35" s="1392" t="s">
        <v>1427</v>
      </c>
      <c r="O35" s="56"/>
      <c r="AH35" s="56"/>
      <c r="AI35" s="56"/>
      <c r="AJ35" s="56"/>
      <c r="AK35" s="56"/>
      <c r="AL35" s="56"/>
      <c r="AM35" s="56"/>
    </row>
    <row r="36" spans="1:39" s="1387" customFormat="1" ht="16.5" thickBot="1">
      <c r="A36" s="1419" t="s">
        <v>1428</v>
      </c>
      <c r="B36" s="1389"/>
      <c r="C36" s="1388"/>
      <c r="D36" s="1388"/>
      <c r="E36" s="1388"/>
      <c r="G36" s="1482" t="s">
        <v>1429</v>
      </c>
      <c r="H36" s="1482" t="s">
        <v>1430</v>
      </c>
      <c r="I36" s="1482" t="s">
        <v>1431</v>
      </c>
      <c r="J36" s="1388"/>
      <c r="K36" s="1393" t="s">
        <v>1432</v>
      </c>
      <c r="L36" s="1394" t="s">
        <v>1433</v>
      </c>
      <c r="M36" s="1395" t="s">
        <v>1434</v>
      </c>
      <c r="N36" s="1396" t="s">
        <v>1435</v>
      </c>
      <c r="O36" s="56"/>
      <c r="AH36" s="56"/>
      <c r="AI36" s="56"/>
      <c r="AJ36" s="56"/>
      <c r="AK36" s="56"/>
      <c r="AL36" s="56"/>
      <c r="AM36" s="56"/>
    </row>
    <row r="37" spans="1:39" s="1387" customFormat="1" ht="15.75">
      <c r="A37" s="1489" t="s">
        <v>1436</v>
      </c>
      <c r="B37" s="1489" t="s">
        <v>1437</v>
      </c>
      <c r="C37" s="1489" t="s">
        <v>1438</v>
      </c>
      <c r="D37" s="1489" t="s">
        <v>1439</v>
      </c>
      <c r="E37" s="1489" t="s">
        <v>1439</v>
      </c>
      <c r="F37" s="1489" t="s">
        <v>1440</v>
      </c>
      <c r="G37" s="1489" t="s">
        <v>1440</v>
      </c>
      <c r="H37" s="1489" t="s">
        <v>1440</v>
      </c>
      <c r="I37" s="1489" t="s">
        <v>1440</v>
      </c>
      <c r="J37" s="1489" t="s">
        <v>1441</v>
      </c>
      <c r="K37" s="1480"/>
      <c r="L37" s="1398" t="s">
        <v>1442</v>
      </c>
      <c r="M37" s="70" t="s">
        <v>1443</v>
      </c>
      <c r="N37" s="1399" t="s">
        <v>1444</v>
      </c>
      <c r="O37" s="56"/>
      <c r="AH37" s="56"/>
      <c r="AI37" s="56"/>
      <c r="AJ37" s="56"/>
      <c r="AK37" s="56"/>
      <c r="AL37" s="56"/>
      <c r="AM37" s="56"/>
    </row>
    <row r="38" spans="1:39" s="1387" customFormat="1" ht="15.75" thickBot="1">
      <c r="A38" s="1490"/>
      <c r="B38" s="1492" t="s">
        <v>1515</v>
      </c>
      <c r="C38" s="1492" t="s">
        <v>1515</v>
      </c>
      <c r="D38" s="1492" t="s">
        <v>889</v>
      </c>
      <c r="E38" s="1492" t="s">
        <v>1445</v>
      </c>
      <c r="F38" s="1491"/>
      <c r="G38" s="1491"/>
      <c r="H38" s="1491"/>
      <c r="I38" s="1491"/>
      <c r="J38" s="1490"/>
      <c r="K38" s="1481"/>
      <c r="L38" s="1401" t="s">
        <v>1446</v>
      </c>
      <c r="M38" s="1402"/>
      <c r="N38" s="1403" t="s">
        <v>1447</v>
      </c>
      <c r="O38" s="56"/>
      <c r="AH38" s="56"/>
      <c r="AI38" s="56"/>
      <c r="AJ38" s="56"/>
      <c r="AK38" s="56"/>
      <c r="AL38" s="56"/>
      <c r="AM38" s="56"/>
    </row>
    <row r="39" spans="1:39" s="1387" customFormat="1">
      <c r="A39" s="1483"/>
      <c r="B39" s="1484"/>
      <c r="C39" s="1484"/>
      <c r="D39" s="1485"/>
      <c r="E39" s="1485">
        <f t="shared" ref="E39:E44" si="0">((+D39*60*60))/1000</f>
        <v>0</v>
      </c>
      <c r="F39" s="1486">
        <f t="shared" ref="F39:F44" si="1">33-(((10.45+(10*(SQRT(D39)))-D39)*(33-C39))/22.04)</f>
        <v>17.353448275862071</v>
      </c>
      <c r="G39" s="1487">
        <f t="shared" ref="G39:G44" si="2">1.41-1.162*D39+0.98*C39+0.0124*(D39)^2+0.0185*D39*C39</f>
        <v>1.41</v>
      </c>
      <c r="H39" s="1487">
        <f t="shared" ref="H39:H44" si="3">13.12+0.6215*C39-11.37*E39^0.16+0.3965*C39*E39^0.16</f>
        <v>13.12</v>
      </c>
      <c r="I39" s="1487">
        <f t="shared" ref="I39:I44" si="4">13.12+0.6215*C39-11.37*(D39*3.6)^0.16+0.3965*C39*(D39*3.6)^0.16</f>
        <v>13.12</v>
      </c>
      <c r="J39" s="1488"/>
      <c r="K39" s="1410"/>
      <c r="L39" s="1411" t="s">
        <v>1448</v>
      </c>
      <c r="M39" s="1412" t="s">
        <v>1449</v>
      </c>
      <c r="N39" s="1413" t="s">
        <v>1450</v>
      </c>
      <c r="O39" s="56"/>
      <c r="AH39" s="56"/>
      <c r="AI39" s="56"/>
      <c r="AJ39" s="56"/>
      <c r="AK39" s="56"/>
      <c r="AL39" s="56"/>
      <c r="AM39" s="56"/>
    </row>
    <row r="40" spans="1:39" s="1387" customFormat="1">
      <c r="A40" s="1404"/>
      <c r="B40" s="1405"/>
      <c r="C40" s="1405"/>
      <c r="D40" s="1406"/>
      <c r="E40" s="1406">
        <f t="shared" si="0"/>
        <v>0</v>
      </c>
      <c r="F40" s="1407">
        <f t="shared" si="1"/>
        <v>17.353448275862071</v>
      </c>
      <c r="G40" s="1408">
        <f t="shared" si="2"/>
        <v>1.41</v>
      </c>
      <c r="H40" s="1408">
        <f t="shared" si="3"/>
        <v>13.12</v>
      </c>
      <c r="I40" s="1408">
        <f t="shared" si="4"/>
        <v>13.12</v>
      </c>
      <c r="J40" s="1409"/>
      <c r="K40" s="1397"/>
      <c r="L40" s="1398" t="s">
        <v>1451</v>
      </c>
      <c r="M40" s="70"/>
      <c r="N40" s="1399"/>
      <c r="O40" s="56"/>
      <c r="AH40" s="56"/>
      <c r="AI40" s="56"/>
      <c r="AJ40" s="56"/>
      <c r="AK40" s="56"/>
      <c r="AL40" s="56"/>
      <c r="AM40" s="56"/>
    </row>
    <row r="41" spans="1:39" s="1387" customFormat="1" ht="15.75" thickBot="1">
      <c r="A41" s="1404"/>
      <c r="B41" s="1405"/>
      <c r="C41" s="1405"/>
      <c r="D41" s="1406"/>
      <c r="E41" s="1406">
        <f t="shared" si="0"/>
        <v>0</v>
      </c>
      <c r="F41" s="1407">
        <f t="shared" si="1"/>
        <v>17.353448275862071</v>
      </c>
      <c r="G41" s="1408">
        <f t="shared" si="2"/>
        <v>1.41</v>
      </c>
      <c r="H41" s="1408">
        <f t="shared" si="3"/>
        <v>13.12</v>
      </c>
      <c r="I41" s="1408">
        <f t="shared" si="4"/>
        <v>13.12</v>
      </c>
      <c r="J41" s="1409"/>
      <c r="K41" s="1400"/>
      <c r="L41" s="1401" t="s">
        <v>1452</v>
      </c>
      <c r="M41" s="1402"/>
      <c r="N41" s="1403"/>
      <c r="O41" s="56"/>
      <c r="AH41" s="56"/>
      <c r="AI41" s="56"/>
      <c r="AJ41" s="56"/>
      <c r="AK41" s="56"/>
      <c r="AL41" s="56"/>
      <c r="AM41" s="56"/>
    </row>
    <row r="42" spans="1:39" s="1387" customFormat="1">
      <c r="A42" s="1404"/>
      <c r="B42" s="1405"/>
      <c r="C42" s="1405"/>
      <c r="D42" s="1406"/>
      <c r="E42" s="1406">
        <f t="shared" si="0"/>
        <v>0</v>
      </c>
      <c r="F42" s="1407">
        <f t="shared" si="1"/>
        <v>17.353448275862071</v>
      </c>
      <c r="G42" s="1408">
        <f t="shared" si="2"/>
        <v>1.41</v>
      </c>
      <c r="H42" s="1408">
        <f t="shared" si="3"/>
        <v>13.12</v>
      </c>
      <c r="I42" s="1408">
        <f t="shared" si="4"/>
        <v>13.12</v>
      </c>
      <c r="J42" s="1409"/>
      <c r="K42" s="1410" t="s">
        <v>1453</v>
      </c>
      <c r="L42" s="1411" t="s">
        <v>1454</v>
      </c>
      <c r="M42" s="1414" t="s">
        <v>1455</v>
      </c>
      <c r="N42" s="1413" t="s">
        <v>1456</v>
      </c>
      <c r="O42" s="56"/>
      <c r="AH42" s="56"/>
      <c r="AI42" s="56"/>
      <c r="AJ42" s="56"/>
      <c r="AK42" s="56"/>
      <c r="AL42" s="56"/>
      <c r="AM42" s="56"/>
    </row>
    <row r="43" spans="1:39" s="1387" customFormat="1">
      <c r="A43" s="1404"/>
      <c r="B43" s="1405"/>
      <c r="C43" s="1405"/>
      <c r="D43" s="1406"/>
      <c r="E43" s="1406">
        <f t="shared" si="0"/>
        <v>0</v>
      </c>
      <c r="F43" s="1407">
        <f t="shared" si="1"/>
        <v>17.353448275862071</v>
      </c>
      <c r="G43" s="1408">
        <f t="shared" si="2"/>
        <v>1.41</v>
      </c>
      <c r="H43" s="1408">
        <f t="shared" si="3"/>
        <v>13.12</v>
      </c>
      <c r="I43" s="1408">
        <f t="shared" si="4"/>
        <v>13.12</v>
      </c>
      <c r="J43" s="1409"/>
      <c r="K43" s="1397"/>
      <c r="L43" s="1398" t="s">
        <v>1457</v>
      </c>
      <c r="M43" s="70"/>
      <c r="N43" s="1399"/>
      <c r="O43" s="56"/>
      <c r="AH43" s="56"/>
      <c r="AI43" s="56"/>
      <c r="AJ43" s="56"/>
      <c r="AK43" s="56"/>
      <c r="AL43" s="56"/>
      <c r="AM43" s="56"/>
    </row>
    <row r="44" spans="1:39" s="1387" customFormat="1">
      <c r="A44" s="1404"/>
      <c r="B44" s="1405"/>
      <c r="C44" s="1405"/>
      <c r="D44" s="1406"/>
      <c r="E44" s="1406">
        <f t="shared" si="0"/>
        <v>0</v>
      </c>
      <c r="F44" s="1407">
        <f t="shared" si="1"/>
        <v>17.353448275862071</v>
      </c>
      <c r="G44" s="1408">
        <f t="shared" si="2"/>
        <v>1.41</v>
      </c>
      <c r="H44" s="1408">
        <f t="shared" si="3"/>
        <v>13.12</v>
      </c>
      <c r="I44" s="1408">
        <f t="shared" si="4"/>
        <v>13.12</v>
      </c>
      <c r="J44" s="1409"/>
      <c r="K44" s="1397"/>
      <c r="L44" s="1398" t="s">
        <v>1458</v>
      </c>
      <c r="M44" s="70"/>
      <c r="N44" s="1399"/>
      <c r="O44" s="56"/>
      <c r="AH44" s="56"/>
      <c r="AI44" s="56"/>
      <c r="AJ44" s="56"/>
      <c r="AK44" s="56"/>
      <c r="AL44" s="56"/>
      <c r="AM44" s="56"/>
    </row>
    <row r="45" spans="1:39" s="1387" customFormat="1" ht="15.75" thickBot="1">
      <c r="A45" s="1404"/>
      <c r="B45" s="1405"/>
      <c r="C45" s="1405"/>
      <c r="D45" s="1406"/>
      <c r="E45" s="1406"/>
      <c r="F45" s="1405" t="str">
        <f>IF(+D45="","",+#REF!)</f>
        <v/>
      </c>
      <c r="G45" s="1405" t="str">
        <f>IF(+E45="","",+#REF!)</f>
        <v/>
      </c>
      <c r="H45" s="1405" t="str">
        <f>IF(+F45="","",+#REF!)</f>
        <v/>
      </c>
      <c r="I45" s="1405"/>
      <c r="J45" s="1409"/>
      <c r="K45" s="1400"/>
      <c r="L45" s="1401" t="s">
        <v>1459</v>
      </c>
      <c r="M45" s="1402"/>
      <c r="N45" s="1403"/>
      <c r="O45" s="56"/>
      <c r="AH45" s="56"/>
      <c r="AI45" s="56"/>
      <c r="AJ45" s="56"/>
      <c r="AK45" s="56"/>
      <c r="AL45" s="56"/>
      <c r="AM45" s="56"/>
    </row>
    <row r="46" spans="1:39" s="1387" customFormat="1" ht="15.75" thickBot="1">
      <c r="A46" s="1415"/>
      <c r="B46" s="1416"/>
      <c r="C46" s="1416"/>
      <c r="D46" s="1416"/>
      <c r="E46" s="1416"/>
      <c r="F46" s="1417" t="str">
        <f>IF(+D46="","",+#REF!)</f>
        <v/>
      </c>
      <c r="G46" s="1417" t="str">
        <f>IF(+E46="","",+#REF!)</f>
        <v/>
      </c>
      <c r="H46" s="1417" t="str">
        <f>IF(+F46="","",+#REF!)</f>
        <v/>
      </c>
      <c r="I46" s="1417"/>
      <c r="J46" s="1416"/>
      <c r="K46" s="1397" t="s">
        <v>1460</v>
      </c>
      <c r="L46" s="1398" t="s">
        <v>1461</v>
      </c>
      <c r="M46" s="1418" t="s">
        <v>1462</v>
      </c>
      <c r="N46" s="1413" t="s">
        <v>1463</v>
      </c>
      <c r="O46" s="56"/>
      <c r="AH46" s="56"/>
      <c r="AI46" s="56"/>
      <c r="AJ46" s="56"/>
      <c r="AK46" s="56"/>
      <c r="AL46" s="56"/>
      <c r="AM46" s="56"/>
    </row>
    <row r="47" spans="1:39" s="1387" customFormat="1" ht="15.75">
      <c r="A47" s="1419" t="s">
        <v>1464</v>
      </c>
      <c r="D47" s="1420"/>
      <c r="E47" s="1420"/>
      <c r="F47" s="1421"/>
      <c r="G47" s="1421"/>
      <c r="H47" s="1421"/>
      <c r="I47" s="1421"/>
      <c r="J47" s="1420"/>
      <c r="K47" s="1397"/>
      <c r="L47" s="1398" t="s">
        <v>1465</v>
      </c>
      <c r="M47" s="1418" t="s">
        <v>1466</v>
      </c>
      <c r="N47" s="1399" t="s">
        <v>1467</v>
      </c>
      <c r="O47" s="56"/>
      <c r="AH47" s="56"/>
      <c r="AI47" s="56"/>
      <c r="AJ47" s="56"/>
      <c r="AK47" s="56"/>
      <c r="AL47" s="56"/>
      <c r="AM47" s="56"/>
    </row>
    <row r="48" spans="1:39" s="1387" customFormat="1" ht="30" customHeight="1">
      <c r="A48" s="3121" t="s">
        <v>1468</v>
      </c>
      <c r="B48" s="3116"/>
      <c r="C48" s="3116"/>
      <c r="D48" s="3116"/>
      <c r="E48" s="3116"/>
      <c r="F48" s="3116"/>
      <c r="G48" s="3116"/>
      <c r="H48" s="3116"/>
      <c r="I48" s="3116"/>
      <c r="J48" s="3116"/>
      <c r="K48" s="1397"/>
      <c r="L48" s="1398" t="s">
        <v>1469</v>
      </c>
      <c r="M48" s="1418" t="s">
        <v>1470</v>
      </c>
      <c r="N48" s="1399" t="s">
        <v>1471</v>
      </c>
      <c r="O48" s="56"/>
      <c r="AH48" s="56"/>
      <c r="AI48" s="56"/>
      <c r="AJ48" s="56"/>
      <c r="AK48" s="56"/>
      <c r="AL48" s="56"/>
      <c r="AM48" s="56"/>
    </row>
    <row r="49" spans="1:39" s="1387" customFormat="1" ht="30" customHeight="1" thickBot="1">
      <c r="A49" s="3121" t="s">
        <v>1472</v>
      </c>
      <c r="B49" s="3116"/>
      <c r="C49" s="3116"/>
      <c r="D49" s="3116"/>
      <c r="E49" s="3116"/>
      <c r="F49" s="3116"/>
      <c r="G49" s="3116"/>
      <c r="H49" s="3116"/>
      <c r="I49" s="3116"/>
      <c r="J49" s="3116"/>
      <c r="K49" s="1422"/>
      <c r="L49" s="1423"/>
      <c r="M49" s="1423"/>
      <c r="N49" s="1424"/>
      <c r="O49" s="56"/>
      <c r="AH49" s="56"/>
      <c r="AI49" s="56"/>
      <c r="AJ49" s="56"/>
      <c r="AK49" s="56"/>
      <c r="AL49" s="56"/>
      <c r="AM49" s="56"/>
    </row>
    <row r="50" spans="1:39" s="1387" customFormat="1" ht="26.25" thickBot="1">
      <c r="A50" s="1425"/>
      <c r="F50" s="1426" t="s">
        <v>1424</v>
      </c>
      <c r="G50" s="1427" t="s">
        <v>1473</v>
      </c>
      <c r="H50" s="1427" t="s">
        <v>1426</v>
      </c>
      <c r="I50" s="1428" t="s">
        <v>1474</v>
      </c>
      <c r="K50" s="70"/>
      <c r="L50" s="70"/>
      <c r="M50" s="70"/>
      <c r="N50" s="70"/>
      <c r="O50" s="56"/>
      <c r="AH50" s="56"/>
      <c r="AI50" s="56"/>
      <c r="AJ50" s="56"/>
      <c r="AK50" s="56"/>
      <c r="AL50" s="56"/>
      <c r="AM50" s="56"/>
    </row>
    <row r="51" spans="1:39" s="1387" customFormat="1">
      <c r="A51" s="1429"/>
      <c r="F51" s="1430" t="s">
        <v>1460</v>
      </c>
      <c r="G51" s="1431" t="s">
        <v>1461</v>
      </c>
      <c r="H51" s="1431" t="s">
        <v>1462</v>
      </c>
      <c r="I51" s="1432" t="s">
        <v>1475</v>
      </c>
      <c r="K51" s="1433" t="s">
        <v>1476</v>
      </c>
      <c r="O51" s="56"/>
      <c r="AH51" s="56"/>
      <c r="AI51" s="56"/>
      <c r="AJ51" s="56"/>
      <c r="AK51" s="56"/>
      <c r="AL51" s="56"/>
      <c r="AM51" s="56"/>
    </row>
    <row r="52" spans="1:39" s="1387" customFormat="1" ht="16.5" thickBot="1">
      <c r="A52" s="1434" t="s">
        <v>1477</v>
      </c>
      <c r="B52" s="1435"/>
      <c r="F52" s="1436"/>
      <c r="G52" s="1437" t="s">
        <v>1465</v>
      </c>
      <c r="H52" s="1437" t="s">
        <v>1466</v>
      </c>
      <c r="I52" s="1438" t="s">
        <v>1478</v>
      </c>
      <c r="K52" s="1433" t="s">
        <v>1479</v>
      </c>
      <c r="M52" s="56"/>
      <c r="N52" s="56"/>
      <c r="O52" s="56"/>
      <c r="AH52" s="56"/>
      <c r="AI52" s="56"/>
      <c r="AJ52" s="56"/>
      <c r="AK52" s="56"/>
      <c r="AL52" s="56"/>
      <c r="AM52" s="56"/>
    </row>
    <row r="53" spans="1:39" s="1387" customFormat="1" ht="34.5" customHeight="1" thickBot="1">
      <c r="B53" s="1439"/>
      <c r="F53" s="1440"/>
      <c r="G53" s="1441" t="s">
        <v>1469</v>
      </c>
      <c r="H53" s="1442" t="s">
        <v>1470</v>
      </c>
      <c r="I53" s="1443" t="s">
        <v>1480</v>
      </c>
      <c r="K53" s="1433" t="s">
        <v>1481</v>
      </c>
      <c r="M53" s="56"/>
      <c r="N53" s="56"/>
      <c r="O53" s="56"/>
      <c r="R53" s="1444"/>
      <c r="AH53" s="56"/>
      <c r="AI53" s="56"/>
      <c r="AJ53" s="56"/>
      <c r="AK53" s="56"/>
      <c r="AL53" s="56"/>
      <c r="AM53" s="56"/>
    </row>
    <row r="54" spans="1:39" s="1387" customFormat="1">
      <c r="B54" s="1439"/>
      <c r="C54" s="1445"/>
      <c r="D54" s="1445"/>
      <c r="E54" s="1445"/>
      <c r="F54" s="1445"/>
      <c r="G54" s="1445"/>
      <c r="H54" s="1445"/>
      <c r="I54" s="1445"/>
      <c r="J54" s="1445"/>
      <c r="K54" s="1433" t="s">
        <v>1482</v>
      </c>
      <c r="M54" s="56"/>
      <c r="N54" s="56"/>
      <c r="O54" s="56"/>
      <c r="R54" s="1444"/>
      <c r="AH54" s="56"/>
      <c r="AI54" s="56"/>
      <c r="AJ54" s="56"/>
      <c r="AK54" s="56"/>
      <c r="AL54" s="56"/>
      <c r="AM54" s="56"/>
    </row>
    <row r="55" spans="1:39" s="1387" customFormat="1">
      <c r="B55" s="1439"/>
      <c r="C55" s="1445"/>
      <c r="D55" s="1445"/>
      <c r="E55" s="1445"/>
      <c r="F55" s="1445"/>
      <c r="G55" s="1445"/>
      <c r="H55" s="1445"/>
      <c r="I55" s="1445"/>
      <c r="J55" s="1445"/>
      <c r="K55" s="1433" t="s">
        <v>1483</v>
      </c>
      <c r="M55" s="56"/>
      <c r="N55" s="56"/>
      <c r="O55" s="56"/>
      <c r="AH55" s="56"/>
      <c r="AI55" s="56"/>
      <c r="AJ55" s="56"/>
      <c r="AK55" s="56"/>
      <c r="AL55" s="56"/>
      <c r="AM55" s="56"/>
    </row>
    <row r="56" spans="1:39" s="1387" customFormat="1" ht="16.5" thickBot="1">
      <c r="A56" s="1434" t="s">
        <v>1484</v>
      </c>
      <c r="B56" s="1439"/>
      <c r="K56" s="1387" t="s">
        <v>1485</v>
      </c>
      <c r="M56" s="56"/>
      <c r="N56" s="56"/>
      <c r="O56" s="56"/>
      <c r="AH56" s="56"/>
      <c r="AI56" s="56"/>
      <c r="AJ56" s="56"/>
      <c r="AK56" s="56"/>
      <c r="AL56" s="56"/>
      <c r="AM56" s="56"/>
    </row>
    <row r="57" spans="1:39" s="1387" customFormat="1">
      <c r="K57" s="1387" t="s">
        <v>1486</v>
      </c>
      <c r="M57" s="56"/>
      <c r="N57" s="56"/>
      <c r="O57" s="56"/>
      <c r="AH57" s="56"/>
      <c r="AI57" s="56"/>
      <c r="AJ57" s="56"/>
      <c r="AK57" s="56"/>
      <c r="AL57" s="56"/>
      <c r="AM57" s="56"/>
    </row>
    <row r="58" spans="1:39" s="1387" customFormat="1">
      <c r="K58" s="1387" t="s">
        <v>1487</v>
      </c>
      <c r="M58" s="56"/>
      <c r="N58" s="56"/>
      <c r="O58" s="56"/>
      <c r="AH58" s="56"/>
      <c r="AI58" s="56"/>
      <c r="AJ58" s="56"/>
      <c r="AK58" s="56"/>
      <c r="AL58" s="56"/>
      <c r="AM58" s="56"/>
    </row>
    <row r="59" spans="1:39" s="1387" customFormat="1">
      <c r="K59" s="1387" t="s">
        <v>1488</v>
      </c>
      <c r="M59" s="56"/>
      <c r="N59" s="56"/>
      <c r="O59" s="56"/>
      <c r="AH59" s="56"/>
      <c r="AI59" s="56"/>
      <c r="AJ59" s="56"/>
      <c r="AK59" s="56"/>
      <c r="AL59" s="56"/>
      <c r="AM59" s="56"/>
    </row>
    <row r="60" spans="1:39" s="1387" customFormat="1" ht="16.5" thickBot="1">
      <c r="A60" s="1434" t="s">
        <v>1489</v>
      </c>
      <c r="B60" s="1435"/>
      <c r="J60" s="1439"/>
      <c r="K60" s="1387" t="s">
        <v>1490</v>
      </c>
      <c r="M60" s="56"/>
      <c r="N60" s="56"/>
      <c r="O60" s="56"/>
      <c r="AH60" s="56"/>
      <c r="AI60" s="56"/>
      <c r="AJ60" s="56"/>
      <c r="AK60" s="56"/>
      <c r="AL60" s="56"/>
      <c r="AM60" s="56"/>
    </row>
    <row r="61" spans="1:39" s="1387" customFormat="1">
      <c r="K61" s="1387" t="s">
        <v>1491</v>
      </c>
      <c r="M61" s="56"/>
      <c r="N61" s="56"/>
      <c r="O61" s="56"/>
      <c r="AH61" s="56"/>
      <c r="AI61" s="56"/>
      <c r="AJ61" s="56"/>
      <c r="AK61" s="56"/>
      <c r="AL61" s="56"/>
      <c r="AM61" s="56"/>
    </row>
    <row r="62" spans="1:39" s="1387" customFormat="1">
      <c r="C62" s="3115" t="s">
        <v>1492</v>
      </c>
      <c r="D62" s="3116"/>
      <c r="E62" s="3116"/>
      <c r="F62" s="3116"/>
      <c r="G62" s="3116"/>
      <c r="H62" s="3116"/>
      <c r="I62" s="3116"/>
      <c r="J62" s="3116"/>
      <c r="K62" s="1387" t="s">
        <v>1493</v>
      </c>
      <c r="M62" s="56"/>
      <c r="N62" s="56"/>
      <c r="O62" s="56"/>
      <c r="AH62" s="56"/>
      <c r="AI62" s="56"/>
      <c r="AJ62" s="56"/>
      <c r="AK62" s="56"/>
      <c r="AL62" s="56"/>
      <c r="AM62" s="56"/>
    </row>
    <row r="63" spans="1:39" s="1387" customFormat="1">
      <c r="C63" s="3116"/>
      <c r="D63" s="3116"/>
      <c r="E63" s="3116"/>
      <c r="F63" s="3116"/>
      <c r="G63" s="3116"/>
      <c r="H63" s="3116"/>
      <c r="I63" s="3116"/>
      <c r="J63" s="3116"/>
      <c r="K63" s="1387" t="s">
        <v>1494</v>
      </c>
      <c r="M63" s="56"/>
      <c r="N63" s="56"/>
      <c r="O63" s="56"/>
      <c r="AH63" s="56"/>
      <c r="AI63" s="56"/>
      <c r="AJ63" s="56"/>
      <c r="AK63" s="56"/>
      <c r="AL63" s="56"/>
      <c r="AM63" s="56"/>
    </row>
    <row r="64" spans="1:39" s="1387" customFormat="1" ht="16.5" thickBot="1">
      <c r="A64" s="1434" t="s">
        <v>1495</v>
      </c>
      <c r="B64" s="1435"/>
      <c r="C64" s="1446" t="s">
        <v>1496</v>
      </c>
      <c r="D64" s="1446" t="s">
        <v>1497</v>
      </c>
      <c r="E64" s="1446"/>
      <c r="F64" s="1439"/>
      <c r="G64" s="1439"/>
      <c r="H64" s="1439"/>
      <c r="I64" s="1439"/>
      <c r="J64" s="1439"/>
      <c r="M64" s="56"/>
      <c r="N64" s="56"/>
      <c r="O64" s="56"/>
      <c r="AH64" s="56"/>
      <c r="AI64" s="56"/>
      <c r="AJ64" s="56"/>
      <c r="AK64" s="56"/>
      <c r="AL64" s="56"/>
      <c r="AM64" s="56"/>
    </row>
    <row r="65" spans="4:39" s="1387" customFormat="1">
      <c r="M65" s="56"/>
      <c r="N65" s="56"/>
      <c r="O65" s="56"/>
      <c r="AH65" s="56"/>
      <c r="AI65" s="56"/>
      <c r="AJ65" s="56"/>
      <c r="AK65" s="56"/>
      <c r="AL65" s="56"/>
      <c r="AM65" s="56"/>
    </row>
    <row r="66" spans="4:39" s="1387" customFormat="1">
      <c r="J66" s="1447"/>
      <c r="AH66" s="56"/>
      <c r="AI66" s="56"/>
      <c r="AJ66" s="56"/>
      <c r="AK66" s="56"/>
      <c r="AL66" s="56"/>
      <c r="AM66" s="56"/>
    </row>
    <row r="67" spans="4:39" s="1387" customFormat="1">
      <c r="G67" s="1444"/>
      <c r="H67" s="1444"/>
      <c r="I67" s="1444"/>
      <c r="J67" s="1448"/>
      <c r="AH67" s="56"/>
      <c r="AI67" s="56"/>
      <c r="AJ67" s="56"/>
      <c r="AK67" s="56"/>
      <c r="AL67" s="56"/>
      <c r="AM67" s="56"/>
    </row>
    <row r="68" spans="4:39" s="1387" customFormat="1">
      <c r="J68" s="1447"/>
      <c r="AH68" s="56"/>
      <c r="AI68" s="56"/>
      <c r="AJ68" s="56"/>
      <c r="AK68" s="56"/>
      <c r="AL68" s="56"/>
      <c r="AM68" s="56"/>
    </row>
    <row r="69" spans="4:39" s="1387" customFormat="1">
      <c r="D69" s="1449"/>
      <c r="E69" s="1449"/>
      <c r="J69" s="1449"/>
      <c r="K69" s="1449"/>
      <c r="AH69" s="56"/>
      <c r="AI69" s="56"/>
      <c r="AJ69" s="56"/>
      <c r="AK69" s="56"/>
      <c r="AL69" s="56"/>
      <c r="AM69" s="56"/>
    </row>
    <row r="70" spans="4:39" s="1387" customFormat="1" ht="20.25">
      <c r="D70" s="1449"/>
      <c r="E70" s="1449"/>
      <c r="F70" s="1450"/>
      <c r="G70" s="1450"/>
      <c r="H70" s="1450"/>
      <c r="I70" s="1450"/>
      <c r="J70" s="1449"/>
      <c r="K70" s="1449"/>
      <c r="AH70" s="56"/>
      <c r="AI70" s="56"/>
      <c r="AJ70" s="56"/>
      <c r="AK70" s="56"/>
      <c r="AL70" s="56"/>
      <c r="AM70" s="56"/>
    </row>
    <row r="71" spans="4:39" s="1387" customFormat="1" ht="20.25">
      <c r="D71" s="1449"/>
      <c r="E71" s="1449"/>
      <c r="F71" s="1450" t="s">
        <v>1498</v>
      </c>
      <c r="G71" s="1450"/>
      <c r="H71" s="1450"/>
      <c r="I71" s="1450"/>
      <c r="J71" s="1449"/>
      <c r="K71" s="1449"/>
      <c r="AH71" s="56"/>
      <c r="AI71" s="56"/>
      <c r="AJ71" s="56"/>
      <c r="AK71" s="56"/>
      <c r="AL71" s="56"/>
      <c r="AM71" s="56"/>
    </row>
    <row r="72" spans="4:39" s="1387" customFormat="1">
      <c r="D72" s="1449"/>
      <c r="E72" s="1449"/>
      <c r="F72" s="1449"/>
      <c r="G72" s="1449"/>
      <c r="H72" s="1449"/>
      <c r="I72" s="1449"/>
      <c r="J72" s="1449"/>
      <c r="K72" s="1449"/>
      <c r="AH72" s="56"/>
      <c r="AI72" s="56"/>
      <c r="AJ72" s="56"/>
      <c r="AK72" s="56"/>
      <c r="AL72" s="56"/>
      <c r="AM72" s="56"/>
    </row>
    <row r="73" spans="4:39" s="1387" customFormat="1">
      <c r="D73" s="1449"/>
      <c r="E73" s="1449"/>
      <c r="F73" s="1449"/>
      <c r="G73" s="1449"/>
      <c r="H73" s="1449"/>
      <c r="I73" s="1449"/>
      <c r="J73" s="1449"/>
      <c r="K73" s="1449"/>
      <c r="AH73" s="56"/>
      <c r="AI73" s="56"/>
      <c r="AJ73" s="56"/>
      <c r="AK73" s="56"/>
      <c r="AL73" s="56"/>
      <c r="AM73" s="56"/>
    </row>
    <row r="74" spans="4:39" s="1387" customFormat="1">
      <c r="D74" s="1449"/>
      <c r="E74" s="1449"/>
      <c r="F74" s="1449"/>
      <c r="G74" s="1449"/>
      <c r="H74" s="1449"/>
      <c r="I74" s="1449"/>
      <c r="J74" s="1449"/>
      <c r="K74" s="1449"/>
      <c r="AH74" s="56"/>
      <c r="AI74" s="56"/>
      <c r="AJ74" s="56"/>
      <c r="AK74" s="56"/>
      <c r="AL74" s="56"/>
      <c r="AM74" s="56"/>
    </row>
    <row r="75" spans="4:39" s="1387" customFormat="1">
      <c r="D75" s="1449"/>
      <c r="E75" s="1449"/>
      <c r="F75" s="1449"/>
      <c r="G75" s="1449"/>
      <c r="H75" s="1449"/>
      <c r="I75" s="1449"/>
      <c r="J75" s="1449"/>
      <c r="K75" s="1449"/>
      <c r="AH75" s="56"/>
      <c r="AI75" s="56"/>
      <c r="AJ75" s="56"/>
      <c r="AK75" s="56"/>
      <c r="AL75" s="56"/>
      <c r="AM75" s="56"/>
    </row>
    <row r="76" spans="4:39" s="1387" customFormat="1">
      <c r="D76" s="1449"/>
      <c r="E76" s="1449"/>
      <c r="F76" s="1449"/>
      <c r="G76" s="1449"/>
      <c r="H76" s="1449"/>
      <c r="I76" s="1449"/>
      <c r="J76" s="1449"/>
      <c r="K76" s="1449"/>
      <c r="P76" s="1451"/>
      <c r="Q76" s="1451"/>
      <c r="R76" s="1451"/>
      <c r="S76" s="1451"/>
      <c r="T76" s="1452"/>
      <c r="U76" s="1453"/>
      <c r="V76" s="1445"/>
      <c r="W76" s="1452"/>
      <c r="X76" s="1454"/>
      <c r="Y76" s="1445"/>
      <c r="Z76" s="1445"/>
      <c r="AA76" s="1451"/>
      <c r="AH76" s="56"/>
      <c r="AI76" s="56"/>
      <c r="AJ76" s="56"/>
      <c r="AK76" s="56"/>
      <c r="AL76" s="56"/>
      <c r="AM76" s="56"/>
    </row>
    <row r="77" spans="4:39" s="1387" customFormat="1">
      <c r="D77" s="1449"/>
      <c r="E77" s="1449"/>
      <c r="P77" s="1445"/>
      <c r="Q77" s="1455"/>
      <c r="R77" s="1456"/>
      <c r="S77" s="1457"/>
      <c r="T77" s="1454"/>
      <c r="U77" s="1454"/>
      <c r="V77" s="1454"/>
      <c r="W77" s="1458"/>
      <c r="X77" s="1454"/>
      <c r="Y77" s="1454"/>
      <c r="Z77" s="1439"/>
      <c r="AA77" s="1457"/>
      <c r="AH77" s="56"/>
      <c r="AI77" s="56"/>
      <c r="AJ77" s="56"/>
      <c r="AK77" s="56"/>
      <c r="AL77" s="56"/>
      <c r="AM77" s="56"/>
    </row>
    <row r="78" spans="4:39" s="1387" customFormat="1">
      <c r="D78" s="1449"/>
      <c r="E78" s="1449"/>
      <c r="AH78" s="56"/>
      <c r="AI78" s="56"/>
      <c r="AJ78" s="56"/>
      <c r="AK78" s="56"/>
      <c r="AL78" s="56"/>
      <c r="AM78" s="56"/>
    </row>
    <row r="79" spans="4:39" s="1387" customFormat="1">
      <c r="D79" s="1449"/>
      <c r="E79" s="1449"/>
      <c r="F79" s="1459" t="s">
        <v>1499</v>
      </c>
      <c r="G79" s="1459" t="s">
        <v>600</v>
      </c>
      <c r="H79" s="1459" t="s">
        <v>1500</v>
      </c>
      <c r="I79" s="1459"/>
      <c r="AH79" s="56"/>
      <c r="AI79" s="56"/>
      <c r="AJ79" s="56"/>
      <c r="AK79" s="56"/>
      <c r="AL79" s="56"/>
      <c r="AM79" s="56"/>
    </row>
    <row r="80" spans="4:39" s="1387" customFormat="1">
      <c r="D80" s="1449"/>
      <c r="E80" s="1449"/>
      <c r="F80" s="1459" t="s">
        <v>201</v>
      </c>
      <c r="G80" s="1459" t="s">
        <v>600</v>
      </c>
      <c r="H80" s="1459" t="s">
        <v>1501</v>
      </c>
      <c r="I80" s="1459"/>
      <c r="AH80" s="56"/>
      <c r="AI80" s="56"/>
      <c r="AJ80" s="56"/>
      <c r="AK80" s="56"/>
      <c r="AL80" s="56"/>
      <c r="AM80" s="56"/>
    </row>
    <row r="81" spans="1:39" s="1387" customFormat="1" ht="16.5">
      <c r="D81" s="1449"/>
      <c r="E81" s="1449"/>
      <c r="F81" s="1459" t="s">
        <v>202</v>
      </c>
      <c r="G81" s="1459" t="s">
        <v>600</v>
      </c>
      <c r="H81" s="1459" t="s">
        <v>1502</v>
      </c>
      <c r="I81" s="1459"/>
      <c r="AH81" s="56"/>
      <c r="AI81" s="56"/>
      <c r="AJ81" s="56"/>
      <c r="AK81" s="56"/>
      <c r="AL81" s="56"/>
      <c r="AM81" s="56"/>
    </row>
    <row r="82" spans="1:39" s="1387" customFormat="1">
      <c r="D82" s="1449"/>
      <c r="E82" s="1449"/>
      <c r="F82" s="1449"/>
      <c r="G82" s="1449"/>
      <c r="H82" s="1449"/>
      <c r="I82" s="1449"/>
      <c r="AH82" s="56"/>
      <c r="AI82" s="56"/>
      <c r="AJ82" s="56"/>
      <c r="AK82" s="56"/>
      <c r="AL82" s="56"/>
      <c r="AM82" s="56"/>
    </row>
    <row r="83" spans="1:39" s="1387" customFormat="1">
      <c r="D83" s="1449"/>
      <c r="E83" s="1449"/>
      <c r="F83" s="1460" t="s">
        <v>1503</v>
      </c>
      <c r="G83" s="1460"/>
      <c r="H83" s="1460"/>
      <c r="I83" s="1460"/>
      <c r="J83" s="1461"/>
      <c r="K83" s="1460"/>
      <c r="AH83" s="56"/>
      <c r="AI83" s="56"/>
      <c r="AJ83" s="56"/>
      <c r="AK83" s="56"/>
      <c r="AL83" s="56"/>
      <c r="AM83" s="56"/>
    </row>
    <row r="84" spans="1:39" s="1387" customFormat="1">
      <c r="D84" s="1449"/>
      <c r="E84" s="1449"/>
      <c r="F84" s="1462" t="s">
        <v>1504</v>
      </c>
      <c r="G84" s="1462"/>
      <c r="H84" s="1462"/>
      <c r="I84" s="1462"/>
      <c r="J84" s="1461"/>
      <c r="K84" s="1460"/>
      <c r="M84" s="1429"/>
      <c r="AH84" s="56"/>
      <c r="AI84" s="56"/>
      <c r="AJ84" s="56"/>
      <c r="AK84" s="56"/>
      <c r="AL84" s="56"/>
      <c r="AM84" s="56"/>
    </row>
    <row r="85" spans="1:39" s="1387" customFormat="1" ht="15.75">
      <c r="D85" s="1449"/>
      <c r="E85" s="1449"/>
      <c r="F85" s="1463" t="s">
        <v>1505</v>
      </c>
      <c r="G85" s="1464"/>
      <c r="H85" s="1464"/>
      <c r="I85" s="1464"/>
      <c r="J85" s="1465"/>
      <c r="K85" s="1460"/>
      <c r="M85" s="1429"/>
      <c r="AH85" s="56"/>
      <c r="AI85" s="56"/>
      <c r="AJ85" s="56"/>
      <c r="AK85" s="56"/>
      <c r="AL85" s="56"/>
      <c r="AM85" s="56"/>
    </row>
    <row r="86" spans="1:39" s="1387" customFormat="1">
      <c r="D86" s="1449"/>
      <c r="E86" s="1449"/>
      <c r="G86" s="1463"/>
      <c r="H86" s="1463"/>
      <c r="I86" s="1463"/>
      <c r="J86" s="1461"/>
      <c r="K86" s="1460"/>
      <c r="M86" s="1429"/>
      <c r="AH86" s="56"/>
      <c r="AI86" s="56"/>
      <c r="AJ86" s="56"/>
      <c r="AK86" s="56"/>
      <c r="AL86" s="56"/>
      <c r="AM86" s="56"/>
    </row>
    <row r="87" spans="1:39" s="1387" customFormat="1" ht="15.75">
      <c r="D87" s="1449"/>
      <c r="E87" s="1449"/>
      <c r="F87" s="1464"/>
      <c r="G87" s="1464"/>
      <c r="H87" s="1464"/>
      <c r="I87" s="1464"/>
      <c r="J87" s="1465"/>
      <c r="K87" s="1460"/>
      <c r="P87" s="1387">
        <v>1</v>
      </c>
      <c r="Q87" s="1387">
        <v>2</v>
      </c>
      <c r="AH87" s="56"/>
      <c r="AI87" s="56"/>
      <c r="AJ87" s="56"/>
      <c r="AK87" s="56"/>
      <c r="AL87" s="56"/>
      <c r="AM87" s="56"/>
    </row>
    <row r="88" spans="1:39" s="1387" customFormat="1" ht="15.75">
      <c r="F88" s="1466"/>
      <c r="G88" s="1466"/>
      <c r="H88" s="1466"/>
      <c r="I88" s="1466"/>
      <c r="J88" s="1467"/>
      <c r="K88" s="1468"/>
      <c r="L88" s="1468"/>
      <c r="M88" s="1468"/>
      <c r="N88" s="1468"/>
      <c r="O88" s="1468"/>
      <c r="P88" s="1468"/>
      <c r="Q88" s="1468"/>
      <c r="R88" s="1468"/>
      <c r="AH88" s="56"/>
      <c r="AI88" s="56"/>
      <c r="AJ88" s="56"/>
      <c r="AK88" s="56"/>
      <c r="AL88" s="56"/>
      <c r="AM88" s="56"/>
    </row>
    <row r="89" spans="1:39" s="1387" customFormat="1">
      <c r="F89" s="1466"/>
      <c r="G89" s="1466"/>
      <c r="H89" s="1466"/>
      <c r="I89" s="1466"/>
      <c r="J89" s="1467"/>
      <c r="K89" s="1453"/>
      <c r="L89" s="1453"/>
      <c r="M89" s="1453"/>
      <c r="N89" s="1453"/>
      <c r="O89" s="1469"/>
      <c r="P89" s="1469"/>
      <c r="Q89" s="1469"/>
      <c r="R89" s="1439"/>
      <c r="AH89" s="56"/>
      <c r="AI89" s="56"/>
      <c r="AJ89" s="56"/>
      <c r="AK89" s="56"/>
      <c r="AL89" s="56"/>
      <c r="AM89" s="56"/>
    </row>
    <row r="90" spans="1:39" s="1387" customFormat="1" ht="20.25">
      <c r="A90" s="1450" t="s">
        <v>1785</v>
      </c>
      <c r="F90" s="1470"/>
      <c r="G90" s="1470"/>
      <c r="H90" s="1470"/>
      <c r="I90" s="1470"/>
      <c r="J90" s="1467"/>
      <c r="K90" s="1455"/>
      <c r="L90" s="1455"/>
      <c r="M90" s="1456"/>
      <c r="N90" s="1456"/>
      <c r="O90" s="1471"/>
      <c r="P90" s="1472"/>
      <c r="Q90" s="1472"/>
      <c r="R90" s="1473"/>
      <c r="AH90" s="56"/>
      <c r="AI90" s="56"/>
      <c r="AJ90" s="56"/>
      <c r="AK90" s="56"/>
      <c r="AL90" s="56"/>
      <c r="AM90" s="56"/>
    </row>
    <row r="91" spans="1:39" s="1387" customFormat="1" ht="20.25">
      <c r="A91" s="1450"/>
      <c r="F91" s="1470"/>
      <c r="G91" s="1470"/>
      <c r="H91" s="1470"/>
      <c r="I91" s="1470"/>
      <c r="J91" s="1467"/>
      <c r="K91" s="1455"/>
      <c r="L91" s="1455"/>
      <c r="M91" s="1456"/>
      <c r="N91" s="1456"/>
      <c r="O91" s="1471"/>
      <c r="P91" s="1472"/>
      <c r="Q91" s="1472"/>
      <c r="R91" s="1473"/>
      <c r="AH91" s="56"/>
      <c r="AI91" s="56"/>
      <c r="AJ91" s="56"/>
      <c r="AK91" s="56"/>
      <c r="AL91" s="56"/>
      <c r="AM91" s="56"/>
    </row>
    <row r="92" spans="1:39" s="1387" customFormat="1" ht="20.25">
      <c r="A92" s="1450"/>
      <c r="F92" s="1470"/>
      <c r="G92" s="1470"/>
      <c r="H92" s="1470"/>
      <c r="I92" s="1470"/>
      <c r="J92" s="1467"/>
      <c r="K92" s="1455"/>
      <c r="L92" s="1455"/>
      <c r="M92" s="1456"/>
      <c r="N92" s="1456"/>
      <c r="O92" s="1471"/>
      <c r="P92" s="1472"/>
      <c r="Q92" s="1472"/>
      <c r="R92" s="1473"/>
      <c r="AH92" s="56"/>
      <c r="AI92" s="56"/>
      <c r="AJ92" s="56"/>
      <c r="AK92" s="56"/>
      <c r="AL92" s="56"/>
      <c r="AM92" s="56"/>
    </row>
    <row r="93" spans="1:39" s="1387" customFormat="1" ht="20.25">
      <c r="A93" s="1450" t="s">
        <v>1506</v>
      </c>
      <c r="F93" s="1470"/>
      <c r="G93" s="1470"/>
      <c r="H93" s="1470"/>
      <c r="I93" s="1470"/>
      <c r="J93" s="1467"/>
      <c r="K93" s="1455"/>
      <c r="L93" s="1455"/>
      <c r="M93" s="1456"/>
      <c r="N93" s="1456"/>
      <c r="O93" s="1471"/>
      <c r="P93" s="1472"/>
      <c r="Q93" s="1472"/>
      <c r="R93" s="1473"/>
      <c r="AH93" s="56"/>
      <c r="AI93" s="56"/>
      <c r="AJ93" s="56"/>
      <c r="AK93" s="56"/>
      <c r="AL93" s="56"/>
      <c r="AM93" s="56"/>
    </row>
    <row r="94" spans="1:39" s="1387" customFormat="1">
      <c r="F94" s="1474"/>
      <c r="G94" s="1474"/>
      <c r="H94" s="1474"/>
      <c r="I94" s="1474"/>
      <c r="K94" s="1455"/>
      <c r="L94" s="1455"/>
      <c r="M94" s="1456"/>
      <c r="N94" s="1456"/>
      <c r="O94" s="1471"/>
      <c r="P94" s="1472"/>
      <c r="Q94" s="1472"/>
      <c r="R94" s="1473"/>
      <c r="AH94" s="56"/>
      <c r="AI94" s="56"/>
      <c r="AJ94" s="56"/>
      <c r="AK94" s="56"/>
      <c r="AL94" s="56"/>
      <c r="AM94" s="56"/>
    </row>
    <row r="95" spans="1:39" s="1387" customFormat="1">
      <c r="AH95" s="56"/>
      <c r="AI95" s="56"/>
      <c r="AJ95" s="56"/>
      <c r="AK95" s="56"/>
      <c r="AL95" s="56"/>
      <c r="AM95" s="56"/>
    </row>
    <row r="96" spans="1:39" s="1387" customFormat="1">
      <c r="AH96" s="56"/>
      <c r="AI96" s="56"/>
      <c r="AJ96" s="56"/>
      <c r="AK96" s="56"/>
      <c r="AL96" s="56"/>
      <c r="AM96" s="56"/>
    </row>
    <row r="97" spans="1:39" s="1387" customFormat="1">
      <c r="AH97" s="56"/>
      <c r="AI97" s="56"/>
      <c r="AJ97" s="56"/>
      <c r="AK97" s="56"/>
      <c r="AL97" s="56"/>
      <c r="AM97" s="56"/>
    </row>
    <row r="98" spans="1:39" s="1387" customFormat="1">
      <c r="AH98" s="56"/>
      <c r="AI98" s="56"/>
      <c r="AJ98" s="56"/>
      <c r="AK98" s="56"/>
      <c r="AL98" s="56"/>
      <c r="AM98" s="56"/>
    </row>
    <row r="99" spans="1:39" s="1387" customFormat="1" ht="20.25">
      <c r="A99" s="1450" t="s">
        <v>1507</v>
      </c>
      <c r="AH99" s="56"/>
      <c r="AI99" s="56"/>
      <c r="AJ99" s="56"/>
      <c r="AK99" s="56"/>
      <c r="AL99" s="56"/>
      <c r="AM99" s="56"/>
    </row>
    <row r="100" spans="1:39" s="1387" customFormat="1">
      <c r="AH100" s="56"/>
      <c r="AI100" s="56"/>
      <c r="AJ100" s="56"/>
      <c r="AK100" s="56"/>
      <c r="AL100" s="56"/>
      <c r="AM100" s="56"/>
    </row>
    <row r="101" spans="1:39" s="1387" customFormat="1">
      <c r="AH101" s="56"/>
      <c r="AI101" s="56"/>
      <c r="AJ101" s="56"/>
      <c r="AK101" s="56"/>
      <c r="AL101" s="56"/>
      <c r="AM101" s="56"/>
    </row>
    <row r="102" spans="1:39" s="1387" customFormat="1">
      <c r="AH102" s="56"/>
      <c r="AI102" s="56"/>
      <c r="AJ102" s="56"/>
      <c r="AK102" s="56"/>
      <c r="AL102" s="56"/>
      <c r="AM102" s="56"/>
    </row>
    <row r="103" spans="1:39" s="1387" customFormat="1">
      <c r="AH103" s="56"/>
      <c r="AI103" s="56"/>
      <c r="AJ103" s="56"/>
      <c r="AK103" s="56"/>
      <c r="AL103" s="56"/>
      <c r="AM103" s="56"/>
    </row>
    <row r="104" spans="1:39" s="1387" customFormat="1">
      <c r="AH104" s="56"/>
      <c r="AI104" s="56"/>
      <c r="AJ104" s="56"/>
      <c r="AK104" s="56"/>
      <c r="AL104" s="56"/>
      <c r="AM104" s="56"/>
    </row>
    <row r="105" spans="1:39" s="1387" customFormat="1">
      <c r="AH105" s="56"/>
      <c r="AI105" s="56"/>
      <c r="AJ105" s="56"/>
      <c r="AK105" s="56"/>
      <c r="AL105" s="56"/>
      <c r="AM105" s="56"/>
    </row>
    <row r="106" spans="1:39" s="1387" customFormat="1">
      <c r="K106" s="1387">
        <v>13.12</v>
      </c>
      <c r="AH106" s="56"/>
      <c r="AI106" s="56"/>
      <c r="AJ106" s="56"/>
      <c r="AK106" s="56"/>
      <c r="AL106" s="56"/>
      <c r="AM106" s="56"/>
    </row>
    <row r="107" spans="1:39" s="1387" customFormat="1">
      <c r="AH107" s="56"/>
      <c r="AI107" s="56"/>
      <c r="AJ107" s="56"/>
      <c r="AK107" s="56"/>
      <c r="AL107" s="56"/>
      <c r="AM107" s="56"/>
    </row>
    <row r="108" spans="1:39" s="1387" customFormat="1">
      <c r="AH108" s="56"/>
      <c r="AI108" s="56"/>
      <c r="AJ108" s="56"/>
      <c r="AK108" s="56"/>
      <c r="AL108" s="56"/>
      <c r="AM108" s="56"/>
    </row>
    <row r="109" spans="1:39" s="1387" customFormat="1">
      <c r="AH109" s="56"/>
      <c r="AI109" s="56"/>
      <c r="AJ109" s="56"/>
      <c r="AK109" s="56"/>
      <c r="AL109" s="56"/>
      <c r="AM109" s="56"/>
    </row>
    <row r="110" spans="1:39" s="1387" customFormat="1">
      <c r="AH110" s="56"/>
      <c r="AI110" s="56"/>
      <c r="AJ110" s="56"/>
      <c r="AK110" s="56"/>
      <c r="AL110" s="56"/>
      <c r="AM110" s="56"/>
    </row>
    <row r="111" spans="1:39" s="1387" customFormat="1">
      <c r="AH111" s="56"/>
      <c r="AI111" s="56"/>
      <c r="AJ111" s="56"/>
      <c r="AK111" s="56"/>
      <c r="AL111" s="56"/>
      <c r="AM111" s="56"/>
    </row>
    <row r="112" spans="1:39" s="1387" customFormat="1">
      <c r="AH112" s="56"/>
      <c r="AI112" s="56"/>
      <c r="AJ112" s="56"/>
      <c r="AK112" s="56"/>
      <c r="AL112" s="56"/>
      <c r="AM112" s="56"/>
    </row>
    <row r="113" spans="1:39" s="1387" customFormat="1" ht="20.25">
      <c r="A113" s="1450" t="s">
        <v>1507</v>
      </c>
      <c r="AH113" s="56"/>
      <c r="AI113" s="56"/>
      <c r="AJ113" s="56"/>
      <c r="AK113" s="56"/>
      <c r="AL113" s="56"/>
      <c r="AM113" s="56"/>
    </row>
    <row r="114" spans="1:39" s="1387" customFormat="1">
      <c r="AH114" s="56"/>
      <c r="AI114" s="56"/>
      <c r="AJ114" s="56"/>
      <c r="AK114" s="56"/>
      <c r="AL114" s="56"/>
      <c r="AM114" s="56"/>
    </row>
    <row r="115" spans="1:39" s="1387" customFormat="1">
      <c r="AH115" s="56"/>
      <c r="AI115" s="56"/>
      <c r="AJ115" s="56"/>
      <c r="AK115" s="56"/>
      <c r="AL115" s="56"/>
      <c r="AM115" s="56"/>
    </row>
    <row r="116" spans="1:39" s="1387" customFormat="1">
      <c r="AH116" s="56"/>
      <c r="AI116" s="56"/>
      <c r="AJ116" s="56"/>
      <c r="AK116" s="56"/>
      <c r="AL116" s="56"/>
      <c r="AM116" s="56"/>
    </row>
    <row r="117" spans="1:39" s="1387" customFormat="1">
      <c r="AH117" s="56"/>
      <c r="AI117" s="56"/>
      <c r="AJ117" s="56"/>
      <c r="AK117" s="56"/>
      <c r="AL117" s="56"/>
      <c r="AM117" s="56"/>
    </row>
    <row r="118" spans="1:39" s="1387" customFormat="1">
      <c r="AH118" s="56"/>
      <c r="AI118" s="56"/>
      <c r="AJ118" s="56"/>
      <c r="AK118" s="56"/>
      <c r="AL118" s="56"/>
      <c r="AM118" s="56"/>
    </row>
    <row r="119" spans="1:39" s="1387" customFormat="1">
      <c r="AH119" s="56"/>
      <c r="AI119" s="56"/>
      <c r="AJ119" s="56"/>
      <c r="AK119" s="56"/>
      <c r="AL119" s="56"/>
      <c r="AM119" s="56"/>
    </row>
    <row r="120" spans="1:39" s="1387" customFormat="1">
      <c r="AH120" s="56"/>
      <c r="AI120" s="56"/>
      <c r="AJ120" s="56"/>
      <c r="AK120" s="56"/>
      <c r="AL120" s="56"/>
      <c r="AM120" s="56"/>
    </row>
    <row r="121" spans="1:39" s="1387" customFormat="1">
      <c r="AH121" s="56"/>
      <c r="AI121" s="56"/>
      <c r="AJ121" s="56"/>
      <c r="AK121" s="56"/>
      <c r="AL121" s="56"/>
      <c r="AM121" s="56"/>
    </row>
    <row r="122" spans="1:39" s="1387" customFormat="1">
      <c r="AH122" s="56"/>
      <c r="AI122" s="56"/>
      <c r="AJ122" s="56"/>
      <c r="AK122" s="56"/>
      <c r="AL122" s="56"/>
      <c r="AM122" s="56"/>
    </row>
    <row r="123" spans="1:39" s="1387" customFormat="1">
      <c r="AH123" s="56"/>
      <c r="AI123" s="56"/>
      <c r="AJ123" s="56"/>
      <c r="AK123" s="56"/>
      <c r="AL123" s="56"/>
      <c r="AM123" s="56"/>
    </row>
    <row r="124" spans="1:39" s="1387" customFormat="1">
      <c r="AH124" s="56"/>
      <c r="AI124" s="56"/>
      <c r="AJ124" s="56"/>
      <c r="AK124" s="56"/>
      <c r="AL124" s="56"/>
      <c r="AM124" s="56"/>
    </row>
    <row r="125" spans="1:39" s="1387" customFormat="1" ht="15.75">
      <c r="F125" s="1468"/>
      <c r="G125" s="1468"/>
      <c r="H125" s="1468"/>
      <c r="I125" s="1468"/>
      <c r="J125" s="1468"/>
      <c r="K125" s="1468"/>
      <c r="L125" s="1468"/>
      <c r="AH125" s="56"/>
      <c r="AI125" s="56"/>
      <c r="AJ125" s="56"/>
      <c r="AK125" s="56"/>
      <c r="AL125" s="56"/>
      <c r="AM125" s="56"/>
    </row>
    <row r="126" spans="1:39" s="1387" customFormat="1">
      <c r="F126" s="1453"/>
      <c r="G126" s="1453"/>
      <c r="H126" s="1453"/>
      <c r="I126" s="1469"/>
      <c r="J126" s="1469"/>
      <c r="K126" s="1469"/>
      <c r="L126" s="1469"/>
      <c r="AH126" s="56"/>
      <c r="AI126" s="56"/>
      <c r="AJ126" s="56"/>
      <c r="AK126" s="56"/>
      <c r="AL126" s="56"/>
      <c r="AM126" s="56"/>
    </row>
    <row r="127" spans="1:39" s="1387" customFormat="1">
      <c r="F127" s="1455"/>
      <c r="G127" s="1456"/>
      <c r="H127" s="1456"/>
      <c r="I127" s="1475"/>
      <c r="J127" s="1472"/>
      <c r="K127" s="1472"/>
      <c r="L127" s="1472"/>
      <c r="AH127" s="56"/>
      <c r="AI127" s="56"/>
      <c r="AJ127" s="56"/>
      <c r="AK127" s="56"/>
      <c r="AL127" s="56"/>
      <c r="AM127" s="56"/>
    </row>
    <row r="128" spans="1:39" s="1387" customFormat="1">
      <c r="F128" s="1455"/>
      <c r="G128" s="1456"/>
      <c r="H128" s="1456"/>
      <c r="I128" s="1475"/>
      <c r="J128" s="1472"/>
      <c r="K128" s="1472"/>
      <c r="L128" s="1472"/>
      <c r="AH128" s="56"/>
      <c r="AI128" s="56"/>
      <c r="AJ128" s="56"/>
      <c r="AK128" s="56"/>
      <c r="AL128" s="56"/>
      <c r="AM128" s="56"/>
    </row>
    <row r="129" spans="34:39" s="1387" customFormat="1">
      <c r="AH129" s="56"/>
      <c r="AI129" s="56"/>
      <c r="AJ129" s="56"/>
      <c r="AK129" s="56"/>
      <c r="AL129" s="56"/>
      <c r="AM129" s="56"/>
    </row>
    <row r="130" spans="34:39" s="1387" customFormat="1">
      <c r="AH130" s="56"/>
      <c r="AI130" s="56"/>
      <c r="AJ130" s="56"/>
      <c r="AK130" s="56"/>
      <c r="AL130" s="56"/>
      <c r="AM130" s="56"/>
    </row>
    <row r="131" spans="34:39" s="1387" customFormat="1">
      <c r="AH131" s="56"/>
      <c r="AI131" s="56"/>
      <c r="AJ131" s="56"/>
      <c r="AK131" s="56"/>
      <c r="AL131" s="56"/>
      <c r="AM131" s="56"/>
    </row>
    <row r="132" spans="34:39" s="1387" customFormat="1">
      <c r="AH132" s="56"/>
      <c r="AI132" s="56"/>
      <c r="AJ132" s="56"/>
      <c r="AK132" s="56"/>
      <c r="AL132" s="56"/>
      <c r="AM132" s="56"/>
    </row>
    <row r="133" spans="34:39" s="1387" customFormat="1">
      <c r="AH133" s="56"/>
      <c r="AI133" s="56"/>
      <c r="AJ133" s="56"/>
      <c r="AK133" s="56"/>
      <c r="AL133" s="56"/>
      <c r="AM133" s="56"/>
    </row>
    <row r="134" spans="34:39" s="1387" customFormat="1">
      <c r="AH134" s="56"/>
      <c r="AI134" s="56"/>
      <c r="AJ134" s="56"/>
      <c r="AK134" s="56"/>
      <c r="AL134" s="56"/>
      <c r="AM134" s="56"/>
    </row>
    <row r="135" spans="34:39" s="1387" customFormat="1">
      <c r="AH135" s="56"/>
      <c r="AI135" s="56"/>
      <c r="AJ135" s="56"/>
      <c r="AK135" s="56"/>
      <c r="AL135" s="56"/>
      <c r="AM135" s="56"/>
    </row>
    <row r="136" spans="34:39" s="1387" customFormat="1">
      <c r="AH136" s="56"/>
      <c r="AI136" s="56"/>
      <c r="AJ136" s="56"/>
      <c r="AK136" s="56"/>
      <c r="AL136" s="56"/>
      <c r="AM136" s="56"/>
    </row>
    <row r="137" spans="34:39" s="1387" customFormat="1">
      <c r="AH137" s="56"/>
      <c r="AI137" s="56"/>
      <c r="AJ137" s="56"/>
      <c r="AK137" s="56"/>
      <c r="AL137" s="56"/>
      <c r="AM137" s="56"/>
    </row>
    <row r="138" spans="34:39" s="1387" customFormat="1">
      <c r="AH138" s="56"/>
      <c r="AI138" s="56"/>
      <c r="AJ138" s="56"/>
      <c r="AK138" s="56"/>
      <c r="AL138" s="56"/>
      <c r="AM138" s="56"/>
    </row>
    <row r="139" spans="34:39" s="1387" customFormat="1">
      <c r="AH139" s="56"/>
      <c r="AI139" s="56"/>
      <c r="AJ139" s="56"/>
      <c r="AK139" s="56"/>
      <c r="AL139" s="56"/>
      <c r="AM139" s="56"/>
    </row>
    <row r="140" spans="34:39" s="1387" customFormat="1">
      <c r="AH140" s="56"/>
      <c r="AI140" s="56"/>
      <c r="AJ140" s="56"/>
      <c r="AK140" s="56"/>
      <c r="AL140" s="56"/>
      <c r="AM140" s="56"/>
    </row>
    <row r="141" spans="34:39" s="1387" customFormat="1">
      <c r="AH141" s="56"/>
      <c r="AI141" s="56"/>
      <c r="AJ141" s="56"/>
      <c r="AK141" s="56"/>
      <c r="AL141" s="56"/>
      <c r="AM141" s="56"/>
    </row>
    <row r="142" spans="34:39" s="1387" customFormat="1">
      <c r="AH142" s="56"/>
      <c r="AI142" s="56"/>
      <c r="AJ142" s="56"/>
      <c r="AK142" s="56"/>
      <c r="AL142" s="56"/>
      <c r="AM142" s="56"/>
    </row>
    <row r="143" spans="34:39" s="1387" customFormat="1">
      <c r="AH143" s="56"/>
      <c r="AI143" s="56"/>
      <c r="AJ143" s="56"/>
      <c r="AK143" s="56"/>
      <c r="AL143" s="56"/>
      <c r="AM143" s="56"/>
    </row>
    <row r="144" spans="34:39" s="1387" customFormat="1">
      <c r="AH144" s="56"/>
      <c r="AI144" s="56"/>
      <c r="AJ144" s="56"/>
      <c r="AK144" s="56"/>
      <c r="AL144" s="56"/>
      <c r="AM144" s="56"/>
    </row>
    <row r="145" spans="2:39" s="1387" customFormat="1">
      <c r="AH145" s="56"/>
      <c r="AI145" s="56"/>
      <c r="AJ145" s="56"/>
      <c r="AK145" s="56"/>
      <c r="AL145" s="56"/>
      <c r="AM145" s="56"/>
    </row>
    <row r="146" spans="2:39" s="1387" customFormat="1">
      <c r="AH146" s="56"/>
      <c r="AI146" s="56"/>
      <c r="AJ146" s="56"/>
      <c r="AK146" s="56"/>
      <c r="AL146" s="56"/>
      <c r="AM146" s="56"/>
    </row>
    <row r="147" spans="2:39" s="1387" customFormat="1">
      <c r="B147" s="1387">
        <f>POWER(H127*3.6,0.16)</f>
        <v>0</v>
      </c>
      <c r="AH147" s="56"/>
      <c r="AI147" s="56"/>
      <c r="AJ147" s="56"/>
      <c r="AK147" s="56"/>
      <c r="AL147" s="56"/>
      <c r="AM147" s="56"/>
    </row>
    <row r="148" spans="2:39" s="1387" customFormat="1">
      <c r="AH148" s="56"/>
      <c r="AI148" s="56"/>
      <c r="AJ148" s="56"/>
      <c r="AK148" s="56"/>
      <c r="AL148" s="56"/>
      <c r="AM148" s="56"/>
    </row>
    <row r="149" spans="2:39" s="1387" customFormat="1">
      <c r="AH149" s="56"/>
      <c r="AI149" s="56"/>
      <c r="AJ149" s="56"/>
      <c r="AK149" s="56"/>
      <c r="AL149" s="56"/>
      <c r="AM149" s="56"/>
    </row>
    <row r="150" spans="2:39" s="1387" customFormat="1">
      <c r="AH150" s="56"/>
      <c r="AI150" s="56"/>
      <c r="AJ150" s="56"/>
      <c r="AK150" s="56"/>
      <c r="AL150" s="56"/>
      <c r="AM150" s="56"/>
    </row>
    <row r="151" spans="2:39" s="1387" customFormat="1">
      <c r="AH151" s="56"/>
      <c r="AI151" s="56"/>
      <c r="AJ151" s="56"/>
      <c r="AK151" s="56"/>
      <c r="AL151" s="56"/>
      <c r="AM151" s="56"/>
    </row>
  </sheetData>
  <mergeCells count="14">
    <mergeCell ref="C1:E1"/>
    <mergeCell ref="C62:J63"/>
    <mergeCell ref="A10:E10"/>
    <mergeCell ref="C14:D14"/>
    <mergeCell ref="A17:E17"/>
    <mergeCell ref="C22:D22"/>
    <mergeCell ref="A25:E25"/>
    <mergeCell ref="C29:D29"/>
    <mergeCell ref="C21:D21"/>
    <mergeCell ref="A3:E3"/>
    <mergeCell ref="C7:D7"/>
    <mergeCell ref="A32:J32"/>
    <mergeCell ref="A48:J48"/>
    <mergeCell ref="A49:J49"/>
  </mergeCells>
  <conditionalFormatting sqref="F45:I47">
    <cfRule type="cellIs" dxfId="2" priority="1" stopIfTrue="1" operator="lessThan">
      <formula>10</formula>
    </cfRule>
  </conditionalFormatting>
  <hyperlinks>
    <hyperlink ref="C1" location="INDEX!A1" display="INDEX!A1"/>
  </hyperlinks>
  <pageMargins left="0.7" right="0.7" top="0.75" bottom="0.75" header="0.3" footer="0.3"/>
  <pageSetup paperSize="9" orientation="portrait" verticalDpi="0" r:id="rId1"/>
  <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9CC00"/>
  </sheetPr>
  <dimension ref="A1:I26"/>
  <sheetViews>
    <sheetView zoomScaleNormal="100" workbookViewId="0">
      <selection activeCell="C15" sqref="C15:E17"/>
    </sheetView>
  </sheetViews>
  <sheetFormatPr defaultRowHeight="12.75"/>
  <cols>
    <col min="1" max="1" width="9.140625" style="435"/>
    <col min="2" max="2" width="4.7109375" style="435" customWidth="1"/>
    <col min="3" max="3" width="31.28515625" style="435" bestFit="1" customWidth="1"/>
    <col min="4" max="4" width="10" style="435" customWidth="1"/>
    <col min="5" max="5" width="11.140625" style="435" customWidth="1"/>
    <col min="6" max="257" width="9.140625" style="435"/>
    <col min="258" max="258" width="4.7109375" style="435" customWidth="1"/>
    <col min="259" max="259" width="31.28515625" style="435" bestFit="1" customWidth="1"/>
    <col min="260" max="260" width="10" style="435" customWidth="1"/>
    <col min="261" max="513" width="9.140625" style="435"/>
    <col min="514" max="514" width="4.7109375" style="435" customWidth="1"/>
    <col min="515" max="515" width="31.28515625" style="435" bestFit="1" customWidth="1"/>
    <col min="516" max="516" width="10" style="435" customWidth="1"/>
    <col min="517" max="769" width="9.140625" style="435"/>
    <col min="770" max="770" width="4.7109375" style="435" customWidth="1"/>
    <col min="771" max="771" width="31.28515625" style="435" bestFit="1" customWidth="1"/>
    <col min="772" max="772" width="10" style="435" customWidth="1"/>
    <col min="773" max="1025" width="9.140625" style="435"/>
    <col min="1026" max="1026" width="4.7109375" style="435" customWidth="1"/>
    <col min="1027" max="1027" width="31.28515625" style="435" bestFit="1" customWidth="1"/>
    <col min="1028" max="1028" width="10" style="435" customWidth="1"/>
    <col min="1029" max="1281" width="9.140625" style="435"/>
    <col min="1282" max="1282" width="4.7109375" style="435" customWidth="1"/>
    <col min="1283" max="1283" width="31.28515625" style="435" bestFit="1" customWidth="1"/>
    <col min="1284" max="1284" width="10" style="435" customWidth="1"/>
    <col min="1285" max="1537" width="9.140625" style="435"/>
    <col min="1538" max="1538" width="4.7109375" style="435" customWidth="1"/>
    <col min="1539" max="1539" width="31.28515625" style="435" bestFit="1" customWidth="1"/>
    <col min="1540" max="1540" width="10" style="435" customWidth="1"/>
    <col min="1541" max="1793" width="9.140625" style="435"/>
    <col min="1794" max="1794" width="4.7109375" style="435" customWidth="1"/>
    <col min="1795" max="1795" width="31.28515625" style="435" bestFit="1" customWidth="1"/>
    <col min="1796" max="1796" width="10" style="435" customWidth="1"/>
    <col min="1797" max="2049" width="9.140625" style="435"/>
    <col min="2050" max="2050" width="4.7109375" style="435" customWidth="1"/>
    <col min="2051" max="2051" width="31.28515625" style="435" bestFit="1" customWidth="1"/>
    <col min="2052" max="2052" width="10" style="435" customWidth="1"/>
    <col min="2053" max="2305" width="9.140625" style="435"/>
    <col min="2306" max="2306" width="4.7109375" style="435" customWidth="1"/>
    <col min="2307" max="2307" width="31.28515625" style="435" bestFit="1" customWidth="1"/>
    <col min="2308" max="2308" width="10" style="435" customWidth="1"/>
    <col min="2309" max="2561" width="9.140625" style="435"/>
    <col min="2562" max="2562" width="4.7109375" style="435" customWidth="1"/>
    <col min="2563" max="2563" width="31.28515625" style="435" bestFit="1" customWidth="1"/>
    <col min="2564" max="2564" width="10" style="435" customWidth="1"/>
    <col min="2565" max="2817" width="9.140625" style="435"/>
    <col min="2818" max="2818" width="4.7109375" style="435" customWidth="1"/>
    <col min="2819" max="2819" width="31.28515625" style="435" bestFit="1" customWidth="1"/>
    <col min="2820" max="2820" width="10" style="435" customWidth="1"/>
    <col min="2821" max="3073" width="9.140625" style="435"/>
    <col min="3074" max="3074" width="4.7109375" style="435" customWidth="1"/>
    <col min="3075" max="3075" width="31.28515625" style="435" bestFit="1" customWidth="1"/>
    <col min="3076" max="3076" width="10" style="435" customWidth="1"/>
    <col min="3077" max="3329" width="9.140625" style="435"/>
    <col min="3330" max="3330" width="4.7109375" style="435" customWidth="1"/>
    <col min="3331" max="3331" width="31.28515625" style="435" bestFit="1" customWidth="1"/>
    <col min="3332" max="3332" width="10" style="435" customWidth="1"/>
    <col min="3333" max="3585" width="9.140625" style="435"/>
    <col min="3586" max="3586" width="4.7109375" style="435" customWidth="1"/>
    <col min="3587" max="3587" width="31.28515625" style="435" bestFit="1" customWidth="1"/>
    <col min="3588" max="3588" width="10" style="435" customWidth="1"/>
    <col min="3589" max="3841" width="9.140625" style="435"/>
    <col min="3842" max="3842" width="4.7109375" style="435" customWidth="1"/>
    <col min="3843" max="3843" width="31.28515625" style="435" bestFit="1" customWidth="1"/>
    <col min="3844" max="3844" width="10" style="435" customWidth="1"/>
    <col min="3845" max="4097" width="9.140625" style="435"/>
    <col min="4098" max="4098" width="4.7109375" style="435" customWidth="1"/>
    <col min="4099" max="4099" width="31.28515625" style="435" bestFit="1" customWidth="1"/>
    <col min="4100" max="4100" width="10" style="435" customWidth="1"/>
    <col min="4101" max="4353" width="9.140625" style="435"/>
    <col min="4354" max="4354" width="4.7109375" style="435" customWidth="1"/>
    <col min="4355" max="4355" width="31.28515625" style="435" bestFit="1" customWidth="1"/>
    <col min="4356" max="4356" width="10" style="435" customWidth="1"/>
    <col min="4357" max="4609" width="9.140625" style="435"/>
    <col min="4610" max="4610" width="4.7109375" style="435" customWidth="1"/>
    <col min="4611" max="4611" width="31.28515625" style="435" bestFit="1" customWidth="1"/>
    <col min="4612" max="4612" width="10" style="435" customWidth="1"/>
    <col min="4613" max="4865" width="9.140625" style="435"/>
    <col min="4866" max="4866" width="4.7109375" style="435" customWidth="1"/>
    <col min="4867" max="4867" width="31.28515625" style="435" bestFit="1" customWidth="1"/>
    <col min="4868" max="4868" width="10" style="435" customWidth="1"/>
    <col min="4869" max="5121" width="9.140625" style="435"/>
    <col min="5122" max="5122" width="4.7109375" style="435" customWidth="1"/>
    <col min="5123" max="5123" width="31.28515625" style="435" bestFit="1" customWidth="1"/>
    <col min="5124" max="5124" width="10" style="435" customWidth="1"/>
    <col min="5125" max="5377" width="9.140625" style="435"/>
    <col min="5378" max="5378" width="4.7109375" style="435" customWidth="1"/>
    <col min="5379" max="5379" width="31.28515625" style="435" bestFit="1" customWidth="1"/>
    <col min="5380" max="5380" width="10" style="435" customWidth="1"/>
    <col min="5381" max="5633" width="9.140625" style="435"/>
    <col min="5634" max="5634" width="4.7109375" style="435" customWidth="1"/>
    <col min="5635" max="5635" width="31.28515625" style="435" bestFit="1" customWidth="1"/>
    <col min="5636" max="5636" width="10" style="435" customWidth="1"/>
    <col min="5637" max="5889" width="9.140625" style="435"/>
    <col min="5890" max="5890" width="4.7109375" style="435" customWidth="1"/>
    <col min="5891" max="5891" width="31.28515625" style="435" bestFit="1" customWidth="1"/>
    <col min="5892" max="5892" width="10" style="435" customWidth="1"/>
    <col min="5893" max="6145" width="9.140625" style="435"/>
    <col min="6146" max="6146" width="4.7109375" style="435" customWidth="1"/>
    <col min="6147" max="6147" width="31.28515625" style="435" bestFit="1" customWidth="1"/>
    <col min="6148" max="6148" width="10" style="435" customWidth="1"/>
    <col min="6149" max="6401" width="9.140625" style="435"/>
    <col min="6402" max="6402" width="4.7109375" style="435" customWidth="1"/>
    <col min="6403" max="6403" width="31.28515625" style="435" bestFit="1" customWidth="1"/>
    <col min="6404" max="6404" width="10" style="435" customWidth="1"/>
    <col min="6405" max="6657" width="9.140625" style="435"/>
    <col min="6658" max="6658" width="4.7109375" style="435" customWidth="1"/>
    <col min="6659" max="6659" width="31.28515625" style="435" bestFit="1" customWidth="1"/>
    <col min="6660" max="6660" width="10" style="435" customWidth="1"/>
    <col min="6661" max="6913" width="9.140625" style="435"/>
    <col min="6914" max="6914" width="4.7109375" style="435" customWidth="1"/>
    <col min="6915" max="6915" width="31.28515625" style="435" bestFit="1" customWidth="1"/>
    <col min="6916" max="6916" width="10" style="435" customWidth="1"/>
    <col min="6917" max="7169" width="9.140625" style="435"/>
    <col min="7170" max="7170" width="4.7109375" style="435" customWidth="1"/>
    <col min="7171" max="7171" width="31.28515625" style="435" bestFit="1" customWidth="1"/>
    <col min="7172" max="7172" width="10" style="435" customWidth="1"/>
    <col min="7173" max="7425" width="9.140625" style="435"/>
    <col min="7426" max="7426" width="4.7109375" style="435" customWidth="1"/>
    <col min="7427" max="7427" width="31.28515625" style="435" bestFit="1" customWidth="1"/>
    <col min="7428" max="7428" width="10" style="435" customWidth="1"/>
    <col min="7429" max="7681" width="9.140625" style="435"/>
    <col min="7682" max="7682" width="4.7109375" style="435" customWidth="1"/>
    <col min="7683" max="7683" width="31.28515625" style="435" bestFit="1" customWidth="1"/>
    <col min="7684" max="7684" width="10" style="435" customWidth="1"/>
    <col min="7685" max="7937" width="9.140625" style="435"/>
    <col min="7938" max="7938" width="4.7109375" style="435" customWidth="1"/>
    <col min="7939" max="7939" width="31.28515625" style="435" bestFit="1" customWidth="1"/>
    <col min="7940" max="7940" width="10" style="435" customWidth="1"/>
    <col min="7941" max="8193" width="9.140625" style="435"/>
    <col min="8194" max="8194" width="4.7109375" style="435" customWidth="1"/>
    <col min="8195" max="8195" width="31.28515625" style="435" bestFit="1" customWidth="1"/>
    <col min="8196" max="8196" width="10" style="435" customWidth="1"/>
    <col min="8197" max="8449" width="9.140625" style="435"/>
    <col min="8450" max="8450" width="4.7109375" style="435" customWidth="1"/>
    <col min="8451" max="8451" width="31.28515625" style="435" bestFit="1" customWidth="1"/>
    <col min="8452" max="8452" width="10" style="435" customWidth="1"/>
    <col min="8453" max="8705" width="9.140625" style="435"/>
    <col min="8706" max="8706" width="4.7109375" style="435" customWidth="1"/>
    <col min="8707" max="8707" width="31.28515625" style="435" bestFit="1" customWidth="1"/>
    <col min="8708" max="8708" width="10" style="435" customWidth="1"/>
    <col min="8709" max="8961" width="9.140625" style="435"/>
    <col min="8962" max="8962" width="4.7109375" style="435" customWidth="1"/>
    <col min="8963" max="8963" width="31.28515625" style="435" bestFit="1" customWidth="1"/>
    <col min="8964" max="8964" width="10" style="435" customWidth="1"/>
    <col min="8965" max="9217" width="9.140625" style="435"/>
    <col min="9218" max="9218" width="4.7109375" style="435" customWidth="1"/>
    <col min="9219" max="9219" width="31.28515625" style="435" bestFit="1" customWidth="1"/>
    <col min="9220" max="9220" width="10" style="435" customWidth="1"/>
    <col min="9221" max="9473" width="9.140625" style="435"/>
    <col min="9474" max="9474" width="4.7109375" style="435" customWidth="1"/>
    <col min="9475" max="9475" width="31.28515625" style="435" bestFit="1" customWidth="1"/>
    <col min="9476" max="9476" width="10" style="435" customWidth="1"/>
    <col min="9477" max="9729" width="9.140625" style="435"/>
    <col min="9730" max="9730" width="4.7109375" style="435" customWidth="1"/>
    <col min="9731" max="9731" width="31.28515625" style="435" bestFit="1" customWidth="1"/>
    <col min="9732" max="9732" width="10" style="435" customWidth="1"/>
    <col min="9733" max="9985" width="9.140625" style="435"/>
    <col min="9986" max="9986" width="4.7109375" style="435" customWidth="1"/>
    <col min="9987" max="9987" width="31.28515625" style="435" bestFit="1" customWidth="1"/>
    <col min="9988" max="9988" width="10" style="435" customWidth="1"/>
    <col min="9989" max="10241" width="9.140625" style="435"/>
    <col min="10242" max="10242" width="4.7109375" style="435" customWidth="1"/>
    <col min="10243" max="10243" width="31.28515625" style="435" bestFit="1" customWidth="1"/>
    <col min="10244" max="10244" width="10" style="435" customWidth="1"/>
    <col min="10245" max="10497" width="9.140625" style="435"/>
    <col min="10498" max="10498" width="4.7109375" style="435" customWidth="1"/>
    <col min="10499" max="10499" width="31.28515625" style="435" bestFit="1" customWidth="1"/>
    <col min="10500" max="10500" width="10" style="435" customWidth="1"/>
    <col min="10501" max="10753" width="9.140625" style="435"/>
    <col min="10754" max="10754" width="4.7109375" style="435" customWidth="1"/>
    <col min="10755" max="10755" width="31.28515625" style="435" bestFit="1" customWidth="1"/>
    <col min="10756" max="10756" width="10" style="435" customWidth="1"/>
    <col min="10757" max="11009" width="9.140625" style="435"/>
    <col min="11010" max="11010" width="4.7109375" style="435" customWidth="1"/>
    <col min="11011" max="11011" width="31.28515625" style="435" bestFit="1" customWidth="1"/>
    <col min="11012" max="11012" width="10" style="435" customWidth="1"/>
    <col min="11013" max="11265" width="9.140625" style="435"/>
    <col min="11266" max="11266" width="4.7109375" style="435" customWidth="1"/>
    <col min="11267" max="11267" width="31.28515625" style="435" bestFit="1" customWidth="1"/>
    <col min="11268" max="11268" width="10" style="435" customWidth="1"/>
    <col min="11269" max="11521" width="9.140625" style="435"/>
    <col min="11522" max="11522" width="4.7109375" style="435" customWidth="1"/>
    <col min="11523" max="11523" width="31.28515625" style="435" bestFit="1" customWidth="1"/>
    <col min="11524" max="11524" width="10" style="435" customWidth="1"/>
    <col min="11525" max="11777" width="9.140625" style="435"/>
    <col min="11778" max="11778" width="4.7109375" style="435" customWidth="1"/>
    <col min="11779" max="11779" width="31.28515625" style="435" bestFit="1" customWidth="1"/>
    <col min="11780" max="11780" width="10" style="435" customWidth="1"/>
    <col min="11781" max="12033" width="9.140625" style="435"/>
    <col min="12034" max="12034" width="4.7109375" style="435" customWidth="1"/>
    <col min="12035" max="12035" width="31.28515625" style="435" bestFit="1" customWidth="1"/>
    <col min="12036" max="12036" width="10" style="435" customWidth="1"/>
    <col min="12037" max="12289" width="9.140625" style="435"/>
    <col min="12290" max="12290" width="4.7109375" style="435" customWidth="1"/>
    <col min="12291" max="12291" width="31.28515625" style="435" bestFit="1" customWidth="1"/>
    <col min="12292" max="12292" width="10" style="435" customWidth="1"/>
    <col min="12293" max="12545" width="9.140625" style="435"/>
    <col min="12546" max="12546" width="4.7109375" style="435" customWidth="1"/>
    <col min="12547" max="12547" width="31.28515625" style="435" bestFit="1" customWidth="1"/>
    <col min="12548" max="12548" width="10" style="435" customWidth="1"/>
    <col min="12549" max="12801" width="9.140625" style="435"/>
    <col min="12802" max="12802" width="4.7109375" style="435" customWidth="1"/>
    <col min="12803" max="12803" width="31.28515625" style="435" bestFit="1" customWidth="1"/>
    <col min="12804" max="12804" width="10" style="435" customWidth="1"/>
    <col min="12805" max="13057" width="9.140625" style="435"/>
    <col min="13058" max="13058" width="4.7109375" style="435" customWidth="1"/>
    <col min="13059" max="13059" width="31.28515625" style="435" bestFit="1" customWidth="1"/>
    <col min="13060" max="13060" width="10" style="435" customWidth="1"/>
    <col min="13061" max="13313" width="9.140625" style="435"/>
    <col min="13314" max="13314" width="4.7109375" style="435" customWidth="1"/>
    <col min="13315" max="13315" width="31.28515625" style="435" bestFit="1" customWidth="1"/>
    <col min="13316" max="13316" width="10" style="435" customWidth="1"/>
    <col min="13317" max="13569" width="9.140625" style="435"/>
    <col min="13570" max="13570" width="4.7109375" style="435" customWidth="1"/>
    <col min="13571" max="13571" width="31.28515625" style="435" bestFit="1" customWidth="1"/>
    <col min="13572" max="13572" width="10" style="435" customWidth="1"/>
    <col min="13573" max="13825" width="9.140625" style="435"/>
    <col min="13826" max="13826" width="4.7109375" style="435" customWidth="1"/>
    <col min="13827" max="13827" width="31.28515625" style="435" bestFit="1" customWidth="1"/>
    <col min="13828" max="13828" width="10" style="435" customWidth="1"/>
    <col min="13829" max="14081" width="9.140625" style="435"/>
    <col min="14082" max="14082" width="4.7109375" style="435" customWidth="1"/>
    <col min="14083" max="14083" width="31.28515625" style="435" bestFit="1" customWidth="1"/>
    <col min="14084" max="14084" width="10" style="435" customWidth="1"/>
    <col min="14085" max="14337" width="9.140625" style="435"/>
    <col min="14338" max="14338" width="4.7109375" style="435" customWidth="1"/>
    <col min="14339" max="14339" width="31.28515625" style="435" bestFit="1" customWidth="1"/>
    <col min="14340" max="14340" width="10" style="435" customWidth="1"/>
    <col min="14341" max="14593" width="9.140625" style="435"/>
    <col min="14594" max="14594" width="4.7109375" style="435" customWidth="1"/>
    <col min="14595" max="14595" width="31.28515625" style="435" bestFit="1" customWidth="1"/>
    <col min="14596" max="14596" width="10" style="435" customWidth="1"/>
    <col min="14597" max="14849" width="9.140625" style="435"/>
    <col min="14850" max="14850" width="4.7109375" style="435" customWidth="1"/>
    <col min="14851" max="14851" width="31.28515625" style="435" bestFit="1" customWidth="1"/>
    <col min="14852" max="14852" width="10" style="435" customWidth="1"/>
    <col min="14853" max="15105" width="9.140625" style="435"/>
    <col min="15106" max="15106" width="4.7109375" style="435" customWidth="1"/>
    <col min="15107" max="15107" width="31.28515625" style="435" bestFit="1" customWidth="1"/>
    <col min="15108" max="15108" width="10" style="435" customWidth="1"/>
    <col min="15109" max="15361" width="9.140625" style="435"/>
    <col min="15362" max="15362" width="4.7109375" style="435" customWidth="1"/>
    <col min="15363" max="15363" width="31.28515625" style="435" bestFit="1" customWidth="1"/>
    <col min="15364" max="15364" width="10" style="435" customWidth="1"/>
    <col min="15365" max="15617" width="9.140625" style="435"/>
    <col min="15618" max="15618" width="4.7109375" style="435" customWidth="1"/>
    <col min="15619" max="15619" width="31.28515625" style="435" bestFit="1" customWidth="1"/>
    <col min="15620" max="15620" width="10" style="435" customWidth="1"/>
    <col min="15621" max="15873" width="9.140625" style="435"/>
    <col min="15874" max="15874" width="4.7109375" style="435" customWidth="1"/>
    <col min="15875" max="15875" width="31.28515625" style="435" bestFit="1" customWidth="1"/>
    <col min="15876" max="15876" width="10" style="435" customWidth="1"/>
    <col min="15877" max="16129" width="9.140625" style="435"/>
    <col min="16130" max="16130" width="4.7109375" style="435" customWidth="1"/>
    <col min="16131" max="16131" width="31.28515625" style="435" bestFit="1" customWidth="1"/>
    <col min="16132" max="16132" width="10" style="435" customWidth="1"/>
    <col min="16133" max="16384" width="9.140625" style="435"/>
  </cols>
  <sheetData>
    <row r="1" spans="1:9" ht="24" thickBot="1">
      <c r="A1" s="3122" t="s">
        <v>1035</v>
      </c>
      <c r="B1" s="3123"/>
      <c r="C1" s="3123"/>
      <c r="D1" s="3123"/>
      <c r="E1" s="3124"/>
      <c r="G1" s="2777" t="s">
        <v>1749</v>
      </c>
      <c r="H1" s="2778"/>
      <c r="I1" s="2779"/>
    </row>
    <row r="2" spans="1:9" ht="41.25" customHeight="1" thickBot="1">
      <c r="A2" s="3125" t="s">
        <v>1036</v>
      </c>
      <c r="B2" s="3126"/>
      <c r="C2" s="3127"/>
      <c r="D2" s="3128"/>
      <c r="E2" s="767"/>
    </row>
    <row r="3" spans="1:9" ht="15">
      <c r="A3" s="1643"/>
      <c r="B3" s="1644"/>
      <c r="C3" s="1645"/>
      <c r="D3" s="1645"/>
      <c r="E3" s="767"/>
    </row>
    <row r="4" spans="1:9" ht="18">
      <c r="A4" s="3129" t="s">
        <v>1037</v>
      </c>
      <c r="B4" s="3130"/>
      <c r="C4" s="3130"/>
      <c r="D4" s="3131"/>
      <c r="E4" s="767"/>
    </row>
    <row r="5" spans="1:9" ht="18">
      <c r="A5" s="3129" t="s">
        <v>1038</v>
      </c>
      <c r="B5" s="3130"/>
      <c r="C5" s="3130"/>
      <c r="D5" s="3131"/>
      <c r="E5" s="767"/>
    </row>
    <row r="6" spans="1:9" ht="14.25">
      <c r="A6" s="1639" t="s">
        <v>215</v>
      </c>
      <c r="B6" s="1637" t="s">
        <v>600</v>
      </c>
      <c r="C6" s="1638" t="s">
        <v>1039</v>
      </c>
      <c r="D6" s="477">
        <v>20.6</v>
      </c>
      <c r="E6" s="767" t="s">
        <v>449</v>
      </c>
    </row>
    <row r="7" spans="1:9" ht="15.75" customHeight="1">
      <c r="A7" s="1639" t="s">
        <v>1040</v>
      </c>
      <c r="B7" s="1637" t="s">
        <v>600</v>
      </c>
      <c r="C7" s="1638" t="s">
        <v>575</v>
      </c>
      <c r="D7" s="864">
        <v>20</v>
      </c>
      <c r="E7" s="767" t="s">
        <v>449</v>
      </c>
    </row>
    <row r="8" spans="1:9" ht="14.25">
      <c r="A8" s="1636" t="s">
        <v>1006</v>
      </c>
      <c r="B8" s="1637" t="s">
        <v>600</v>
      </c>
      <c r="C8" s="1638" t="s">
        <v>1041</v>
      </c>
      <c r="D8" s="517">
        <f>36.5-D7</f>
        <v>16.5</v>
      </c>
      <c r="E8" s="767"/>
    </row>
    <row r="9" spans="1:9" ht="13.5" thickBot="1">
      <c r="A9" s="653"/>
      <c r="B9" s="648"/>
      <c r="C9" s="648"/>
      <c r="D9" s="648"/>
      <c r="E9" s="767"/>
    </row>
    <row r="10" spans="1:9" ht="22.5" customHeight="1" thickBot="1">
      <c r="A10" s="1639" t="s">
        <v>658</v>
      </c>
      <c r="B10" s="1637" t="s">
        <v>600</v>
      </c>
      <c r="C10" s="1646" t="s">
        <v>1042</v>
      </c>
      <c r="D10" s="902">
        <f>((D6-0.7)/D8)^2</f>
        <v>1.4545821854912768</v>
      </c>
      <c r="E10" s="903" t="s">
        <v>889</v>
      </c>
    </row>
    <row r="11" spans="1:9" ht="18.75" thickBot="1">
      <c r="A11" s="1640" t="s">
        <v>1043</v>
      </c>
      <c r="B11" s="1641" t="s">
        <v>600</v>
      </c>
      <c r="C11" s="1642" t="s">
        <v>1044</v>
      </c>
      <c r="D11" s="904">
        <f>WP!B3</f>
        <v>467</v>
      </c>
      <c r="E11" s="680" t="s">
        <v>1045</v>
      </c>
    </row>
    <row r="13" spans="1:9" ht="13.5" thickBot="1"/>
    <row r="14" spans="1:9" ht="23.25">
      <c r="A14" s="3122" t="s">
        <v>1046</v>
      </c>
      <c r="B14" s="3123"/>
      <c r="C14" s="3123"/>
      <c r="D14" s="3123"/>
      <c r="E14" s="3124"/>
    </row>
    <row r="15" spans="1:9" ht="18" customHeight="1">
      <c r="A15" s="1636" t="s">
        <v>202</v>
      </c>
      <c r="B15" s="1637" t="s">
        <v>600</v>
      </c>
      <c r="C15" s="1638" t="s">
        <v>1047</v>
      </c>
      <c r="D15" s="696">
        <v>20</v>
      </c>
      <c r="E15" s="767" t="s">
        <v>449</v>
      </c>
    </row>
    <row r="16" spans="1:9" ht="17.25" customHeight="1" thickBot="1">
      <c r="A16" s="1639" t="s">
        <v>658</v>
      </c>
      <c r="B16" s="1637" t="s">
        <v>600</v>
      </c>
      <c r="C16" s="1638" t="s">
        <v>1042</v>
      </c>
      <c r="D16" s="696">
        <v>1.45</v>
      </c>
      <c r="E16" s="767" t="s">
        <v>449</v>
      </c>
    </row>
    <row r="17" spans="1:5" ht="18.75" thickBot="1">
      <c r="A17" s="1640" t="s">
        <v>1043</v>
      </c>
      <c r="B17" s="1641" t="s">
        <v>600</v>
      </c>
      <c r="C17" s="1642" t="s">
        <v>1044</v>
      </c>
      <c r="D17" s="904">
        <f>WP!C3</f>
        <v>467</v>
      </c>
      <c r="E17" s="680" t="s">
        <v>1045</v>
      </c>
    </row>
    <row r="20" spans="1:5" ht="13.5" thickBot="1"/>
    <row r="21" spans="1:5" ht="27.75">
      <c r="A21" s="1628" t="s">
        <v>1542</v>
      </c>
      <c r="B21" s="1629"/>
      <c r="C21" s="1630"/>
      <c r="D21" s="507"/>
      <c r="E21" s="509"/>
    </row>
    <row r="22" spans="1:5" ht="15">
      <c r="A22" s="1631"/>
      <c r="B22" s="1130"/>
      <c r="C22" s="1129"/>
      <c r="D22" s="438"/>
      <c r="E22" s="439"/>
    </row>
    <row r="23" spans="1:5" ht="15">
      <c r="A23" s="1631"/>
      <c r="B23" s="1130"/>
      <c r="C23" s="1632" t="s">
        <v>1543</v>
      </c>
      <c r="D23" s="1633"/>
      <c r="E23" s="439"/>
    </row>
    <row r="24" spans="1:5" ht="15">
      <c r="A24" s="489"/>
      <c r="B24" s="1130"/>
      <c r="C24" s="1626" t="s">
        <v>1544</v>
      </c>
      <c r="D24" s="1627">
        <v>33</v>
      </c>
      <c r="E24" s="1634" t="s">
        <v>575</v>
      </c>
    </row>
    <row r="25" spans="1:5" ht="15">
      <c r="A25" s="489"/>
      <c r="B25" s="1130"/>
      <c r="C25" s="1626" t="s">
        <v>1048</v>
      </c>
      <c r="D25" s="1627">
        <v>0.3</v>
      </c>
      <c r="E25" s="1634" t="s">
        <v>889</v>
      </c>
    </row>
    <row r="26" spans="1:5" ht="16.5" thickBot="1">
      <c r="A26" s="488"/>
      <c r="B26" s="1635"/>
      <c r="C26" s="1623" t="s">
        <v>1545</v>
      </c>
      <c r="D26" s="1624">
        <f>SUM(0.7*(36.5-D24))+((36.5-D24)*SQRT(D25))</f>
        <v>4.3670289512680807</v>
      </c>
      <c r="E26" s="1625" t="s">
        <v>1546</v>
      </c>
    </row>
  </sheetData>
  <mergeCells count="7">
    <mergeCell ref="G1:I1"/>
    <mergeCell ref="A14:E14"/>
    <mergeCell ref="A1:E1"/>
    <mergeCell ref="A2:B2"/>
    <mergeCell ref="C2:D2"/>
    <mergeCell ref="A4:D4"/>
    <mergeCell ref="A5:D5"/>
  </mergeCells>
  <hyperlinks>
    <hyperlink ref="G1" location="INDEX!A1" display="INDEX!A1"/>
  </hyperlinks>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Equation.3" shapeId="17409" r:id="rId4">
          <objectPr defaultSize="0" autoPict="0" r:id="rId5">
            <anchor moveWithCells="1" sizeWithCells="1">
              <from>
                <xdr:col>2</xdr:col>
                <xdr:colOff>19050</xdr:colOff>
                <xdr:row>1</xdr:row>
                <xdr:rowOff>133350</xdr:rowOff>
              </from>
              <to>
                <xdr:col>3</xdr:col>
                <xdr:colOff>133350</xdr:colOff>
                <xdr:row>1</xdr:row>
                <xdr:rowOff>485775</xdr:rowOff>
              </to>
            </anchor>
          </objectPr>
        </oleObject>
      </mc:Choice>
      <mc:Fallback>
        <oleObject progId="Equation.3" shapeId="17409" r:id="rId4"/>
      </mc:Fallback>
    </mc:AlternateContent>
  </oleObjec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53"/>
  <sheetViews>
    <sheetView zoomScale="85" zoomScaleNormal="85" workbookViewId="0">
      <selection activeCell="B3" sqref="B3"/>
    </sheetView>
  </sheetViews>
  <sheetFormatPr defaultColWidth="8.42578125" defaultRowHeight="12.75"/>
  <cols>
    <col min="1" max="1" width="21.5703125" style="907" bestFit="1" customWidth="1"/>
    <col min="2" max="7" width="8.42578125" style="907"/>
    <col min="8" max="12" width="11.42578125" style="907" bestFit="1" customWidth="1"/>
    <col min="13" max="256" width="8.42578125" style="907"/>
    <col min="257" max="257" width="21.5703125" style="907" bestFit="1" customWidth="1"/>
    <col min="258" max="263" width="8.42578125" style="907"/>
    <col min="264" max="268" width="11.42578125" style="907" bestFit="1" customWidth="1"/>
    <col min="269" max="512" width="8.42578125" style="907"/>
    <col min="513" max="513" width="21.5703125" style="907" bestFit="1" customWidth="1"/>
    <col min="514" max="519" width="8.42578125" style="907"/>
    <col min="520" max="524" width="11.42578125" style="907" bestFit="1" customWidth="1"/>
    <col min="525" max="768" width="8.42578125" style="907"/>
    <col min="769" max="769" width="21.5703125" style="907" bestFit="1" customWidth="1"/>
    <col min="770" max="775" width="8.42578125" style="907"/>
    <col min="776" max="780" width="11.42578125" style="907" bestFit="1" customWidth="1"/>
    <col min="781" max="1024" width="8.42578125" style="907"/>
    <col min="1025" max="1025" width="21.5703125" style="907" bestFit="1" customWidth="1"/>
    <col min="1026" max="1031" width="8.42578125" style="907"/>
    <col min="1032" max="1036" width="11.42578125" style="907" bestFit="1" customWidth="1"/>
    <col min="1037" max="1280" width="8.42578125" style="907"/>
    <col min="1281" max="1281" width="21.5703125" style="907" bestFit="1" customWidth="1"/>
    <col min="1282" max="1287" width="8.42578125" style="907"/>
    <col min="1288" max="1292" width="11.42578125" style="907" bestFit="1" customWidth="1"/>
    <col min="1293" max="1536" width="8.42578125" style="907"/>
    <col min="1537" max="1537" width="21.5703125" style="907" bestFit="1" customWidth="1"/>
    <col min="1538" max="1543" width="8.42578125" style="907"/>
    <col min="1544" max="1548" width="11.42578125" style="907" bestFit="1" customWidth="1"/>
    <col min="1549" max="1792" width="8.42578125" style="907"/>
    <col min="1793" max="1793" width="21.5703125" style="907" bestFit="1" customWidth="1"/>
    <col min="1794" max="1799" width="8.42578125" style="907"/>
    <col min="1800" max="1804" width="11.42578125" style="907" bestFit="1" customWidth="1"/>
    <col min="1805" max="2048" width="8.42578125" style="907"/>
    <col min="2049" max="2049" width="21.5703125" style="907" bestFit="1" customWidth="1"/>
    <col min="2050" max="2055" width="8.42578125" style="907"/>
    <col min="2056" max="2060" width="11.42578125" style="907" bestFit="1" customWidth="1"/>
    <col min="2061" max="2304" width="8.42578125" style="907"/>
    <col min="2305" max="2305" width="21.5703125" style="907" bestFit="1" customWidth="1"/>
    <col min="2306" max="2311" width="8.42578125" style="907"/>
    <col min="2312" max="2316" width="11.42578125" style="907" bestFit="1" customWidth="1"/>
    <col min="2317" max="2560" width="8.42578125" style="907"/>
    <col min="2561" max="2561" width="21.5703125" style="907" bestFit="1" customWidth="1"/>
    <col min="2562" max="2567" width="8.42578125" style="907"/>
    <col min="2568" max="2572" width="11.42578125" style="907" bestFit="1" customWidth="1"/>
    <col min="2573" max="2816" width="8.42578125" style="907"/>
    <col min="2817" max="2817" width="21.5703125" style="907" bestFit="1" customWidth="1"/>
    <col min="2818" max="2823" width="8.42578125" style="907"/>
    <col min="2824" max="2828" width="11.42578125" style="907" bestFit="1" customWidth="1"/>
    <col min="2829" max="3072" width="8.42578125" style="907"/>
    <col min="3073" max="3073" width="21.5703125" style="907" bestFit="1" customWidth="1"/>
    <col min="3074" max="3079" width="8.42578125" style="907"/>
    <col min="3080" max="3084" width="11.42578125" style="907" bestFit="1" customWidth="1"/>
    <col min="3085" max="3328" width="8.42578125" style="907"/>
    <col min="3329" max="3329" width="21.5703125" style="907" bestFit="1" customWidth="1"/>
    <col min="3330" max="3335" width="8.42578125" style="907"/>
    <col min="3336" max="3340" width="11.42578125" style="907" bestFit="1" customWidth="1"/>
    <col min="3341" max="3584" width="8.42578125" style="907"/>
    <col min="3585" max="3585" width="21.5703125" style="907" bestFit="1" customWidth="1"/>
    <col min="3586" max="3591" width="8.42578125" style="907"/>
    <col min="3592" max="3596" width="11.42578125" style="907" bestFit="1" customWidth="1"/>
    <col min="3597" max="3840" width="8.42578125" style="907"/>
    <col min="3841" max="3841" width="21.5703125" style="907" bestFit="1" customWidth="1"/>
    <col min="3842" max="3847" width="8.42578125" style="907"/>
    <col min="3848" max="3852" width="11.42578125" style="907" bestFit="1" customWidth="1"/>
    <col min="3853" max="4096" width="8.42578125" style="907"/>
    <col min="4097" max="4097" width="21.5703125" style="907" bestFit="1" customWidth="1"/>
    <col min="4098" max="4103" width="8.42578125" style="907"/>
    <col min="4104" max="4108" width="11.42578125" style="907" bestFit="1" customWidth="1"/>
    <col min="4109" max="4352" width="8.42578125" style="907"/>
    <col min="4353" max="4353" width="21.5703125" style="907" bestFit="1" customWidth="1"/>
    <col min="4354" max="4359" width="8.42578125" style="907"/>
    <col min="4360" max="4364" width="11.42578125" style="907" bestFit="1" customWidth="1"/>
    <col min="4365" max="4608" width="8.42578125" style="907"/>
    <col min="4609" max="4609" width="21.5703125" style="907" bestFit="1" customWidth="1"/>
    <col min="4610" max="4615" width="8.42578125" style="907"/>
    <col min="4616" max="4620" width="11.42578125" style="907" bestFit="1" customWidth="1"/>
    <col min="4621" max="4864" width="8.42578125" style="907"/>
    <col min="4865" max="4865" width="21.5703125" style="907" bestFit="1" customWidth="1"/>
    <col min="4866" max="4871" width="8.42578125" style="907"/>
    <col min="4872" max="4876" width="11.42578125" style="907" bestFit="1" customWidth="1"/>
    <col min="4877" max="5120" width="8.42578125" style="907"/>
    <col min="5121" max="5121" width="21.5703125" style="907" bestFit="1" customWidth="1"/>
    <col min="5122" max="5127" width="8.42578125" style="907"/>
    <col min="5128" max="5132" width="11.42578125" style="907" bestFit="1" customWidth="1"/>
    <col min="5133" max="5376" width="8.42578125" style="907"/>
    <col min="5377" max="5377" width="21.5703125" style="907" bestFit="1" customWidth="1"/>
    <col min="5378" max="5383" width="8.42578125" style="907"/>
    <col min="5384" max="5388" width="11.42578125" style="907" bestFit="1" customWidth="1"/>
    <col min="5389" max="5632" width="8.42578125" style="907"/>
    <col min="5633" max="5633" width="21.5703125" style="907" bestFit="1" customWidth="1"/>
    <col min="5634" max="5639" width="8.42578125" style="907"/>
    <col min="5640" max="5644" width="11.42578125" style="907" bestFit="1" customWidth="1"/>
    <col min="5645" max="5888" width="8.42578125" style="907"/>
    <col min="5889" max="5889" width="21.5703125" style="907" bestFit="1" customWidth="1"/>
    <col min="5890" max="5895" width="8.42578125" style="907"/>
    <col min="5896" max="5900" width="11.42578125" style="907" bestFit="1" customWidth="1"/>
    <col min="5901" max="6144" width="8.42578125" style="907"/>
    <col min="6145" max="6145" width="21.5703125" style="907" bestFit="1" customWidth="1"/>
    <col min="6146" max="6151" width="8.42578125" style="907"/>
    <col min="6152" max="6156" width="11.42578125" style="907" bestFit="1" customWidth="1"/>
    <col min="6157" max="6400" width="8.42578125" style="907"/>
    <col min="6401" max="6401" width="21.5703125" style="907" bestFit="1" customWidth="1"/>
    <col min="6402" max="6407" width="8.42578125" style="907"/>
    <col min="6408" max="6412" width="11.42578125" style="907" bestFit="1" customWidth="1"/>
    <col min="6413" max="6656" width="8.42578125" style="907"/>
    <col min="6657" max="6657" width="21.5703125" style="907" bestFit="1" customWidth="1"/>
    <col min="6658" max="6663" width="8.42578125" style="907"/>
    <col min="6664" max="6668" width="11.42578125" style="907" bestFit="1" customWidth="1"/>
    <col min="6669" max="6912" width="8.42578125" style="907"/>
    <col min="6913" max="6913" width="21.5703125" style="907" bestFit="1" customWidth="1"/>
    <col min="6914" max="6919" width="8.42578125" style="907"/>
    <col min="6920" max="6924" width="11.42578125" style="907" bestFit="1" customWidth="1"/>
    <col min="6925" max="7168" width="8.42578125" style="907"/>
    <col min="7169" max="7169" width="21.5703125" style="907" bestFit="1" customWidth="1"/>
    <col min="7170" max="7175" width="8.42578125" style="907"/>
    <col min="7176" max="7180" width="11.42578125" style="907" bestFit="1" customWidth="1"/>
    <col min="7181" max="7424" width="8.42578125" style="907"/>
    <col min="7425" max="7425" width="21.5703125" style="907" bestFit="1" customWidth="1"/>
    <col min="7426" max="7431" width="8.42578125" style="907"/>
    <col min="7432" max="7436" width="11.42578125" style="907" bestFit="1" customWidth="1"/>
    <col min="7437" max="7680" width="8.42578125" style="907"/>
    <col min="7681" max="7681" width="21.5703125" style="907" bestFit="1" customWidth="1"/>
    <col min="7682" max="7687" width="8.42578125" style="907"/>
    <col min="7688" max="7692" width="11.42578125" style="907" bestFit="1" customWidth="1"/>
    <col min="7693" max="7936" width="8.42578125" style="907"/>
    <col min="7937" max="7937" width="21.5703125" style="907" bestFit="1" customWidth="1"/>
    <col min="7938" max="7943" width="8.42578125" style="907"/>
    <col min="7944" max="7948" width="11.42578125" style="907" bestFit="1" customWidth="1"/>
    <col min="7949" max="8192" width="8.42578125" style="907"/>
    <col min="8193" max="8193" width="21.5703125" style="907" bestFit="1" customWidth="1"/>
    <col min="8194" max="8199" width="8.42578125" style="907"/>
    <col min="8200" max="8204" width="11.42578125" style="907" bestFit="1" customWidth="1"/>
    <col min="8205" max="8448" width="8.42578125" style="907"/>
    <col min="8449" max="8449" width="21.5703125" style="907" bestFit="1" customWidth="1"/>
    <col min="8450" max="8455" width="8.42578125" style="907"/>
    <col min="8456" max="8460" width="11.42578125" style="907" bestFit="1" customWidth="1"/>
    <col min="8461" max="8704" width="8.42578125" style="907"/>
    <col min="8705" max="8705" width="21.5703125" style="907" bestFit="1" customWidth="1"/>
    <col min="8706" max="8711" width="8.42578125" style="907"/>
    <col min="8712" max="8716" width="11.42578125" style="907" bestFit="1" customWidth="1"/>
    <col min="8717" max="8960" width="8.42578125" style="907"/>
    <col min="8961" max="8961" width="21.5703125" style="907" bestFit="1" customWidth="1"/>
    <col min="8962" max="8967" width="8.42578125" style="907"/>
    <col min="8968" max="8972" width="11.42578125" style="907" bestFit="1" customWidth="1"/>
    <col min="8973" max="9216" width="8.42578125" style="907"/>
    <col min="9217" max="9217" width="21.5703125" style="907" bestFit="1" customWidth="1"/>
    <col min="9218" max="9223" width="8.42578125" style="907"/>
    <col min="9224" max="9228" width="11.42578125" style="907" bestFit="1" customWidth="1"/>
    <col min="9229" max="9472" width="8.42578125" style="907"/>
    <col min="9473" max="9473" width="21.5703125" style="907" bestFit="1" customWidth="1"/>
    <col min="9474" max="9479" width="8.42578125" style="907"/>
    <col min="9480" max="9484" width="11.42578125" style="907" bestFit="1" customWidth="1"/>
    <col min="9485" max="9728" width="8.42578125" style="907"/>
    <col min="9729" max="9729" width="21.5703125" style="907" bestFit="1" customWidth="1"/>
    <col min="9730" max="9735" width="8.42578125" style="907"/>
    <col min="9736" max="9740" width="11.42578125" style="907" bestFit="1" customWidth="1"/>
    <col min="9741" max="9984" width="8.42578125" style="907"/>
    <col min="9985" max="9985" width="21.5703125" style="907" bestFit="1" customWidth="1"/>
    <col min="9986" max="9991" width="8.42578125" style="907"/>
    <col min="9992" max="9996" width="11.42578125" style="907" bestFit="1" customWidth="1"/>
    <col min="9997" max="10240" width="8.42578125" style="907"/>
    <col min="10241" max="10241" width="21.5703125" style="907" bestFit="1" customWidth="1"/>
    <col min="10242" max="10247" width="8.42578125" style="907"/>
    <col min="10248" max="10252" width="11.42578125" style="907" bestFit="1" customWidth="1"/>
    <col min="10253" max="10496" width="8.42578125" style="907"/>
    <col min="10497" max="10497" width="21.5703125" style="907" bestFit="1" customWidth="1"/>
    <col min="10498" max="10503" width="8.42578125" style="907"/>
    <col min="10504" max="10508" width="11.42578125" style="907" bestFit="1" customWidth="1"/>
    <col min="10509" max="10752" width="8.42578125" style="907"/>
    <col min="10753" max="10753" width="21.5703125" style="907" bestFit="1" customWidth="1"/>
    <col min="10754" max="10759" width="8.42578125" style="907"/>
    <col min="10760" max="10764" width="11.42578125" style="907" bestFit="1" customWidth="1"/>
    <col min="10765" max="11008" width="8.42578125" style="907"/>
    <col min="11009" max="11009" width="21.5703125" style="907" bestFit="1" customWidth="1"/>
    <col min="11010" max="11015" width="8.42578125" style="907"/>
    <col min="11016" max="11020" width="11.42578125" style="907" bestFit="1" customWidth="1"/>
    <col min="11021" max="11264" width="8.42578125" style="907"/>
    <col min="11265" max="11265" width="21.5703125" style="907" bestFit="1" customWidth="1"/>
    <col min="11266" max="11271" width="8.42578125" style="907"/>
    <col min="11272" max="11276" width="11.42578125" style="907" bestFit="1" customWidth="1"/>
    <col min="11277" max="11520" width="8.42578125" style="907"/>
    <col min="11521" max="11521" width="21.5703125" style="907" bestFit="1" customWidth="1"/>
    <col min="11522" max="11527" width="8.42578125" style="907"/>
    <col min="11528" max="11532" width="11.42578125" style="907" bestFit="1" customWidth="1"/>
    <col min="11533" max="11776" width="8.42578125" style="907"/>
    <col min="11777" max="11777" width="21.5703125" style="907" bestFit="1" customWidth="1"/>
    <col min="11778" max="11783" width="8.42578125" style="907"/>
    <col min="11784" max="11788" width="11.42578125" style="907" bestFit="1" customWidth="1"/>
    <col min="11789" max="12032" width="8.42578125" style="907"/>
    <col min="12033" max="12033" width="21.5703125" style="907" bestFit="1" customWidth="1"/>
    <col min="12034" max="12039" width="8.42578125" style="907"/>
    <col min="12040" max="12044" width="11.42578125" style="907" bestFit="1" customWidth="1"/>
    <col min="12045" max="12288" width="8.42578125" style="907"/>
    <col min="12289" max="12289" width="21.5703125" style="907" bestFit="1" customWidth="1"/>
    <col min="12290" max="12295" width="8.42578125" style="907"/>
    <col min="12296" max="12300" width="11.42578125" style="907" bestFit="1" customWidth="1"/>
    <col min="12301" max="12544" width="8.42578125" style="907"/>
    <col min="12545" max="12545" width="21.5703125" style="907" bestFit="1" customWidth="1"/>
    <col min="12546" max="12551" width="8.42578125" style="907"/>
    <col min="12552" max="12556" width="11.42578125" style="907" bestFit="1" customWidth="1"/>
    <col min="12557" max="12800" width="8.42578125" style="907"/>
    <col min="12801" max="12801" width="21.5703125" style="907" bestFit="1" customWidth="1"/>
    <col min="12802" max="12807" width="8.42578125" style="907"/>
    <col min="12808" max="12812" width="11.42578125" style="907" bestFit="1" customWidth="1"/>
    <col min="12813" max="13056" width="8.42578125" style="907"/>
    <col min="13057" max="13057" width="21.5703125" style="907" bestFit="1" customWidth="1"/>
    <col min="13058" max="13063" width="8.42578125" style="907"/>
    <col min="13064" max="13068" width="11.42578125" style="907" bestFit="1" customWidth="1"/>
    <col min="13069" max="13312" width="8.42578125" style="907"/>
    <col min="13313" max="13313" width="21.5703125" style="907" bestFit="1" customWidth="1"/>
    <col min="13314" max="13319" width="8.42578125" style="907"/>
    <col min="13320" max="13324" width="11.42578125" style="907" bestFit="1" customWidth="1"/>
    <col min="13325" max="13568" width="8.42578125" style="907"/>
    <col min="13569" max="13569" width="21.5703125" style="907" bestFit="1" customWidth="1"/>
    <col min="13570" max="13575" width="8.42578125" style="907"/>
    <col min="13576" max="13580" width="11.42578125" style="907" bestFit="1" customWidth="1"/>
    <col min="13581" max="13824" width="8.42578125" style="907"/>
    <col min="13825" max="13825" width="21.5703125" style="907" bestFit="1" customWidth="1"/>
    <col min="13826" max="13831" width="8.42578125" style="907"/>
    <col min="13832" max="13836" width="11.42578125" style="907" bestFit="1" customWidth="1"/>
    <col min="13837" max="14080" width="8.42578125" style="907"/>
    <col min="14081" max="14081" width="21.5703125" style="907" bestFit="1" customWidth="1"/>
    <col min="14082" max="14087" width="8.42578125" style="907"/>
    <col min="14088" max="14092" width="11.42578125" style="907" bestFit="1" customWidth="1"/>
    <col min="14093" max="14336" width="8.42578125" style="907"/>
    <col min="14337" max="14337" width="21.5703125" style="907" bestFit="1" customWidth="1"/>
    <col min="14338" max="14343" width="8.42578125" style="907"/>
    <col min="14344" max="14348" width="11.42578125" style="907" bestFit="1" customWidth="1"/>
    <col min="14349" max="14592" width="8.42578125" style="907"/>
    <col min="14593" max="14593" width="21.5703125" style="907" bestFit="1" customWidth="1"/>
    <col min="14594" max="14599" width="8.42578125" style="907"/>
    <col min="14600" max="14604" width="11.42578125" style="907" bestFit="1" customWidth="1"/>
    <col min="14605" max="14848" width="8.42578125" style="907"/>
    <col min="14849" max="14849" width="21.5703125" style="907" bestFit="1" customWidth="1"/>
    <col min="14850" max="14855" width="8.42578125" style="907"/>
    <col min="14856" max="14860" width="11.42578125" style="907" bestFit="1" customWidth="1"/>
    <col min="14861" max="15104" width="8.42578125" style="907"/>
    <col min="15105" max="15105" width="21.5703125" style="907" bestFit="1" customWidth="1"/>
    <col min="15106" max="15111" width="8.42578125" style="907"/>
    <col min="15112" max="15116" width="11.42578125" style="907" bestFit="1" customWidth="1"/>
    <col min="15117" max="15360" width="8.42578125" style="907"/>
    <col min="15361" max="15361" width="21.5703125" style="907" bestFit="1" customWidth="1"/>
    <col min="15362" max="15367" width="8.42578125" style="907"/>
    <col min="15368" max="15372" width="11.42578125" style="907" bestFit="1" customWidth="1"/>
    <col min="15373" max="15616" width="8.42578125" style="907"/>
    <col min="15617" max="15617" width="21.5703125" style="907" bestFit="1" customWidth="1"/>
    <col min="15618" max="15623" width="8.42578125" style="907"/>
    <col min="15624" max="15628" width="11.42578125" style="907" bestFit="1" customWidth="1"/>
    <col min="15629" max="15872" width="8.42578125" style="907"/>
    <col min="15873" max="15873" width="21.5703125" style="907" bestFit="1" customWidth="1"/>
    <col min="15874" max="15879" width="8.42578125" style="907"/>
    <col min="15880" max="15884" width="11.42578125" style="907" bestFit="1" customWidth="1"/>
    <col min="15885" max="16128" width="8.42578125" style="907"/>
    <col min="16129" max="16129" width="21.5703125" style="907" bestFit="1" customWidth="1"/>
    <col min="16130" max="16135" width="8.42578125" style="907"/>
    <col min="16136" max="16140" width="11.42578125" style="907" bestFit="1" customWidth="1"/>
    <col min="16141" max="16384" width="8.42578125" style="907"/>
  </cols>
  <sheetData>
    <row r="1" spans="1:56" ht="13.5" thickBot="1">
      <c r="A1" s="905" t="s">
        <v>1048</v>
      </c>
      <c r="B1" s="906">
        <f>'SCP - Kata - Vel'!D10</f>
        <v>1.4545821854912768</v>
      </c>
      <c r="C1" s="906">
        <f>'SCP - Kata - Vel'!D16</f>
        <v>1.45</v>
      </c>
    </row>
    <row r="2" spans="1:56" ht="13.5" thickBot="1">
      <c r="A2" s="905" t="s">
        <v>1049</v>
      </c>
      <c r="B2" s="908">
        <f>'SCP - Kata - Vel'!D7</f>
        <v>20</v>
      </c>
      <c r="C2" s="908">
        <f>'SCP - Kata - Vel'!D15</f>
        <v>20</v>
      </c>
    </row>
    <row r="3" spans="1:56" ht="13.5" thickBot="1">
      <c r="A3" s="909" t="s">
        <v>1043</v>
      </c>
      <c r="B3" s="910">
        <f>VLOOKUP(B2,DATA!$A$2:$AC$148,B!A1+1)</f>
        <v>467</v>
      </c>
      <c r="C3" s="910">
        <f>VLOOKUP(C2,DATA!$A$2:$AC$148,B!B1+1)</f>
        <v>467</v>
      </c>
    </row>
    <row r="4" spans="1:56" s="912" customFormat="1" ht="13.5" thickBot="1">
      <c r="A4" s="909" t="s">
        <v>1050</v>
      </c>
      <c r="B4" s="911">
        <f>VLOOKUP(B2,DATA!$A$2:$AC$148,B!A1+1)/2.7/100</f>
        <v>1.7296296296296296</v>
      </c>
      <c r="C4" s="911">
        <f>VLOOKUP(C2,DATA!$A$2:$AC$148,B!B1+1)/2.7/100</f>
        <v>1.7296296296296296</v>
      </c>
    </row>
    <row r="5" spans="1:56" s="915" customFormat="1" ht="23.25">
      <c r="A5" s="913">
        <v>1</v>
      </c>
      <c r="B5" s="914"/>
      <c r="D5" s="913"/>
      <c r="E5" s="913"/>
      <c r="F5" s="913"/>
      <c r="G5" s="913"/>
      <c r="H5" s="913">
        <v>2</v>
      </c>
      <c r="I5" s="913"/>
      <c r="J5" s="913"/>
      <c r="K5" s="913"/>
      <c r="L5" s="913"/>
      <c r="M5" s="913"/>
      <c r="N5" s="913">
        <v>3</v>
      </c>
      <c r="O5" s="913"/>
      <c r="P5" s="913"/>
      <c r="Q5" s="913"/>
      <c r="R5" s="913"/>
      <c r="S5" s="913"/>
      <c r="T5" s="913">
        <v>4</v>
      </c>
      <c r="U5" s="913"/>
      <c r="V5" s="913"/>
      <c r="W5" s="913"/>
      <c r="X5" s="913"/>
      <c r="Y5" s="913"/>
      <c r="Z5" s="913">
        <v>5</v>
      </c>
      <c r="AA5" s="913"/>
      <c r="AB5" s="913"/>
      <c r="AC5" s="913"/>
      <c r="AF5" s="915">
        <v>6</v>
      </c>
      <c r="AL5" s="915">
        <v>7</v>
      </c>
      <c r="AR5" s="915">
        <v>8</v>
      </c>
      <c r="AX5" s="915">
        <v>9</v>
      </c>
      <c r="BD5" s="915">
        <v>10</v>
      </c>
    </row>
    <row r="6" spans="1:56" ht="23.25">
      <c r="A6" s="905"/>
      <c r="B6" s="914"/>
      <c r="C6" s="916" t="s">
        <v>1051</v>
      </c>
      <c r="D6" s="917"/>
      <c r="E6" s="917"/>
      <c r="F6" s="917"/>
      <c r="G6" s="917"/>
      <c r="H6" s="917"/>
      <c r="I6" s="917"/>
      <c r="J6" s="917"/>
      <c r="K6" s="917"/>
      <c r="L6" s="917"/>
      <c r="M6" s="917"/>
      <c r="N6" s="917"/>
      <c r="O6" s="917"/>
      <c r="P6" s="917"/>
      <c r="Q6" s="917"/>
      <c r="R6" s="917"/>
      <c r="S6" s="917"/>
      <c r="T6" s="917"/>
      <c r="U6" s="917"/>
      <c r="V6" s="917"/>
      <c r="W6" s="917"/>
      <c r="X6" s="917"/>
      <c r="Y6" s="917"/>
      <c r="Z6" s="917"/>
      <c r="AA6" s="917"/>
      <c r="AB6" s="917"/>
      <c r="AC6" s="917"/>
    </row>
    <row r="7" spans="1:56" ht="15.75">
      <c r="A7" s="905"/>
      <c r="B7" s="918">
        <f>DATA!B2</f>
        <v>0.1</v>
      </c>
      <c r="C7" s="918">
        <f>DATA!C2</f>
        <v>0.2</v>
      </c>
      <c r="D7" s="918">
        <f>DATA!D2</f>
        <v>0.30000000000000004</v>
      </c>
      <c r="E7" s="918">
        <f>DATA!E2</f>
        <v>0.4</v>
      </c>
      <c r="F7" s="918">
        <f>DATA!F2</f>
        <v>0.5</v>
      </c>
      <c r="G7" s="918">
        <f>DATA!G2</f>
        <v>0.6</v>
      </c>
      <c r="H7" s="918">
        <f>DATA!H2</f>
        <v>0.7</v>
      </c>
      <c r="I7" s="918">
        <f>DATA!I2</f>
        <v>0.79999999999999993</v>
      </c>
      <c r="J7" s="918">
        <f>DATA!J2</f>
        <v>0.89999999999999991</v>
      </c>
      <c r="K7" s="918">
        <f>DATA!K2</f>
        <v>0.99999999999999989</v>
      </c>
      <c r="L7" s="918">
        <f>DATA!L2</f>
        <v>1.0999999999999999</v>
      </c>
      <c r="M7" s="918">
        <f>DATA!M2</f>
        <v>1.2</v>
      </c>
      <c r="N7" s="918">
        <f>DATA!N2</f>
        <v>1.3</v>
      </c>
      <c r="O7" s="918">
        <f>DATA!O2</f>
        <v>1.4000000000000001</v>
      </c>
      <c r="P7" s="918">
        <f>DATA!P2</f>
        <v>1.5000000000000002</v>
      </c>
      <c r="Q7" s="918">
        <f>DATA!Q2</f>
        <v>1.6000000000000003</v>
      </c>
      <c r="R7" s="918">
        <f>DATA!R2</f>
        <v>1.7000000000000004</v>
      </c>
      <c r="S7" s="918">
        <f>DATA!S2</f>
        <v>1.8000000000000005</v>
      </c>
      <c r="T7" s="918">
        <f>DATA!T2</f>
        <v>1.9000000000000006</v>
      </c>
      <c r="U7" s="918">
        <f>DATA!U2</f>
        <v>2.0000000000000004</v>
      </c>
      <c r="V7" s="918">
        <f>DATA!V2</f>
        <v>2.2000000000000006</v>
      </c>
      <c r="W7" s="918">
        <f>DATA!W2</f>
        <v>2.4000000000000008</v>
      </c>
      <c r="X7" s="918">
        <f>DATA!X2</f>
        <v>2.600000000000001</v>
      </c>
      <c r="Y7" s="918">
        <f>DATA!Y2</f>
        <v>2.8000000000000012</v>
      </c>
      <c r="Z7" s="918">
        <f>DATA!Z2</f>
        <v>3.0000000000000013</v>
      </c>
      <c r="AA7" s="918">
        <f>DATA!AA2</f>
        <v>3.5000000000000013</v>
      </c>
      <c r="AB7" s="918">
        <f>DATA!AB2</f>
        <v>4.0000000000000018</v>
      </c>
      <c r="AC7" s="918">
        <f>DATA!AC2</f>
        <v>4.5000000000000018</v>
      </c>
    </row>
    <row r="8" spans="1:56" ht="15.75">
      <c r="A8" s="919">
        <v>20</v>
      </c>
      <c r="B8" s="920">
        <f>DATA!B3/2.4</f>
        <v>156.66666666666669</v>
      </c>
      <c r="C8" s="920">
        <f>DATA!C3/2.4</f>
        <v>156.66666666666669</v>
      </c>
      <c r="D8" s="920">
        <f>DATA!D3/2.4</f>
        <v>158.75</v>
      </c>
      <c r="E8" s="920">
        <f>DATA!E3/2.4</f>
        <v>164.16666666666669</v>
      </c>
      <c r="F8" s="920">
        <f>DATA!F3/2.4</f>
        <v>168.75</v>
      </c>
      <c r="G8" s="920">
        <f>DATA!G3/2.4</f>
        <v>172.91666666666669</v>
      </c>
      <c r="H8" s="920">
        <f>DATA!H3/2.4</f>
        <v>176.66666666666669</v>
      </c>
      <c r="I8" s="920">
        <f>DATA!I3/2.4</f>
        <v>180</v>
      </c>
      <c r="J8" s="920">
        <f>DATA!J3/2.4</f>
        <v>182.91666666666669</v>
      </c>
      <c r="K8" s="920">
        <f>DATA!K3/2.4</f>
        <v>185.83333333333334</v>
      </c>
      <c r="L8" s="920">
        <f>DATA!L3/2.4</f>
        <v>188.33333333333334</v>
      </c>
      <c r="M8" s="920">
        <f>DATA!M3/2.4</f>
        <v>190.41666666666669</v>
      </c>
      <c r="N8" s="920">
        <f>DATA!N3/2.4</f>
        <v>192.5</v>
      </c>
      <c r="O8" s="920">
        <f>DATA!O3/2.4</f>
        <v>194.58333333333334</v>
      </c>
      <c r="P8" s="920">
        <f>DATA!P3/2.4</f>
        <v>196.66666666666669</v>
      </c>
      <c r="Q8" s="920">
        <f>DATA!Q3/2.4</f>
        <v>198.33333333333334</v>
      </c>
      <c r="R8" s="920">
        <f>DATA!R3/2.4</f>
        <v>200</v>
      </c>
      <c r="S8" s="920">
        <f>DATA!S3/2.4</f>
        <v>201.66666666666669</v>
      </c>
      <c r="T8" s="920">
        <f>DATA!T3/2.4</f>
        <v>202.91666666666669</v>
      </c>
      <c r="U8" s="920">
        <f>DATA!U3/2.4</f>
        <v>204.58333333333334</v>
      </c>
      <c r="V8" s="920">
        <f>DATA!V3/2.4</f>
        <v>207.08333333333334</v>
      </c>
      <c r="W8" s="920">
        <f>DATA!W3/2.4</f>
        <v>209.58333333333334</v>
      </c>
      <c r="X8" s="920">
        <f>DATA!X3/2.4</f>
        <v>211.66666666666669</v>
      </c>
      <c r="Y8" s="920">
        <f>DATA!Y3/2.4</f>
        <v>213.75</v>
      </c>
      <c r="Z8" s="920">
        <f>DATA!Z3/2.4</f>
        <v>215.41666666666669</v>
      </c>
      <c r="AA8" s="920">
        <f>DATA!AA3/2.4</f>
        <v>219.58333333333334</v>
      </c>
      <c r="AB8" s="920">
        <f>DATA!AB3/2.4</f>
        <v>222.91666666666669</v>
      </c>
      <c r="AC8" s="920">
        <f>DATA!AC3/2.4</f>
        <v>225.83333333333334</v>
      </c>
    </row>
    <row r="9" spans="1:56" ht="15.75">
      <c r="A9" s="919">
        <v>20.100000000000001</v>
      </c>
      <c r="B9" s="920">
        <f>DATA!B4/2.4</f>
        <v>156.25</v>
      </c>
      <c r="C9" s="920">
        <f>DATA!C4/2.4</f>
        <v>156.25</v>
      </c>
      <c r="D9" s="920">
        <f>DATA!D4/2.4</f>
        <v>158.33333333333334</v>
      </c>
      <c r="E9" s="920">
        <f>DATA!E4/2.4</f>
        <v>163.75</v>
      </c>
      <c r="F9" s="920">
        <f>DATA!F4/2.4</f>
        <v>168.33333333333334</v>
      </c>
      <c r="G9" s="920">
        <f>DATA!G4/2.4</f>
        <v>172.5</v>
      </c>
      <c r="H9" s="920">
        <f>DATA!H4/2.4</f>
        <v>176.25</v>
      </c>
      <c r="I9" s="920">
        <f>DATA!I4/2.4</f>
        <v>179.58333333333334</v>
      </c>
      <c r="J9" s="920">
        <f>DATA!J4/2.4</f>
        <v>182.5</v>
      </c>
      <c r="K9" s="920">
        <f>DATA!K4/2.4</f>
        <v>185.41666666666669</v>
      </c>
      <c r="L9" s="920">
        <f>DATA!L4/2.4</f>
        <v>187.91666666666669</v>
      </c>
      <c r="M9" s="920">
        <f>DATA!M4/2.4</f>
        <v>190</v>
      </c>
      <c r="N9" s="920">
        <f>DATA!N4/2.4</f>
        <v>192.08333333333334</v>
      </c>
      <c r="O9" s="920">
        <f>DATA!O4/2.4</f>
        <v>194.16666666666669</v>
      </c>
      <c r="P9" s="920">
        <f>DATA!P4/2.4</f>
        <v>196.25</v>
      </c>
      <c r="Q9" s="920">
        <f>DATA!Q4/2.4</f>
        <v>197.91666666666669</v>
      </c>
      <c r="R9" s="920">
        <f>DATA!R4/2.4</f>
        <v>199.58333333333334</v>
      </c>
      <c r="S9" s="920">
        <f>DATA!S4/2.4</f>
        <v>201.25</v>
      </c>
      <c r="T9" s="920">
        <f>DATA!T4/2.4</f>
        <v>202.5</v>
      </c>
      <c r="U9" s="920">
        <f>DATA!U4/2.4</f>
        <v>204.16666666666669</v>
      </c>
      <c r="V9" s="920">
        <f>DATA!V4/2.4</f>
        <v>206.66666666666669</v>
      </c>
      <c r="W9" s="920">
        <f>DATA!W4/2.4</f>
        <v>209.16666666666669</v>
      </c>
      <c r="X9" s="920">
        <f>DATA!X4/2.4</f>
        <v>211.25</v>
      </c>
      <c r="Y9" s="920">
        <f>DATA!Y4/2.4</f>
        <v>213.33333333333334</v>
      </c>
      <c r="Z9" s="920">
        <f>DATA!Z4/2.4</f>
        <v>215</v>
      </c>
      <c r="AA9" s="920">
        <f>DATA!AA4/2.4</f>
        <v>219.16666666666669</v>
      </c>
      <c r="AB9" s="920">
        <f>DATA!AB4/2.4</f>
        <v>222.5</v>
      </c>
      <c r="AC9" s="920">
        <f>DATA!AC4/2.4</f>
        <v>225.41666666666669</v>
      </c>
    </row>
    <row r="10" spans="1:56" ht="15.75">
      <c r="A10" s="919">
        <f t="shared" ref="A10:A53" si="0">A9+0.1</f>
        <v>20.200000000000003</v>
      </c>
      <c r="B10" s="920">
        <f>DATA!B5/2.4</f>
        <v>155.41666666666669</v>
      </c>
      <c r="C10" s="920">
        <f>DATA!C5/2.4</f>
        <v>155.41666666666669</v>
      </c>
      <c r="D10" s="920">
        <f>DATA!D5/2.4</f>
        <v>157.5</v>
      </c>
      <c r="E10" s="920">
        <f>DATA!E5/2.4</f>
        <v>162.91666666666669</v>
      </c>
      <c r="F10" s="920">
        <f>DATA!F5/2.4</f>
        <v>167.5</v>
      </c>
      <c r="G10" s="920">
        <f>DATA!G5/2.4</f>
        <v>171.66666666666669</v>
      </c>
      <c r="H10" s="920">
        <f>DATA!H5/2.4</f>
        <v>175.41666666666669</v>
      </c>
      <c r="I10" s="920">
        <f>DATA!I5/2.4</f>
        <v>178.75</v>
      </c>
      <c r="J10" s="920">
        <f>DATA!J5/2.4</f>
        <v>181.66666666666669</v>
      </c>
      <c r="K10" s="920">
        <f>DATA!K5/2.4</f>
        <v>184.58333333333334</v>
      </c>
      <c r="L10" s="920">
        <f>DATA!L5/2.4</f>
        <v>187.08333333333334</v>
      </c>
      <c r="M10" s="920">
        <f>DATA!M5/2.4</f>
        <v>189.16666666666669</v>
      </c>
      <c r="N10" s="920">
        <f>DATA!N5/2.4</f>
        <v>191.25</v>
      </c>
      <c r="O10" s="920">
        <f>DATA!O5/2.4</f>
        <v>193.33333333333334</v>
      </c>
      <c r="P10" s="920">
        <f>DATA!P5/2.4</f>
        <v>195.41666666666669</v>
      </c>
      <c r="Q10" s="920">
        <f>DATA!Q5/2.4</f>
        <v>197.08333333333334</v>
      </c>
      <c r="R10" s="920">
        <f>DATA!R5/2.4</f>
        <v>198.75</v>
      </c>
      <c r="S10" s="920">
        <f>DATA!S5/2.4</f>
        <v>200.41666666666669</v>
      </c>
      <c r="T10" s="920">
        <f>DATA!T5/2.4</f>
        <v>201.66666666666669</v>
      </c>
      <c r="U10" s="920">
        <f>DATA!U5/2.4</f>
        <v>203.33333333333334</v>
      </c>
      <c r="V10" s="920">
        <f>DATA!V5/2.4</f>
        <v>205.83333333333334</v>
      </c>
      <c r="W10" s="920">
        <f>DATA!W5/2.4</f>
        <v>208.33333333333334</v>
      </c>
      <c r="X10" s="920">
        <f>DATA!X5/2.4</f>
        <v>210.41666666666669</v>
      </c>
      <c r="Y10" s="920">
        <f>DATA!Y5/2.4</f>
        <v>212.5</v>
      </c>
      <c r="Z10" s="920">
        <f>DATA!Z5/2.4</f>
        <v>214.16666666666669</v>
      </c>
      <c r="AA10" s="920">
        <f>DATA!AA5/2.4</f>
        <v>218.33333333333334</v>
      </c>
      <c r="AB10" s="920">
        <f>DATA!AB5/2.4</f>
        <v>221.66666666666669</v>
      </c>
      <c r="AC10" s="920">
        <f>DATA!AC5/2.4</f>
        <v>224.58333333333334</v>
      </c>
    </row>
    <row r="11" spans="1:56" ht="15.75">
      <c r="A11" s="919">
        <f t="shared" si="0"/>
        <v>20.300000000000004</v>
      </c>
      <c r="B11" s="920">
        <f>DATA!B6/2.4</f>
        <v>154.58333333333334</v>
      </c>
      <c r="C11" s="920">
        <f>DATA!C6/2.4</f>
        <v>154.58333333333334</v>
      </c>
      <c r="D11" s="920">
        <f>DATA!D6/2.4</f>
        <v>156.66666666666669</v>
      </c>
      <c r="E11" s="920">
        <f>DATA!E6/2.4</f>
        <v>162.08333333333334</v>
      </c>
      <c r="F11" s="920">
        <f>DATA!F6/2.4</f>
        <v>166.66666666666669</v>
      </c>
      <c r="G11" s="920">
        <f>DATA!G6/2.4</f>
        <v>170.83333333333334</v>
      </c>
      <c r="H11" s="920">
        <f>DATA!H6/2.4</f>
        <v>174.58333333333334</v>
      </c>
      <c r="I11" s="920">
        <f>DATA!I6/2.4</f>
        <v>177.91666666666669</v>
      </c>
      <c r="J11" s="920">
        <f>DATA!J6/2.4</f>
        <v>180.83333333333334</v>
      </c>
      <c r="K11" s="920">
        <f>DATA!K6/2.4</f>
        <v>183.75</v>
      </c>
      <c r="L11" s="920">
        <f>DATA!L6/2.4</f>
        <v>186.25</v>
      </c>
      <c r="M11" s="920">
        <f>DATA!M6/2.4</f>
        <v>188.33333333333334</v>
      </c>
      <c r="N11" s="920">
        <f>DATA!N6/2.4</f>
        <v>190.41666666666669</v>
      </c>
      <c r="O11" s="920">
        <f>DATA!O6/2.4</f>
        <v>192.5</v>
      </c>
      <c r="P11" s="920">
        <f>DATA!P6/2.4</f>
        <v>194.58333333333334</v>
      </c>
      <c r="Q11" s="920">
        <f>DATA!Q6/2.4</f>
        <v>196.25</v>
      </c>
      <c r="R11" s="920">
        <f>DATA!R6/2.4</f>
        <v>197.91666666666669</v>
      </c>
      <c r="S11" s="920">
        <f>DATA!S6/2.4</f>
        <v>199.58333333333334</v>
      </c>
      <c r="T11" s="920">
        <f>DATA!T6/2.4</f>
        <v>200.83333333333334</v>
      </c>
      <c r="U11" s="920">
        <f>DATA!U6/2.4</f>
        <v>202.5</v>
      </c>
      <c r="V11" s="920">
        <f>DATA!V6/2.4</f>
        <v>205</v>
      </c>
      <c r="W11" s="920">
        <f>DATA!W6/2.4</f>
        <v>207.5</v>
      </c>
      <c r="X11" s="920">
        <f>DATA!X6/2.4</f>
        <v>209.58333333333334</v>
      </c>
      <c r="Y11" s="920">
        <f>DATA!Y6/2.4</f>
        <v>211.66666666666669</v>
      </c>
      <c r="Z11" s="920">
        <f>DATA!Z6/2.4</f>
        <v>213.33333333333334</v>
      </c>
      <c r="AA11" s="920">
        <f>DATA!AA6/2.4</f>
        <v>217.5</v>
      </c>
      <c r="AB11" s="920">
        <f>DATA!AB6/2.4</f>
        <v>220.83333333333334</v>
      </c>
      <c r="AC11" s="920">
        <f>DATA!AC6/2.4</f>
        <v>223.75</v>
      </c>
    </row>
    <row r="12" spans="1:56" ht="15.75">
      <c r="A12" s="919">
        <f t="shared" si="0"/>
        <v>20.400000000000006</v>
      </c>
      <c r="B12" s="920">
        <f>DATA!B7/2.4</f>
        <v>154.16666666666669</v>
      </c>
      <c r="C12" s="920">
        <f>DATA!C7/2.4</f>
        <v>154.16666666666669</v>
      </c>
      <c r="D12" s="920">
        <f>DATA!D7/2.4</f>
        <v>156.25</v>
      </c>
      <c r="E12" s="920">
        <f>DATA!E7/2.4</f>
        <v>161.66666666666669</v>
      </c>
      <c r="F12" s="920">
        <f>DATA!F7/2.4</f>
        <v>166.25</v>
      </c>
      <c r="G12" s="920">
        <f>DATA!G7/2.4</f>
        <v>170.41666666666669</v>
      </c>
      <c r="H12" s="920">
        <f>DATA!H7/2.4</f>
        <v>174.16666666666669</v>
      </c>
      <c r="I12" s="920">
        <f>DATA!I7/2.4</f>
        <v>177.5</v>
      </c>
      <c r="J12" s="920">
        <f>DATA!J7/2.4</f>
        <v>180.41666666666669</v>
      </c>
      <c r="K12" s="920">
        <f>DATA!K7/2.4</f>
        <v>183.33333333333334</v>
      </c>
      <c r="L12" s="920">
        <f>DATA!L7/2.4</f>
        <v>185.83333333333334</v>
      </c>
      <c r="M12" s="920">
        <f>DATA!M7/2.4</f>
        <v>187.91666666666669</v>
      </c>
      <c r="N12" s="920">
        <f>DATA!N7/2.4</f>
        <v>190</v>
      </c>
      <c r="O12" s="920">
        <f>DATA!O7/2.4</f>
        <v>192.08333333333334</v>
      </c>
      <c r="P12" s="920">
        <f>DATA!P7/2.4</f>
        <v>194.16666666666669</v>
      </c>
      <c r="Q12" s="920">
        <f>DATA!Q7/2.4</f>
        <v>195.83333333333334</v>
      </c>
      <c r="R12" s="920">
        <f>DATA!R7/2.4</f>
        <v>197.5</v>
      </c>
      <c r="S12" s="920">
        <f>DATA!S7/2.4</f>
        <v>199.16666666666669</v>
      </c>
      <c r="T12" s="920">
        <f>DATA!T7/2.4</f>
        <v>200.41666666666669</v>
      </c>
      <c r="U12" s="920">
        <f>DATA!U7/2.4</f>
        <v>202.08333333333334</v>
      </c>
      <c r="V12" s="920">
        <f>DATA!V7/2.4</f>
        <v>204.58333333333334</v>
      </c>
      <c r="W12" s="920">
        <f>DATA!W7/2.4</f>
        <v>207.08333333333334</v>
      </c>
      <c r="X12" s="920">
        <f>DATA!X7/2.4</f>
        <v>209.16666666666669</v>
      </c>
      <c r="Y12" s="920">
        <f>DATA!Y7/2.4</f>
        <v>211.25</v>
      </c>
      <c r="Z12" s="920">
        <f>DATA!Z7/2.4</f>
        <v>212.91666666666669</v>
      </c>
      <c r="AA12" s="920">
        <f>DATA!AA7/2.4</f>
        <v>217.08333333333334</v>
      </c>
      <c r="AB12" s="920">
        <f>DATA!AB7/2.4</f>
        <v>220.41666666666669</v>
      </c>
      <c r="AC12" s="920">
        <f>DATA!AC7/2.4</f>
        <v>223.33333333333334</v>
      </c>
    </row>
    <row r="13" spans="1:56" ht="15.75">
      <c r="A13" s="919">
        <f t="shared" si="0"/>
        <v>20.500000000000007</v>
      </c>
      <c r="B13" s="920">
        <f>DATA!B8/2.4</f>
        <v>153.75</v>
      </c>
      <c r="C13" s="920">
        <f>DATA!C8/2.4</f>
        <v>153.75</v>
      </c>
      <c r="D13" s="920">
        <f>DATA!D8/2.4</f>
        <v>155.83333333333334</v>
      </c>
      <c r="E13" s="920">
        <f>DATA!E8/2.4</f>
        <v>161.25</v>
      </c>
      <c r="F13" s="920">
        <f>DATA!F8/2.4</f>
        <v>165.83333333333334</v>
      </c>
      <c r="G13" s="920">
        <f>DATA!G8/2.4</f>
        <v>170</v>
      </c>
      <c r="H13" s="920">
        <f>DATA!H8/2.4</f>
        <v>173.75</v>
      </c>
      <c r="I13" s="920">
        <f>DATA!I8/2.4</f>
        <v>177.08333333333334</v>
      </c>
      <c r="J13" s="920">
        <f>DATA!J8/2.4</f>
        <v>180</v>
      </c>
      <c r="K13" s="920">
        <f>DATA!K8/2.4</f>
        <v>182.91666666666669</v>
      </c>
      <c r="L13" s="920">
        <f>DATA!L8/2.4</f>
        <v>185.41666666666669</v>
      </c>
      <c r="M13" s="920">
        <f>DATA!M8/2.4</f>
        <v>187.5</v>
      </c>
      <c r="N13" s="920">
        <f>DATA!N8/2.4</f>
        <v>189.58333333333334</v>
      </c>
      <c r="O13" s="920">
        <f>DATA!O8/2.4</f>
        <v>191.66666666666669</v>
      </c>
      <c r="P13" s="920">
        <f>DATA!P8/2.4</f>
        <v>193.75</v>
      </c>
      <c r="Q13" s="920">
        <f>DATA!Q8/2.4</f>
        <v>195.41666666666669</v>
      </c>
      <c r="R13" s="920">
        <f>DATA!R8/2.4</f>
        <v>197.08333333333334</v>
      </c>
      <c r="S13" s="920">
        <f>DATA!S8/2.4</f>
        <v>198.75</v>
      </c>
      <c r="T13" s="920">
        <f>DATA!T8/2.4</f>
        <v>200</v>
      </c>
      <c r="U13" s="920">
        <f>DATA!U8/2.4</f>
        <v>201.66666666666669</v>
      </c>
      <c r="V13" s="920">
        <f>DATA!V8/2.4</f>
        <v>204.16666666666669</v>
      </c>
      <c r="W13" s="920">
        <f>DATA!W8/2.4</f>
        <v>206.66666666666669</v>
      </c>
      <c r="X13" s="920">
        <f>DATA!X8/2.4</f>
        <v>208.75</v>
      </c>
      <c r="Y13" s="920">
        <f>DATA!Y8/2.4</f>
        <v>210.83333333333334</v>
      </c>
      <c r="Z13" s="920">
        <f>DATA!Z8/2.4</f>
        <v>212.5</v>
      </c>
      <c r="AA13" s="920">
        <f>DATA!AA8/2.4</f>
        <v>216.66666666666669</v>
      </c>
      <c r="AB13" s="920">
        <f>DATA!AB8/2.4</f>
        <v>220</v>
      </c>
      <c r="AC13" s="920">
        <f>DATA!AC8/2.4</f>
        <v>222.91666666666669</v>
      </c>
    </row>
    <row r="14" spans="1:56" ht="15.75">
      <c r="A14" s="919">
        <f t="shared" si="0"/>
        <v>20.600000000000009</v>
      </c>
      <c r="B14" s="920">
        <f>DATA!B9/2.4</f>
        <v>152.91666666666669</v>
      </c>
      <c r="C14" s="920">
        <f>DATA!C9/2.4</f>
        <v>152.91666666666669</v>
      </c>
      <c r="D14" s="920">
        <f>DATA!D9/2.4</f>
        <v>155</v>
      </c>
      <c r="E14" s="920">
        <f>DATA!E9/2.4</f>
        <v>160.41666666666669</v>
      </c>
      <c r="F14" s="920">
        <f>DATA!F9/2.4</f>
        <v>165</v>
      </c>
      <c r="G14" s="920">
        <f>DATA!G9/2.4</f>
        <v>169.16666666666669</v>
      </c>
      <c r="H14" s="920">
        <f>DATA!H9/2.4</f>
        <v>172.91666666666669</v>
      </c>
      <c r="I14" s="920">
        <f>DATA!I9/2.4</f>
        <v>176.25</v>
      </c>
      <c r="J14" s="920">
        <f>DATA!J9/2.4</f>
        <v>179.16666666666669</v>
      </c>
      <c r="K14" s="920">
        <f>DATA!K9/2.4</f>
        <v>182.08333333333334</v>
      </c>
      <c r="L14" s="920">
        <f>DATA!L9/2.4</f>
        <v>184.58333333333334</v>
      </c>
      <c r="M14" s="920">
        <f>DATA!M9/2.4</f>
        <v>186.66666666666669</v>
      </c>
      <c r="N14" s="920">
        <f>DATA!N9/2.4</f>
        <v>188.75</v>
      </c>
      <c r="O14" s="920">
        <f>DATA!O9/2.4</f>
        <v>190.83333333333334</v>
      </c>
      <c r="P14" s="920">
        <f>DATA!P9/2.4</f>
        <v>192.91666666666669</v>
      </c>
      <c r="Q14" s="920">
        <f>DATA!Q9/2.4</f>
        <v>194.58333333333334</v>
      </c>
      <c r="R14" s="920">
        <f>DATA!R9/2.4</f>
        <v>196.25</v>
      </c>
      <c r="S14" s="920">
        <f>DATA!S9/2.4</f>
        <v>197.91666666666669</v>
      </c>
      <c r="T14" s="920">
        <f>DATA!T9/2.4</f>
        <v>199.16666666666669</v>
      </c>
      <c r="U14" s="920">
        <f>DATA!U9/2.4</f>
        <v>200.83333333333334</v>
      </c>
      <c r="V14" s="920">
        <f>DATA!V9/2.4</f>
        <v>203.33333333333334</v>
      </c>
      <c r="W14" s="920">
        <f>DATA!W9/2.4</f>
        <v>205.83333333333334</v>
      </c>
      <c r="X14" s="920">
        <f>DATA!X9/2.4</f>
        <v>207.91666666666669</v>
      </c>
      <c r="Y14" s="920">
        <f>DATA!Y9/2.4</f>
        <v>210</v>
      </c>
      <c r="Z14" s="920">
        <f>DATA!Z9/2.4</f>
        <v>211.66666666666669</v>
      </c>
      <c r="AA14" s="920">
        <f>DATA!AA9/2.4</f>
        <v>215.83333333333334</v>
      </c>
      <c r="AB14" s="920">
        <f>DATA!AB9/2.4</f>
        <v>219.16666666666669</v>
      </c>
      <c r="AC14" s="920">
        <f>DATA!AC9/2.4</f>
        <v>222.08333333333334</v>
      </c>
    </row>
    <row r="15" spans="1:56" ht="15.75">
      <c r="A15" s="919">
        <f t="shared" si="0"/>
        <v>20.70000000000001</v>
      </c>
      <c r="B15" s="920">
        <f>DATA!B10/2.4</f>
        <v>152.08333333333334</v>
      </c>
      <c r="C15" s="920">
        <f>DATA!C10/2.4</f>
        <v>152.08333333333334</v>
      </c>
      <c r="D15" s="920">
        <f>DATA!D10/2.4</f>
        <v>154.16666666666669</v>
      </c>
      <c r="E15" s="920">
        <f>DATA!E10/2.4</f>
        <v>159.58333333333334</v>
      </c>
      <c r="F15" s="920">
        <f>DATA!F10/2.4</f>
        <v>164.16666666666669</v>
      </c>
      <c r="G15" s="920">
        <f>DATA!G10/2.4</f>
        <v>168.33333333333334</v>
      </c>
      <c r="H15" s="920">
        <f>DATA!H10/2.4</f>
        <v>172.08333333333334</v>
      </c>
      <c r="I15" s="920">
        <f>DATA!I10/2.4</f>
        <v>175.41666666666669</v>
      </c>
      <c r="J15" s="920">
        <f>DATA!J10/2.4</f>
        <v>178.33333333333334</v>
      </c>
      <c r="K15" s="920">
        <f>DATA!K10/2.4</f>
        <v>181.25</v>
      </c>
      <c r="L15" s="920">
        <f>DATA!L10/2.4</f>
        <v>183.75</v>
      </c>
      <c r="M15" s="920">
        <f>DATA!M10/2.4</f>
        <v>185.83333333333334</v>
      </c>
      <c r="N15" s="920">
        <f>DATA!N10/2.4</f>
        <v>187.91666666666669</v>
      </c>
      <c r="O15" s="920">
        <f>DATA!O10/2.4</f>
        <v>190</v>
      </c>
      <c r="P15" s="920">
        <f>DATA!P10/2.4</f>
        <v>192.08333333333334</v>
      </c>
      <c r="Q15" s="920">
        <f>DATA!Q10/2.4</f>
        <v>193.75</v>
      </c>
      <c r="R15" s="920">
        <f>DATA!R10/2.4</f>
        <v>195.41666666666669</v>
      </c>
      <c r="S15" s="920">
        <f>DATA!S10/2.4</f>
        <v>197.08333333333334</v>
      </c>
      <c r="T15" s="920">
        <f>DATA!T10/2.4</f>
        <v>198.33333333333334</v>
      </c>
      <c r="U15" s="920">
        <f>DATA!U10/2.4</f>
        <v>200</v>
      </c>
      <c r="V15" s="920">
        <f>DATA!V10/2.4</f>
        <v>202.5</v>
      </c>
      <c r="W15" s="920">
        <f>DATA!W10/2.4</f>
        <v>205</v>
      </c>
      <c r="X15" s="920">
        <f>DATA!X10/2.4</f>
        <v>207.08333333333334</v>
      </c>
      <c r="Y15" s="920">
        <f>DATA!Y10/2.4</f>
        <v>209.16666666666669</v>
      </c>
      <c r="Z15" s="920">
        <f>DATA!Z10/2.4</f>
        <v>210.83333333333334</v>
      </c>
      <c r="AA15" s="920">
        <f>DATA!AA10/2.4</f>
        <v>215</v>
      </c>
      <c r="AB15" s="920">
        <f>DATA!AB10/2.4</f>
        <v>218.33333333333334</v>
      </c>
      <c r="AC15" s="920">
        <f>DATA!AC10/2.4</f>
        <v>221.25</v>
      </c>
    </row>
    <row r="16" spans="1:56" ht="15.75">
      <c r="A16" s="919">
        <f t="shared" si="0"/>
        <v>20.800000000000011</v>
      </c>
      <c r="B16" s="920">
        <f>DATA!B11/2.4</f>
        <v>151.66666666666669</v>
      </c>
      <c r="C16" s="920">
        <f>DATA!C11/2.4</f>
        <v>151.66666666666669</v>
      </c>
      <c r="D16" s="920">
        <f>DATA!D11/2.4</f>
        <v>153.75</v>
      </c>
      <c r="E16" s="920">
        <f>DATA!E11/2.4</f>
        <v>159.16666666666669</v>
      </c>
      <c r="F16" s="920">
        <f>DATA!F11/2.4</f>
        <v>163.75</v>
      </c>
      <c r="G16" s="920">
        <f>DATA!G11/2.4</f>
        <v>167.91666666666669</v>
      </c>
      <c r="H16" s="920">
        <f>DATA!H11/2.4</f>
        <v>171.66666666666669</v>
      </c>
      <c r="I16" s="920">
        <f>DATA!I11/2.4</f>
        <v>175</v>
      </c>
      <c r="J16" s="920">
        <f>DATA!J11/2.4</f>
        <v>177.91666666666669</v>
      </c>
      <c r="K16" s="920">
        <f>DATA!K11/2.4</f>
        <v>180.83333333333334</v>
      </c>
      <c r="L16" s="920">
        <f>DATA!L11/2.4</f>
        <v>183.33333333333334</v>
      </c>
      <c r="M16" s="920">
        <f>DATA!M11/2.4</f>
        <v>185.41666666666669</v>
      </c>
      <c r="N16" s="920">
        <f>DATA!N11/2.4</f>
        <v>187.5</v>
      </c>
      <c r="O16" s="920">
        <f>DATA!O11/2.4</f>
        <v>189.58333333333334</v>
      </c>
      <c r="P16" s="920">
        <f>DATA!P11/2.4</f>
        <v>191.66666666666669</v>
      </c>
      <c r="Q16" s="920">
        <f>DATA!Q11/2.4</f>
        <v>193.33333333333334</v>
      </c>
      <c r="R16" s="920">
        <f>DATA!R11/2.4</f>
        <v>195</v>
      </c>
      <c r="S16" s="920">
        <f>DATA!S11/2.4</f>
        <v>196.66666666666669</v>
      </c>
      <c r="T16" s="920">
        <f>DATA!T11/2.4</f>
        <v>197.91666666666669</v>
      </c>
      <c r="U16" s="920">
        <f>DATA!U11/2.4</f>
        <v>199.58333333333334</v>
      </c>
      <c r="V16" s="920">
        <f>DATA!V11/2.4</f>
        <v>202.08333333333334</v>
      </c>
      <c r="W16" s="920">
        <f>DATA!W11/2.4</f>
        <v>204.58333333333334</v>
      </c>
      <c r="X16" s="920">
        <f>DATA!X11/2.4</f>
        <v>206.66666666666669</v>
      </c>
      <c r="Y16" s="920">
        <f>DATA!Y11/2.4</f>
        <v>208.75</v>
      </c>
      <c r="Z16" s="920">
        <f>DATA!Z11/2.4</f>
        <v>210.41666666666669</v>
      </c>
      <c r="AA16" s="920">
        <f>DATA!AA11/2.4</f>
        <v>214.58333333333334</v>
      </c>
      <c r="AB16" s="920">
        <f>DATA!AB11/2.4</f>
        <v>217.91666666666669</v>
      </c>
      <c r="AC16" s="920">
        <f>DATA!AC11/2.4</f>
        <v>220.83333333333334</v>
      </c>
    </row>
    <row r="17" spans="1:29" ht="15.75">
      <c r="A17" s="919">
        <f t="shared" si="0"/>
        <v>20.900000000000013</v>
      </c>
      <c r="B17" s="920">
        <f>DATA!B12/2.4</f>
        <v>151.25</v>
      </c>
      <c r="C17" s="920">
        <f>DATA!C12/2.4</f>
        <v>151.25</v>
      </c>
      <c r="D17" s="920">
        <f>DATA!D12/2.4</f>
        <v>153.33333333333334</v>
      </c>
      <c r="E17" s="920">
        <f>DATA!E12/2.4</f>
        <v>158.75</v>
      </c>
      <c r="F17" s="920">
        <f>DATA!F12/2.4</f>
        <v>163.33333333333334</v>
      </c>
      <c r="G17" s="920">
        <f>DATA!G12/2.4</f>
        <v>167.5</v>
      </c>
      <c r="H17" s="920">
        <f>DATA!H12/2.4</f>
        <v>171.25</v>
      </c>
      <c r="I17" s="920">
        <f>DATA!I12/2.4</f>
        <v>174.58333333333334</v>
      </c>
      <c r="J17" s="920">
        <f>DATA!J12/2.4</f>
        <v>177.5</v>
      </c>
      <c r="K17" s="920">
        <f>DATA!K12/2.4</f>
        <v>180.41666666666669</v>
      </c>
      <c r="L17" s="920">
        <f>DATA!L12/2.4</f>
        <v>182.91666666666669</v>
      </c>
      <c r="M17" s="920">
        <f>DATA!M12/2.4</f>
        <v>185</v>
      </c>
      <c r="N17" s="920">
        <f>DATA!N12/2.4</f>
        <v>187.08333333333334</v>
      </c>
      <c r="O17" s="920">
        <f>DATA!O12/2.4</f>
        <v>189.16666666666669</v>
      </c>
      <c r="P17" s="920">
        <f>DATA!P12/2.4</f>
        <v>191.25</v>
      </c>
      <c r="Q17" s="920">
        <f>DATA!Q12/2.4</f>
        <v>192.91666666666669</v>
      </c>
      <c r="R17" s="920">
        <f>DATA!R12/2.4</f>
        <v>194.58333333333334</v>
      </c>
      <c r="S17" s="920">
        <f>DATA!S12/2.4</f>
        <v>196.25</v>
      </c>
      <c r="T17" s="920">
        <f>DATA!T12/2.4</f>
        <v>197.5</v>
      </c>
      <c r="U17" s="920">
        <f>DATA!U12/2.4</f>
        <v>199.16666666666669</v>
      </c>
      <c r="V17" s="920">
        <f>DATA!V12/2.4</f>
        <v>201.66666666666669</v>
      </c>
      <c r="W17" s="920">
        <f>DATA!W12/2.4</f>
        <v>204.16666666666669</v>
      </c>
      <c r="X17" s="920">
        <f>DATA!X12/2.4</f>
        <v>206.25</v>
      </c>
      <c r="Y17" s="920">
        <f>DATA!Y12/2.4</f>
        <v>208.33333333333334</v>
      </c>
      <c r="Z17" s="920">
        <f>DATA!Z12/2.4</f>
        <v>210</v>
      </c>
      <c r="AA17" s="920">
        <f>DATA!AA12/2.4</f>
        <v>214.16666666666669</v>
      </c>
      <c r="AB17" s="920">
        <f>DATA!AB12/2.4</f>
        <v>217.5</v>
      </c>
      <c r="AC17" s="920">
        <f>DATA!AC12/2.4</f>
        <v>220.41666666666669</v>
      </c>
    </row>
    <row r="18" spans="1:29" ht="15.75">
      <c r="A18" s="919">
        <f t="shared" si="0"/>
        <v>21.000000000000014</v>
      </c>
      <c r="B18" s="920">
        <f>DATA!B13/2.4</f>
        <v>150.41666666666669</v>
      </c>
      <c r="C18" s="920">
        <f>DATA!C13/2.4</f>
        <v>150.41666666666669</v>
      </c>
      <c r="D18" s="920">
        <f>DATA!D13/2.4</f>
        <v>152.5</v>
      </c>
      <c r="E18" s="920">
        <f>DATA!E13/2.4</f>
        <v>157.91666666666669</v>
      </c>
      <c r="F18" s="920">
        <f>DATA!F13/2.4</f>
        <v>162.5</v>
      </c>
      <c r="G18" s="920">
        <f>DATA!G13/2.4</f>
        <v>166.66666666666669</v>
      </c>
      <c r="H18" s="920">
        <f>DATA!H13/2.4</f>
        <v>170.41666666666669</v>
      </c>
      <c r="I18" s="920">
        <f>DATA!I13/2.4</f>
        <v>173.75</v>
      </c>
      <c r="J18" s="920">
        <f>DATA!J13/2.4</f>
        <v>176.66666666666669</v>
      </c>
      <c r="K18" s="920">
        <f>DATA!K13/2.4</f>
        <v>179.58333333333334</v>
      </c>
      <c r="L18" s="920">
        <f>DATA!L13/2.4</f>
        <v>182.08333333333334</v>
      </c>
      <c r="M18" s="920">
        <f>DATA!M13/2.4</f>
        <v>184.16666666666669</v>
      </c>
      <c r="N18" s="920">
        <f>DATA!N13/2.4</f>
        <v>186.25</v>
      </c>
      <c r="O18" s="920">
        <f>DATA!O13/2.4</f>
        <v>188.33333333333334</v>
      </c>
      <c r="P18" s="920">
        <f>DATA!P13/2.4</f>
        <v>190.41666666666669</v>
      </c>
      <c r="Q18" s="920">
        <f>DATA!Q13/2.4</f>
        <v>192.08333333333334</v>
      </c>
      <c r="R18" s="920">
        <f>DATA!R13/2.4</f>
        <v>193.75</v>
      </c>
      <c r="S18" s="920">
        <f>DATA!S13/2.4</f>
        <v>195.41666666666669</v>
      </c>
      <c r="T18" s="920">
        <f>DATA!T13/2.4</f>
        <v>196.66666666666669</v>
      </c>
      <c r="U18" s="920">
        <f>DATA!U13/2.4</f>
        <v>198.33333333333334</v>
      </c>
      <c r="V18" s="920">
        <f>DATA!V13/2.4</f>
        <v>200.83333333333334</v>
      </c>
      <c r="W18" s="920">
        <f>DATA!W13/2.4</f>
        <v>203.33333333333334</v>
      </c>
      <c r="X18" s="920">
        <f>DATA!X13/2.4</f>
        <v>205.41666666666669</v>
      </c>
      <c r="Y18" s="920">
        <f>DATA!Y13/2.4</f>
        <v>207.5</v>
      </c>
      <c r="Z18" s="920">
        <f>DATA!Z13/2.4</f>
        <v>209.16666666666669</v>
      </c>
      <c r="AA18" s="920">
        <f>DATA!AA13/2.4</f>
        <v>213.33333333333334</v>
      </c>
      <c r="AB18" s="920">
        <f>DATA!AB13/2.4</f>
        <v>216.66666666666669</v>
      </c>
      <c r="AC18" s="920">
        <f>DATA!AC13/2.4</f>
        <v>219.58333333333334</v>
      </c>
    </row>
    <row r="19" spans="1:29" ht="15.75">
      <c r="A19" s="919">
        <f t="shared" si="0"/>
        <v>21.100000000000016</v>
      </c>
      <c r="B19" s="920">
        <f>DATA!B14/2.4</f>
        <v>149.58333333333334</v>
      </c>
      <c r="C19" s="920">
        <f>DATA!C14/2.4</f>
        <v>149.58333333333334</v>
      </c>
      <c r="D19" s="920">
        <f>DATA!D14/2.4</f>
        <v>151.66666666666669</v>
      </c>
      <c r="E19" s="920">
        <f>DATA!E14/2.4</f>
        <v>157.08333333333334</v>
      </c>
      <c r="F19" s="920">
        <f>DATA!F14/2.4</f>
        <v>161.66666666666669</v>
      </c>
      <c r="G19" s="920">
        <f>DATA!G14/2.4</f>
        <v>165.83333333333334</v>
      </c>
      <c r="H19" s="920">
        <f>DATA!H14/2.4</f>
        <v>169.58333333333334</v>
      </c>
      <c r="I19" s="920">
        <f>DATA!I14/2.4</f>
        <v>172.91666666666669</v>
      </c>
      <c r="J19" s="920">
        <f>DATA!J14/2.4</f>
        <v>175.83333333333334</v>
      </c>
      <c r="K19" s="920">
        <f>DATA!K14/2.4</f>
        <v>178.75</v>
      </c>
      <c r="L19" s="920">
        <f>DATA!L14/2.4</f>
        <v>181.25</v>
      </c>
      <c r="M19" s="920">
        <f>DATA!M14/2.4</f>
        <v>183.33333333333334</v>
      </c>
      <c r="N19" s="920">
        <f>DATA!N14/2.4</f>
        <v>185.41666666666669</v>
      </c>
      <c r="O19" s="920">
        <f>DATA!O14/2.4</f>
        <v>187.5</v>
      </c>
      <c r="P19" s="920">
        <f>DATA!P14/2.4</f>
        <v>189.58333333333334</v>
      </c>
      <c r="Q19" s="920">
        <f>DATA!Q14/2.4</f>
        <v>191.25</v>
      </c>
      <c r="R19" s="920">
        <f>DATA!R14/2.4</f>
        <v>192.91666666666669</v>
      </c>
      <c r="S19" s="920">
        <f>DATA!S14/2.4</f>
        <v>194.58333333333334</v>
      </c>
      <c r="T19" s="920">
        <f>DATA!T14/2.4</f>
        <v>195.83333333333334</v>
      </c>
      <c r="U19" s="920">
        <f>DATA!U14/2.4</f>
        <v>197.5</v>
      </c>
      <c r="V19" s="920">
        <f>DATA!V14/2.4</f>
        <v>200</v>
      </c>
      <c r="W19" s="920">
        <f>DATA!W14/2.4</f>
        <v>202.5</v>
      </c>
      <c r="X19" s="920">
        <f>DATA!X14/2.4</f>
        <v>204.58333333333334</v>
      </c>
      <c r="Y19" s="920">
        <f>DATA!Y14/2.4</f>
        <v>206.66666666666669</v>
      </c>
      <c r="Z19" s="920">
        <f>DATA!Z14/2.4</f>
        <v>208.33333333333334</v>
      </c>
      <c r="AA19" s="920">
        <f>DATA!AA14/2.4</f>
        <v>212.5</v>
      </c>
      <c r="AB19" s="920">
        <f>DATA!AB14/2.4</f>
        <v>215.83333333333334</v>
      </c>
      <c r="AC19" s="920">
        <f>DATA!AC14/2.4</f>
        <v>218.75</v>
      </c>
    </row>
    <row r="20" spans="1:29" ht="15.75">
      <c r="A20" s="919">
        <f t="shared" si="0"/>
        <v>21.200000000000017</v>
      </c>
      <c r="B20" s="920">
        <f>DATA!B15/2.4</f>
        <v>149.16666666666669</v>
      </c>
      <c r="C20" s="920">
        <f>DATA!C15/2.4</f>
        <v>149.16666666666669</v>
      </c>
      <c r="D20" s="920">
        <f>DATA!D15/2.4</f>
        <v>151.25</v>
      </c>
      <c r="E20" s="920">
        <f>DATA!E15/2.4</f>
        <v>156.66666666666669</v>
      </c>
      <c r="F20" s="920">
        <f>DATA!F15/2.4</f>
        <v>161.25</v>
      </c>
      <c r="G20" s="920">
        <f>DATA!G15/2.4</f>
        <v>165.41666666666669</v>
      </c>
      <c r="H20" s="920">
        <f>DATA!H15/2.4</f>
        <v>169.16666666666669</v>
      </c>
      <c r="I20" s="920">
        <f>DATA!I15/2.4</f>
        <v>172.5</v>
      </c>
      <c r="J20" s="920">
        <f>DATA!J15/2.4</f>
        <v>175.41666666666669</v>
      </c>
      <c r="K20" s="920">
        <f>DATA!K15/2.4</f>
        <v>178.33333333333334</v>
      </c>
      <c r="L20" s="920">
        <f>DATA!L15/2.4</f>
        <v>180.83333333333334</v>
      </c>
      <c r="M20" s="920">
        <f>DATA!M15/2.4</f>
        <v>182.91666666666669</v>
      </c>
      <c r="N20" s="920">
        <f>DATA!N15/2.4</f>
        <v>185</v>
      </c>
      <c r="O20" s="920">
        <f>DATA!O15/2.4</f>
        <v>187.08333333333334</v>
      </c>
      <c r="P20" s="920">
        <f>DATA!P15/2.4</f>
        <v>189.16666666666669</v>
      </c>
      <c r="Q20" s="920">
        <f>DATA!Q15/2.4</f>
        <v>190.83333333333334</v>
      </c>
      <c r="R20" s="920">
        <f>DATA!R15/2.4</f>
        <v>192.5</v>
      </c>
      <c r="S20" s="920">
        <f>DATA!S15/2.4</f>
        <v>194.16666666666669</v>
      </c>
      <c r="T20" s="920">
        <f>DATA!T15/2.4</f>
        <v>195.41666666666669</v>
      </c>
      <c r="U20" s="920">
        <f>DATA!U15/2.4</f>
        <v>197.08333333333334</v>
      </c>
      <c r="V20" s="920">
        <f>DATA!V15/2.4</f>
        <v>199.58333333333334</v>
      </c>
      <c r="W20" s="920">
        <f>DATA!W15/2.4</f>
        <v>202.08333333333334</v>
      </c>
      <c r="X20" s="920">
        <f>DATA!X15/2.4</f>
        <v>204.16666666666669</v>
      </c>
      <c r="Y20" s="920">
        <f>DATA!Y15/2.4</f>
        <v>206.25</v>
      </c>
      <c r="Z20" s="920">
        <f>DATA!Z15/2.4</f>
        <v>207.91666666666669</v>
      </c>
      <c r="AA20" s="920">
        <f>DATA!AA15/2.4</f>
        <v>212.08333333333334</v>
      </c>
      <c r="AB20" s="920">
        <f>DATA!AB15/2.4</f>
        <v>215.41666666666669</v>
      </c>
      <c r="AC20" s="920">
        <f>DATA!AC15/2.4</f>
        <v>218.33333333333334</v>
      </c>
    </row>
    <row r="21" spans="1:29" ht="15.75">
      <c r="A21" s="919">
        <f t="shared" si="0"/>
        <v>21.300000000000018</v>
      </c>
      <c r="B21" s="920">
        <f>DATA!B16/2.4</f>
        <v>148.75</v>
      </c>
      <c r="C21" s="920">
        <f>DATA!C16/2.4</f>
        <v>148.75</v>
      </c>
      <c r="D21" s="920">
        <f>DATA!D16/2.4</f>
        <v>150.83333333333334</v>
      </c>
      <c r="E21" s="920">
        <f>DATA!E16/2.4</f>
        <v>156.25</v>
      </c>
      <c r="F21" s="920">
        <f>DATA!F16/2.4</f>
        <v>160.83333333333334</v>
      </c>
      <c r="G21" s="920">
        <f>DATA!G16/2.4</f>
        <v>165</v>
      </c>
      <c r="H21" s="920">
        <f>DATA!H16/2.4</f>
        <v>168.75</v>
      </c>
      <c r="I21" s="920">
        <f>DATA!I16/2.4</f>
        <v>172.08333333333334</v>
      </c>
      <c r="J21" s="920">
        <f>DATA!J16/2.4</f>
        <v>175</v>
      </c>
      <c r="K21" s="920">
        <f>DATA!K16/2.4</f>
        <v>177.91666666666669</v>
      </c>
      <c r="L21" s="920">
        <f>DATA!L16/2.4</f>
        <v>180.41666666666669</v>
      </c>
      <c r="M21" s="920">
        <f>DATA!M16/2.4</f>
        <v>182.5</v>
      </c>
      <c r="N21" s="920">
        <f>DATA!N16/2.4</f>
        <v>184.58333333333334</v>
      </c>
      <c r="O21" s="920">
        <f>DATA!O16/2.4</f>
        <v>186.66666666666669</v>
      </c>
      <c r="P21" s="920">
        <f>DATA!P16/2.4</f>
        <v>188.75</v>
      </c>
      <c r="Q21" s="920">
        <f>DATA!Q16/2.4</f>
        <v>190.41666666666669</v>
      </c>
      <c r="R21" s="920">
        <f>DATA!R16/2.4</f>
        <v>192.08333333333334</v>
      </c>
      <c r="S21" s="920">
        <f>DATA!S16/2.4</f>
        <v>193.75</v>
      </c>
      <c r="T21" s="920">
        <f>DATA!T16/2.4</f>
        <v>195</v>
      </c>
      <c r="U21" s="920">
        <f>DATA!U16/2.4</f>
        <v>196.66666666666669</v>
      </c>
      <c r="V21" s="920">
        <f>DATA!V16/2.4</f>
        <v>199.16666666666669</v>
      </c>
      <c r="W21" s="920">
        <f>DATA!W16/2.4</f>
        <v>201.66666666666669</v>
      </c>
      <c r="X21" s="920">
        <f>DATA!X16/2.4</f>
        <v>203.75</v>
      </c>
      <c r="Y21" s="920">
        <f>DATA!Y16/2.4</f>
        <v>205.83333333333334</v>
      </c>
      <c r="Z21" s="920">
        <f>DATA!Z16/2.4</f>
        <v>207.5</v>
      </c>
      <c r="AA21" s="920">
        <f>DATA!AA16/2.4</f>
        <v>211.66666666666669</v>
      </c>
      <c r="AB21" s="920">
        <f>DATA!AB16/2.4</f>
        <v>215</v>
      </c>
      <c r="AC21" s="920">
        <f>DATA!AC16/2.4</f>
        <v>217.91666666666669</v>
      </c>
    </row>
    <row r="22" spans="1:29" ht="15.75">
      <c r="A22" s="919">
        <f t="shared" si="0"/>
        <v>21.40000000000002</v>
      </c>
      <c r="B22" s="920">
        <f>DATA!B17/2.4</f>
        <v>147.91666666666669</v>
      </c>
      <c r="C22" s="920">
        <f>DATA!C17/2.4</f>
        <v>147.91666666666669</v>
      </c>
      <c r="D22" s="920">
        <f>DATA!D17/2.4</f>
        <v>150</v>
      </c>
      <c r="E22" s="920">
        <f>DATA!E17/2.4</f>
        <v>155.41666666666669</v>
      </c>
      <c r="F22" s="920">
        <f>DATA!F17/2.4</f>
        <v>160</v>
      </c>
      <c r="G22" s="920">
        <f>DATA!G17/2.4</f>
        <v>164.16666666666669</v>
      </c>
      <c r="H22" s="920">
        <f>DATA!H17/2.4</f>
        <v>167.91666666666669</v>
      </c>
      <c r="I22" s="920">
        <f>DATA!I17/2.4</f>
        <v>171.25</v>
      </c>
      <c r="J22" s="920">
        <f>DATA!J17/2.4</f>
        <v>174.16666666666669</v>
      </c>
      <c r="K22" s="920">
        <f>DATA!K17/2.4</f>
        <v>177.08333333333334</v>
      </c>
      <c r="L22" s="920">
        <f>DATA!L17/2.4</f>
        <v>179.58333333333334</v>
      </c>
      <c r="M22" s="920">
        <f>DATA!M17/2.4</f>
        <v>181.66666666666669</v>
      </c>
      <c r="N22" s="920">
        <f>DATA!N17/2.4</f>
        <v>183.75</v>
      </c>
      <c r="O22" s="920">
        <f>DATA!O17/2.4</f>
        <v>185.83333333333334</v>
      </c>
      <c r="P22" s="920">
        <f>DATA!P17/2.4</f>
        <v>187.91666666666669</v>
      </c>
      <c r="Q22" s="920">
        <f>DATA!Q17/2.4</f>
        <v>189.58333333333334</v>
      </c>
      <c r="R22" s="920">
        <f>DATA!R17/2.4</f>
        <v>191.25</v>
      </c>
      <c r="S22" s="920">
        <f>DATA!S17/2.4</f>
        <v>192.91666666666669</v>
      </c>
      <c r="T22" s="920">
        <f>DATA!T17/2.4</f>
        <v>194.16666666666669</v>
      </c>
      <c r="U22" s="920">
        <f>DATA!U17/2.4</f>
        <v>195.83333333333334</v>
      </c>
      <c r="V22" s="920">
        <f>DATA!V17/2.4</f>
        <v>198.33333333333334</v>
      </c>
      <c r="W22" s="920">
        <f>DATA!W17/2.4</f>
        <v>200.83333333333334</v>
      </c>
      <c r="X22" s="920">
        <f>DATA!X17/2.4</f>
        <v>202.91666666666669</v>
      </c>
      <c r="Y22" s="920">
        <f>DATA!Y17/2.4</f>
        <v>205</v>
      </c>
      <c r="Z22" s="920">
        <f>DATA!Z17/2.4</f>
        <v>206.66666666666669</v>
      </c>
      <c r="AA22" s="920">
        <f>DATA!AA17/2.4</f>
        <v>210.83333333333334</v>
      </c>
      <c r="AB22" s="920">
        <f>DATA!AB17/2.4</f>
        <v>214.16666666666669</v>
      </c>
      <c r="AC22" s="920">
        <f>DATA!AC17/2.4</f>
        <v>217.08333333333334</v>
      </c>
    </row>
    <row r="23" spans="1:29" ht="15.75">
      <c r="A23" s="919">
        <f t="shared" si="0"/>
        <v>21.500000000000021</v>
      </c>
      <c r="B23" s="920">
        <f>DATA!B18/2.4</f>
        <v>147.08333333333334</v>
      </c>
      <c r="C23" s="920">
        <f>DATA!C18/2.4</f>
        <v>147.08333333333334</v>
      </c>
      <c r="D23" s="920">
        <f>DATA!D18/2.4</f>
        <v>149.16666666666669</v>
      </c>
      <c r="E23" s="920">
        <f>DATA!E18/2.4</f>
        <v>154.58333333333334</v>
      </c>
      <c r="F23" s="920">
        <f>DATA!F18/2.4</f>
        <v>159.16666666666669</v>
      </c>
      <c r="G23" s="920">
        <f>DATA!G18/2.4</f>
        <v>163.33333333333334</v>
      </c>
      <c r="H23" s="920">
        <f>DATA!H18/2.4</f>
        <v>167.08333333333334</v>
      </c>
      <c r="I23" s="920">
        <f>DATA!I18/2.4</f>
        <v>170.41666666666669</v>
      </c>
      <c r="J23" s="920">
        <f>DATA!J18/2.4</f>
        <v>173.33333333333334</v>
      </c>
      <c r="K23" s="920">
        <f>DATA!K18/2.4</f>
        <v>176.25</v>
      </c>
      <c r="L23" s="920">
        <f>DATA!L18/2.4</f>
        <v>178.75</v>
      </c>
      <c r="M23" s="920">
        <f>DATA!M18/2.4</f>
        <v>180.83333333333334</v>
      </c>
      <c r="N23" s="920">
        <f>DATA!N18/2.4</f>
        <v>182.91666666666669</v>
      </c>
      <c r="O23" s="920">
        <f>DATA!O18/2.4</f>
        <v>185</v>
      </c>
      <c r="P23" s="920">
        <f>DATA!P18/2.4</f>
        <v>187.08333333333334</v>
      </c>
      <c r="Q23" s="920">
        <f>DATA!Q18/2.4</f>
        <v>188.75</v>
      </c>
      <c r="R23" s="920">
        <f>DATA!R18/2.4</f>
        <v>190.41666666666669</v>
      </c>
      <c r="S23" s="920">
        <f>DATA!S18/2.4</f>
        <v>192.08333333333334</v>
      </c>
      <c r="T23" s="920">
        <f>DATA!T18/2.4</f>
        <v>193.33333333333334</v>
      </c>
      <c r="U23" s="920">
        <f>DATA!U18/2.4</f>
        <v>195</v>
      </c>
      <c r="V23" s="920">
        <f>DATA!V18/2.4</f>
        <v>197.5</v>
      </c>
      <c r="W23" s="920">
        <f>DATA!W18/2.4</f>
        <v>200</v>
      </c>
      <c r="X23" s="920">
        <f>DATA!X18/2.4</f>
        <v>202.08333333333334</v>
      </c>
      <c r="Y23" s="920">
        <f>DATA!Y18/2.4</f>
        <v>204.16666666666669</v>
      </c>
      <c r="Z23" s="920">
        <f>DATA!Z18/2.4</f>
        <v>205.83333333333334</v>
      </c>
      <c r="AA23" s="920">
        <f>DATA!AA18/2.4</f>
        <v>210</v>
      </c>
      <c r="AB23" s="920">
        <f>DATA!AB18/2.4</f>
        <v>213.33333333333334</v>
      </c>
      <c r="AC23" s="920">
        <f>DATA!AC18/2.4</f>
        <v>216.25</v>
      </c>
    </row>
    <row r="24" spans="1:29" ht="15.75">
      <c r="A24" s="919">
        <f t="shared" si="0"/>
        <v>21.600000000000023</v>
      </c>
      <c r="B24" s="920">
        <f>DATA!B19/2.4</f>
        <v>146.66666666666669</v>
      </c>
      <c r="C24" s="920">
        <f>DATA!C19/2.4</f>
        <v>146.66666666666669</v>
      </c>
      <c r="D24" s="920">
        <f>DATA!D19/2.4</f>
        <v>148.75</v>
      </c>
      <c r="E24" s="920">
        <f>DATA!E19/2.4</f>
        <v>154.16666666666669</v>
      </c>
      <c r="F24" s="920">
        <f>DATA!F19/2.4</f>
        <v>158.75</v>
      </c>
      <c r="G24" s="920">
        <f>DATA!G19/2.4</f>
        <v>162.91666666666669</v>
      </c>
      <c r="H24" s="920">
        <f>DATA!H19/2.4</f>
        <v>166.66666666666669</v>
      </c>
      <c r="I24" s="920">
        <f>DATA!I19/2.4</f>
        <v>170</v>
      </c>
      <c r="J24" s="920">
        <f>DATA!J19/2.4</f>
        <v>172.91666666666669</v>
      </c>
      <c r="K24" s="920">
        <f>DATA!K19/2.4</f>
        <v>175.83333333333334</v>
      </c>
      <c r="L24" s="920">
        <f>DATA!L19/2.4</f>
        <v>178.33333333333334</v>
      </c>
      <c r="M24" s="920">
        <f>DATA!M19/2.4</f>
        <v>180.41666666666669</v>
      </c>
      <c r="N24" s="920">
        <f>DATA!N19/2.4</f>
        <v>182.5</v>
      </c>
      <c r="O24" s="920">
        <f>DATA!O19/2.4</f>
        <v>184.58333333333334</v>
      </c>
      <c r="P24" s="920">
        <f>DATA!P19/2.4</f>
        <v>186.66666666666669</v>
      </c>
      <c r="Q24" s="920">
        <f>DATA!Q19/2.4</f>
        <v>188.33333333333334</v>
      </c>
      <c r="R24" s="920">
        <f>DATA!R19/2.4</f>
        <v>190</v>
      </c>
      <c r="S24" s="920">
        <f>DATA!S19/2.4</f>
        <v>191.66666666666669</v>
      </c>
      <c r="T24" s="920">
        <f>DATA!T19/2.4</f>
        <v>192.91666666666669</v>
      </c>
      <c r="U24" s="920">
        <f>DATA!U19/2.4</f>
        <v>194.58333333333334</v>
      </c>
      <c r="V24" s="920">
        <f>DATA!V19/2.4</f>
        <v>197.08333333333334</v>
      </c>
      <c r="W24" s="920">
        <f>DATA!W19/2.4</f>
        <v>199.58333333333334</v>
      </c>
      <c r="X24" s="920">
        <f>DATA!X19/2.4</f>
        <v>201.66666666666669</v>
      </c>
      <c r="Y24" s="920">
        <f>DATA!Y19/2.4</f>
        <v>203.75</v>
      </c>
      <c r="Z24" s="920">
        <f>DATA!Z19/2.4</f>
        <v>205.41666666666669</v>
      </c>
      <c r="AA24" s="920">
        <f>DATA!AA19/2.4</f>
        <v>209.58333333333334</v>
      </c>
      <c r="AB24" s="920">
        <f>DATA!AB19/2.4</f>
        <v>212.91666666666669</v>
      </c>
      <c r="AC24" s="920">
        <f>DATA!AC19/2.4</f>
        <v>215.83333333333334</v>
      </c>
    </row>
    <row r="25" spans="1:29" ht="15.75">
      <c r="A25" s="919">
        <f t="shared" si="0"/>
        <v>21.700000000000024</v>
      </c>
      <c r="B25" s="920">
        <f>DATA!B20/2.4</f>
        <v>146.25</v>
      </c>
      <c r="C25" s="920">
        <f>DATA!C20/2.4</f>
        <v>146.25</v>
      </c>
      <c r="D25" s="920">
        <f>DATA!D20/2.4</f>
        <v>148.33333333333334</v>
      </c>
      <c r="E25" s="920">
        <f>DATA!E20/2.4</f>
        <v>153.75</v>
      </c>
      <c r="F25" s="920">
        <f>DATA!F20/2.4</f>
        <v>158.33333333333334</v>
      </c>
      <c r="G25" s="920">
        <f>DATA!G20/2.4</f>
        <v>162.5</v>
      </c>
      <c r="H25" s="920">
        <f>DATA!H20/2.4</f>
        <v>166.25</v>
      </c>
      <c r="I25" s="920">
        <f>DATA!I20/2.4</f>
        <v>169.58333333333334</v>
      </c>
      <c r="J25" s="920">
        <f>DATA!J20/2.4</f>
        <v>172.5</v>
      </c>
      <c r="K25" s="920">
        <f>DATA!K20/2.4</f>
        <v>175.41666666666669</v>
      </c>
      <c r="L25" s="920">
        <f>DATA!L20/2.4</f>
        <v>177.91666666666669</v>
      </c>
      <c r="M25" s="920">
        <f>DATA!M20/2.4</f>
        <v>180</v>
      </c>
      <c r="N25" s="920">
        <f>DATA!N20/2.4</f>
        <v>182.08333333333334</v>
      </c>
      <c r="O25" s="920">
        <f>DATA!O20/2.4</f>
        <v>184.16666666666669</v>
      </c>
      <c r="P25" s="920">
        <f>DATA!P20/2.4</f>
        <v>186.25</v>
      </c>
      <c r="Q25" s="920">
        <f>DATA!Q20/2.4</f>
        <v>187.91666666666669</v>
      </c>
      <c r="R25" s="920">
        <f>DATA!R20/2.4</f>
        <v>189.58333333333334</v>
      </c>
      <c r="S25" s="920">
        <f>DATA!S20/2.4</f>
        <v>191.25</v>
      </c>
      <c r="T25" s="920">
        <f>DATA!T20/2.4</f>
        <v>192.5</v>
      </c>
      <c r="U25" s="920">
        <f>DATA!U20/2.4</f>
        <v>194.16666666666669</v>
      </c>
      <c r="V25" s="920">
        <f>DATA!V20/2.4</f>
        <v>196.66666666666669</v>
      </c>
      <c r="W25" s="920">
        <f>DATA!W20/2.4</f>
        <v>199.16666666666669</v>
      </c>
      <c r="X25" s="920">
        <f>DATA!X20/2.4</f>
        <v>201.25</v>
      </c>
      <c r="Y25" s="920">
        <f>DATA!Y20/2.4</f>
        <v>203.33333333333334</v>
      </c>
      <c r="Z25" s="920">
        <f>DATA!Z20/2.4</f>
        <v>205</v>
      </c>
      <c r="AA25" s="920">
        <f>DATA!AA20/2.4</f>
        <v>209.16666666666669</v>
      </c>
      <c r="AB25" s="920">
        <f>DATA!AB20/2.4</f>
        <v>212.5</v>
      </c>
      <c r="AC25" s="920">
        <f>DATA!AC20/2.4</f>
        <v>215.41666666666669</v>
      </c>
    </row>
    <row r="26" spans="1:29" ht="15.75">
      <c r="A26" s="919">
        <f t="shared" si="0"/>
        <v>21.800000000000026</v>
      </c>
      <c r="B26" s="920">
        <f>DATA!B21/2.4</f>
        <v>145.41666666666669</v>
      </c>
      <c r="C26" s="920">
        <f>DATA!C21/2.4</f>
        <v>145.41666666666669</v>
      </c>
      <c r="D26" s="920">
        <f>DATA!D21/2.4</f>
        <v>147.5</v>
      </c>
      <c r="E26" s="920">
        <f>DATA!E21/2.4</f>
        <v>152.91666666666669</v>
      </c>
      <c r="F26" s="920">
        <f>DATA!F21/2.4</f>
        <v>157.5</v>
      </c>
      <c r="G26" s="920">
        <f>DATA!G21/2.4</f>
        <v>161.66666666666669</v>
      </c>
      <c r="H26" s="920">
        <f>DATA!H21/2.4</f>
        <v>165.41666666666669</v>
      </c>
      <c r="I26" s="920">
        <f>DATA!I21/2.4</f>
        <v>168.75</v>
      </c>
      <c r="J26" s="920">
        <f>DATA!J21/2.4</f>
        <v>171.66666666666669</v>
      </c>
      <c r="K26" s="920">
        <f>DATA!K21/2.4</f>
        <v>174.58333333333334</v>
      </c>
      <c r="L26" s="920">
        <f>DATA!L21/2.4</f>
        <v>177.08333333333334</v>
      </c>
      <c r="M26" s="920">
        <f>DATA!M21/2.4</f>
        <v>179.16666666666669</v>
      </c>
      <c r="N26" s="920">
        <f>DATA!N21/2.4</f>
        <v>181.25</v>
      </c>
      <c r="O26" s="920">
        <f>DATA!O21/2.4</f>
        <v>183.33333333333334</v>
      </c>
      <c r="P26" s="920">
        <f>DATA!P21/2.4</f>
        <v>185.41666666666669</v>
      </c>
      <c r="Q26" s="920">
        <f>DATA!Q21/2.4</f>
        <v>187.08333333333334</v>
      </c>
      <c r="R26" s="920">
        <f>DATA!R21/2.4</f>
        <v>188.75</v>
      </c>
      <c r="S26" s="920">
        <f>DATA!S21/2.4</f>
        <v>190.41666666666669</v>
      </c>
      <c r="T26" s="920">
        <f>DATA!T21/2.4</f>
        <v>191.66666666666669</v>
      </c>
      <c r="U26" s="920">
        <f>DATA!U21/2.4</f>
        <v>193.33333333333334</v>
      </c>
      <c r="V26" s="920">
        <f>DATA!V21/2.4</f>
        <v>195.83333333333334</v>
      </c>
      <c r="W26" s="920">
        <f>DATA!W21/2.4</f>
        <v>198.33333333333334</v>
      </c>
      <c r="X26" s="920">
        <f>DATA!X21/2.4</f>
        <v>200.41666666666669</v>
      </c>
      <c r="Y26" s="920">
        <f>DATA!Y21/2.4</f>
        <v>202.5</v>
      </c>
      <c r="Z26" s="920">
        <f>DATA!Z21/2.4</f>
        <v>204.16666666666669</v>
      </c>
      <c r="AA26" s="920">
        <f>DATA!AA21/2.4</f>
        <v>208.33333333333334</v>
      </c>
      <c r="AB26" s="920">
        <f>DATA!AB21/2.4</f>
        <v>211.66666666666669</v>
      </c>
      <c r="AC26" s="920">
        <f>DATA!AC21/2.4</f>
        <v>214.58333333333334</v>
      </c>
    </row>
    <row r="27" spans="1:29" ht="15.75">
      <c r="A27" s="919">
        <f t="shared" si="0"/>
        <v>21.900000000000027</v>
      </c>
      <c r="B27" s="920">
        <f>DATA!B22/2.4</f>
        <v>144.58333333333334</v>
      </c>
      <c r="C27" s="920">
        <f>DATA!C22/2.4</f>
        <v>144.58333333333334</v>
      </c>
      <c r="D27" s="920">
        <f>DATA!D22/2.4</f>
        <v>146.66666666666669</v>
      </c>
      <c r="E27" s="920">
        <f>DATA!E22/2.4</f>
        <v>152.08333333333334</v>
      </c>
      <c r="F27" s="920">
        <f>DATA!F22/2.4</f>
        <v>156.66666666666669</v>
      </c>
      <c r="G27" s="920">
        <f>DATA!G22/2.4</f>
        <v>160.83333333333334</v>
      </c>
      <c r="H27" s="920">
        <f>DATA!H22/2.4</f>
        <v>164.58333333333334</v>
      </c>
      <c r="I27" s="920">
        <f>DATA!I22/2.4</f>
        <v>167.91666666666669</v>
      </c>
      <c r="J27" s="920">
        <f>DATA!J22/2.4</f>
        <v>170.83333333333334</v>
      </c>
      <c r="K27" s="920">
        <f>DATA!K22/2.4</f>
        <v>173.75</v>
      </c>
      <c r="L27" s="920">
        <f>DATA!L22/2.4</f>
        <v>176.25</v>
      </c>
      <c r="M27" s="920">
        <f>DATA!M22/2.4</f>
        <v>178.33333333333334</v>
      </c>
      <c r="N27" s="920">
        <f>DATA!N22/2.4</f>
        <v>180.41666666666669</v>
      </c>
      <c r="O27" s="920">
        <f>DATA!O22/2.4</f>
        <v>182.5</v>
      </c>
      <c r="P27" s="920">
        <f>DATA!P22/2.4</f>
        <v>184.58333333333334</v>
      </c>
      <c r="Q27" s="920">
        <f>DATA!Q22/2.4</f>
        <v>186.25</v>
      </c>
      <c r="R27" s="920">
        <f>DATA!R22/2.4</f>
        <v>187.91666666666669</v>
      </c>
      <c r="S27" s="920">
        <f>DATA!S22/2.4</f>
        <v>189.58333333333334</v>
      </c>
      <c r="T27" s="920">
        <f>DATA!T22/2.4</f>
        <v>190.83333333333334</v>
      </c>
      <c r="U27" s="920">
        <f>DATA!U22/2.4</f>
        <v>192.5</v>
      </c>
      <c r="V27" s="920">
        <f>DATA!V22/2.4</f>
        <v>195</v>
      </c>
      <c r="W27" s="920">
        <f>DATA!W22/2.4</f>
        <v>197.5</v>
      </c>
      <c r="X27" s="920">
        <f>DATA!X22/2.4</f>
        <v>199.58333333333334</v>
      </c>
      <c r="Y27" s="920">
        <f>DATA!Y22/2.4</f>
        <v>201.66666666666669</v>
      </c>
      <c r="Z27" s="920">
        <f>DATA!Z22/2.4</f>
        <v>203.33333333333334</v>
      </c>
      <c r="AA27" s="920">
        <f>DATA!AA22/2.4</f>
        <v>207.5</v>
      </c>
      <c r="AB27" s="920">
        <f>DATA!AB22/2.4</f>
        <v>210.83333333333334</v>
      </c>
      <c r="AC27" s="920">
        <f>DATA!AC22/2.4</f>
        <v>213.75</v>
      </c>
    </row>
    <row r="28" spans="1:29" ht="15.75">
      <c r="A28" s="919">
        <f t="shared" si="0"/>
        <v>22.000000000000028</v>
      </c>
      <c r="B28" s="920">
        <f>DATA!B23/2.4</f>
        <v>144.16666666666669</v>
      </c>
      <c r="C28" s="920">
        <f>DATA!C23/2.4</f>
        <v>144.16666666666669</v>
      </c>
      <c r="D28" s="920">
        <f>DATA!D23/2.4</f>
        <v>146.25</v>
      </c>
      <c r="E28" s="920">
        <f>DATA!E23/2.4</f>
        <v>151.66666666666669</v>
      </c>
      <c r="F28" s="920">
        <f>DATA!F23/2.4</f>
        <v>156.25</v>
      </c>
      <c r="G28" s="920">
        <f>DATA!G23/2.4</f>
        <v>160.41666666666669</v>
      </c>
      <c r="H28" s="920">
        <f>DATA!H23/2.4</f>
        <v>164.16666666666669</v>
      </c>
      <c r="I28" s="920">
        <f>DATA!I23/2.4</f>
        <v>167.5</v>
      </c>
      <c r="J28" s="920">
        <f>DATA!J23/2.4</f>
        <v>170.41666666666669</v>
      </c>
      <c r="K28" s="920">
        <f>DATA!K23/2.4</f>
        <v>173.33333333333334</v>
      </c>
      <c r="L28" s="920">
        <f>DATA!L23/2.4</f>
        <v>175.83333333333334</v>
      </c>
      <c r="M28" s="920">
        <f>DATA!M23/2.4</f>
        <v>177.91666666666669</v>
      </c>
      <c r="N28" s="920">
        <f>DATA!N23/2.4</f>
        <v>180</v>
      </c>
      <c r="O28" s="920">
        <f>DATA!O23/2.4</f>
        <v>182.08333333333334</v>
      </c>
      <c r="P28" s="920">
        <f>DATA!P23/2.4</f>
        <v>184.16666666666669</v>
      </c>
      <c r="Q28" s="920">
        <f>DATA!Q23/2.4</f>
        <v>185.83333333333334</v>
      </c>
      <c r="R28" s="920">
        <f>DATA!R23/2.4</f>
        <v>187.5</v>
      </c>
      <c r="S28" s="920">
        <f>DATA!S23/2.4</f>
        <v>189.16666666666669</v>
      </c>
      <c r="T28" s="920">
        <f>DATA!T23/2.4</f>
        <v>190.41666666666669</v>
      </c>
      <c r="U28" s="920">
        <f>DATA!U23/2.4</f>
        <v>192.08333333333334</v>
      </c>
      <c r="V28" s="920">
        <f>DATA!V23/2.4</f>
        <v>194.58333333333334</v>
      </c>
      <c r="W28" s="920">
        <f>DATA!W23/2.4</f>
        <v>197.08333333333334</v>
      </c>
      <c r="X28" s="920">
        <f>DATA!X23/2.4</f>
        <v>199.16666666666669</v>
      </c>
      <c r="Y28" s="920">
        <f>DATA!Y23/2.4</f>
        <v>201.25</v>
      </c>
      <c r="Z28" s="920">
        <f>DATA!Z23/2.4</f>
        <v>202.91666666666669</v>
      </c>
      <c r="AA28" s="920">
        <f>DATA!AA23/2.4</f>
        <v>207.08333333333334</v>
      </c>
      <c r="AB28" s="920">
        <f>DATA!AB23/2.4</f>
        <v>210.41666666666669</v>
      </c>
      <c r="AC28" s="920">
        <f>DATA!AC23/2.4</f>
        <v>213.33333333333334</v>
      </c>
    </row>
    <row r="29" spans="1:29" ht="15.75">
      <c r="A29" s="919">
        <f t="shared" si="0"/>
        <v>22.10000000000003</v>
      </c>
      <c r="B29" s="920">
        <f>DATA!B24/2.4</f>
        <v>143.75</v>
      </c>
      <c r="C29" s="920">
        <f>DATA!C24/2.4</f>
        <v>143.75</v>
      </c>
      <c r="D29" s="920">
        <f>DATA!D24/2.4</f>
        <v>145.83333333333334</v>
      </c>
      <c r="E29" s="920">
        <f>DATA!E24/2.4</f>
        <v>151.25</v>
      </c>
      <c r="F29" s="920">
        <f>DATA!F24/2.4</f>
        <v>155.83333333333334</v>
      </c>
      <c r="G29" s="920">
        <f>DATA!G24/2.4</f>
        <v>160</v>
      </c>
      <c r="H29" s="920">
        <f>DATA!H24/2.4</f>
        <v>163.75</v>
      </c>
      <c r="I29" s="920">
        <f>DATA!I24/2.4</f>
        <v>167.08333333333334</v>
      </c>
      <c r="J29" s="920">
        <f>DATA!J24/2.4</f>
        <v>170</v>
      </c>
      <c r="K29" s="920">
        <f>DATA!K24/2.4</f>
        <v>172.91666666666669</v>
      </c>
      <c r="L29" s="920">
        <f>DATA!L24/2.4</f>
        <v>175.41666666666669</v>
      </c>
      <c r="M29" s="920">
        <f>DATA!M24/2.4</f>
        <v>177.5</v>
      </c>
      <c r="N29" s="920">
        <f>DATA!N24/2.4</f>
        <v>179.58333333333334</v>
      </c>
      <c r="O29" s="920">
        <f>DATA!O24/2.4</f>
        <v>181.66666666666669</v>
      </c>
      <c r="P29" s="920">
        <f>DATA!P24/2.4</f>
        <v>183.75</v>
      </c>
      <c r="Q29" s="920">
        <f>DATA!Q24/2.4</f>
        <v>185.41666666666669</v>
      </c>
      <c r="R29" s="920">
        <f>DATA!R24/2.4</f>
        <v>187.08333333333334</v>
      </c>
      <c r="S29" s="920">
        <f>DATA!S24/2.4</f>
        <v>188.75</v>
      </c>
      <c r="T29" s="920">
        <f>DATA!T24/2.4</f>
        <v>190</v>
      </c>
      <c r="U29" s="920">
        <f>DATA!U24/2.4</f>
        <v>191.66666666666669</v>
      </c>
      <c r="V29" s="920">
        <f>DATA!V24/2.4</f>
        <v>194.16666666666669</v>
      </c>
      <c r="W29" s="920">
        <f>DATA!W24/2.4</f>
        <v>196.66666666666669</v>
      </c>
      <c r="X29" s="920">
        <f>DATA!X24/2.4</f>
        <v>198.75</v>
      </c>
      <c r="Y29" s="920">
        <f>DATA!Y24/2.4</f>
        <v>200.83333333333334</v>
      </c>
      <c r="Z29" s="920">
        <f>DATA!Z24/2.4</f>
        <v>202.5</v>
      </c>
      <c r="AA29" s="920">
        <f>DATA!AA24/2.4</f>
        <v>206.66666666666669</v>
      </c>
      <c r="AB29" s="920">
        <f>DATA!AB24/2.4</f>
        <v>210</v>
      </c>
      <c r="AC29" s="920">
        <f>DATA!AC24/2.4</f>
        <v>212.91666666666669</v>
      </c>
    </row>
    <row r="30" spans="1:29" ht="15.75">
      <c r="A30" s="919">
        <f t="shared" si="0"/>
        <v>22.200000000000031</v>
      </c>
      <c r="B30" s="920">
        <f>DATA!B25/2.4</f>
        <v>142.91666666666669</v>
      </c>
      <c r="C30" s="920">
        <f>DATA!C25/2.4</f>
        <v>142.91666666666669</v>
      </c>
      <c r="D30" s="920">
        <f>DATA!D25/2.4</f>
        <v>145</v>
      </c>
      <c r="E30" s="920">
        <f>DATA!E25/2.4</f>
        <v>150.41666666666669</v>
      </c>
      <c r="F30" s="920">
        <f>DATA!F25/2.4</f>
        <v>155</v>
      </c>
      <c r="G30" s="920">
        <f>DATA!G25/2.4</f>
        <v>159.16666666666669</v>
      </c>
      <c r="H30" s="920">
        <f>DATA!H25/2.4</f>
        <v>162.91666666666669</v>
      </c>
      <c r="I30" s="920">
        <f>DATA!I25/2.4</f>
        <v>166.25</v>
      </c>
      <c r="J30" s="920">
        <f>DATA!J25/2.4</f>
        <v>169.16666666666669</v>
      </c>
      <c r="K30" s="920">
        <f>DATA!K25/2.4</f>
        <v>172.08333333333334</v>
      </c>
      <c r="L30" s="920">
        <f>DATA!L25/2.4</f>
        <v>174.58333333333334</v>
      </c>
      <c r="M30" s="920">
        <f>DATA!M25/2.4</f>
        <v>176.66666666666669</v>
      </c>
      <c r="N30" s="920">
        <f>DATA!N25/2.4</f>
        <v>178.75</v>
      </c>
      <c r="O30" s="920">
        <f>DATA!O25/2.4</f>
        <v>180.83333333333334</v>
      </c>
      <c r="P30" s="920">
        <f>DATA!P25/2.4</f>
        <v>182.91666666666669</v>
      </c>
      <c r="Q30" s="920">
        <f>DATA!Q25/2.4</f>
        <v>184.58333333333334</v>
      </c>
      <c r="R30" s="920">
        <f>DATA!R25/2.4</f>
        <v>186.25</v>
      </c>
      <c r="S30" s="920">
        <f>DATA!S25/2.4</f>
        <v>187.91666666666669</v>
      </c>
      <c r="T30" s="920">
        <f>DATA!T25/2.4</f>
        <v>189.16666666666669</v>
      </c>
      <c r="U30" s="920">
        <f>DATA!U25/2.4</f>
        <v>190.83333333333334</v>
      </c>
      <c r="V30" s="920">
        <f>DATA!V25/2.4</f>
        <v>193.33333333333334</v>
      </c>
      <c r="W30" s="920">
        <f>DATA!W25/2.4</f>
        <v>195.83333333333334</v>
      </c>
      <c r="X30" s="920">
        <f>DATA!X25/2.4</f>
        <v>197.91666666666669</v>
      </c>
      <c r="Y30" s="920">
        <f>DATA!Y25/2.4</f>
        <v>200</v>
      </c>
      <c r="Z30" s="920">
        <f>DATA!Z25/2.4</f>
        <v>201.66666666666669</v>
      </c>
      <c r="AA30" s="920">
        <f>DATA!AA25/2.4</f>
        <v>205.83333333333334</v>
      </c>
      <c r="AB30" s="920">
        <f>DATA!AB25/2.4</f>
        <v>209.16666666666669</v>
      </c>
      <c r="AC30" s="920">
        <f>DATA!AC25/2.4</f>
        <v>212.08333333333334</v>
      </c>
    </row>
    <row r="31" spans="1:29" ht="15.75">
      <c r="A31" s="919">
        <f t="shared" si="0"/>
        <v>22.300000000000033</v>
      </c>
      <c r="B31" s="920">
        <f>DATA!B26/2.4</f>
        <v>142.08333333333334</v>
      </c>
      <c r="C31" s="920">
        <f>DATA!C26/2.4</f>
        <v>142.08333333333334</v>
      </c>
      <c r="D31" s="920">
        <f>DATA!D26/2.4</f>
        <v>144.16666666666669</v>
      </c>
      <c r="E31" s="920">
        <f>DATA!E26/2.4</f>
        <v>149.58333333333334</v>
      </c>
      <c r="F31" s="920">
        <f>DATA!F26/2.4</f>
        <v>154.16666666666669</v>
      </c>
      <c r="G31" s="920">
        <f>DATA!G26/2.4</f>
        <v>158.33333333333334</v>
      </c>
      <c r="H31" s="920">
        <f>DATA!H26/2.4</f>
        <v>162.08333333333334</v>
      </c>
      <c r="I31" s="920">
        <f>DATA!I26/2.4</f>
        <v>165.41666666666669</v>
      </c>
      <c r="J31" s="920">
        <f>DATA!J26/2.4</f>
        <v>168.33333333333334</v>
      </c>
      <c r="K31" s="920">
        <f>DATA!K26/2.4</f>
        <v>171.25</v>
      </c>
      <c r="L31" s="920">
        <f>DATA!L26/2.4</f>
        <v>173.75</v>
      </c>
      <c r="M31" s="920">
        <f>DATA!M26/2.4</f>
        <v>175.83333333333334</v>
      </c>
      <c r="N31" s="920">
        <f>DATA!N26/2.4</f>
        <v>177.91666666666669</v>
      </c>
      <c r="O31" s="920">
        <f>DATA!O26/2.4</f>
        <v>180</v>
      </c>
      <c r="P31" s="920">
        <f>DATA!P26/2.4</f>
        <v>182.08333333333334</v>
      </c>
      <c r="Q31" s="920">
        <f>DATA!Q26/2.4</f>
        <v>183.75</v>
      </c>
      <c r="R31" s="920">
        <f>DATA!R26/2.4</f>
        <v>185.41666666666669</v>
      </c>
      <c r="S31" s="920">
        <f>DATA!S26/2.4</f>
        <v>187.08333333333334</v>
      </c>
      <c r="T31" s="920">
        <f>DATA!T26/2.4</f>
        <v>188.33333333333334</v>
      </c>
      <c r="U31" s="920">
        <f>DATA!U26/2.4</f>
        <v>190</v>
      </c>
      <c r="V31" s="920">
        <f>DATA!V26/2.4</f>
        <v>192.5</v>
      </c>
      <c r="W31" s="920">
        <f>DATA!W26/2.4</f>
        <v>195</v>
      </c>
      <c r="X31" s="920">
        <f>DATA!X26/2.4</f>
        <v>197.08333333333334</v>
      </c>
      <c r="Y31" s="920">
        <f>DATA!Y26/2.4</f>
        <v>199.16666666666669</v>
      </c>
      <c r="Z31" s="920">
        <f>DATA!Z26/2.4</f>
        <v>200.83333333333334</v>
      </c>
      <c r="AA31" s="920">
        <f>DATA!AA26/2.4</f>
        <v>205</v>
      </c>
      <c r="AB31" s="920">
        <f>DATA!AB26/2.4</f>
        <v>208.33333333333334</v>
      </c>
      <c r="AC31" s="920">
        <f>DATA!AC26/2.4</f>
        <v>211.25</v>
      </c>
    </row>
    <row r="32" spans="1:29" ht="15.75">
      <c r="A32" s="919">
        <f t="shared" si="0"/>
        <v>22.400000000000034</v>
      </c>
      <c r="B32" s="920">
        <f>DATA!B27/2.4</f>
        <v>141.66666666666669</v>
      </c>
      <c r="C32" s="920">
        <f>DATA!C27/2.4</f>
        <v>141.66666666666669</v>
      </c>
      <c r="D32" s="920">
        <f>DATA!D27/2.4</f>
        <v>143.75</v>
      </c>
      <c r="E32" s="920">
        <f>DATA!E27/2.4</f>
        <v>149.16666666666669</v>
      </c>
      <c r="F32" s="920">
        <f>DATA!F27/2.4</f>
        <v>153.75</v>
      </c>
      <c r="G32" s="920">
        <f>DATA!G27/2.4</f>
        <v>157.91666666666669</v>
      </c>
      <c r="H32" s="920">
        <f>DATA!H27/2.4</f>
        <v>161.66666666666669</v>
      </c>
      <c r="I32" s="920">
        <f>DATA!I27/2.4</f>
        <v>165</v>
      </c>
      <c r="J32" s="920">
        <f>DATA!J27/2.4</f>
        <v>167.91666666666669</v>
      </c>
      <c r="K32" s="920">
        <f>DATA!K27/2.4</f>
        <v>170.83333333333334</v>
      </c>
      <c r="L32" s="920">
        <f>DATA!L27/2.4</f>
        <v>173.33333333333334</v>
      </c>
      <c r="M32" s="920">
        <f>DATA!M27/2.4</f>
        <v>175.41666666666669</v>
      </c>
      <c r="N32" s="920">
        <f>DATA!N27/2.4</f>
        <v>177.5</v>
      </c>
      <c r="O32" s="920">
        <f>DATA!O27/2.4</f>
        <v>179.58333333333334</v>
      </c>
      <c r="P32" s="920">
        <f>DATA!P27/2.4</f>
        <v>181.66666666666669</v>
      </c>
      <c r="Q32" s="920">
        <f>DATA!Q27/2.4</f>
        <v>183.33333333333334</v>
      </c>
      <c r="R32" s="920">
        <f>DATA!R27/2.4</f>
        <v>185</v>
      </c>
      <c r="S32" s="920">
        <f>DATA!S27/2.4</f>
        <v>186.66666666666669</v>
      </c>
      <c r="T32" s="920">
        <f>DATA!T27/2.4</f>
        <v>187.91666666666669</v>
      </c>
      <c r="U32" s="920">
        <f>DATA!U27/2.4</f>
        <v>189.58333333333334</v>
      </c>
      <c r="V32" s="920">
        <f>DATA!V27/2.4</f>
        <v>192.08333333333334</v>
      </c>
      <c r="W32" s="920">
        <f>DATA!W27/2.4</f>
        <v>194.58333333333334</v>
      </c>
      <c r="X32" s="920">
        <f>DATA!X27/2.4</f>
        <v>196.66666666666669</v>
      </c>
      <c r="Y32" s="920">
        <f>DATA!Y27/2.4</f>
        <v>198.75</v>
      </c>
      <c r="Z32" s="920">
        <f>DATA!Z27/2.4</f>
        <v>200.41666666666669</v>
      </c>
      <c r="AA32" s="920">
        <f>DATA!AA27/2.4</f>
        <v>204.58333333333334</v>
      </c>
      <c r="AB32" s="920">
        <f>DATA!AB27/2.4</f>
        <v>207.91666666666669</v>
      </c>
      <c r="AC32" s="920">
        <f>DATA!AC27/2.4</f>
        <v>210.83333333333334</v>
      </c>
    </row>
    <row r="33" spans="1:29" ht="15.75">
      <c r="A33" s="919">
        <f t="shared" si="0"/>
        <v>22.500000000000036</v>
      </c>
      <c r="B33" s="920">
        <f>DATA!B28/2.4</f>
        <v>141.25</v>
      </c>
      <c r="C33" s="920">
        <f>DATA!C28/2.4</f>
        <v>141.25</v>
      </c>
      <c r="D33" s="920">
        <f>DATA!D28/2.4</f>
        <v>143.33333333333334</v>
      </c>
      <c r="E33" s="920">
        <f>DATA!E28/2.4</f>
        <v>148.75</v>
      </c>
      <c r="F33" s="920">
        <f>DATA!F28/2.4</f>
        <v>153.33333333333334</v>
      </c>
      <c r="G33" s="920">
        <f>DATA!G28/2.4</f>
        <v>157.5</v>
      </c>
      <c r="H33" s="920">
        <f>DATA!H28/2.4</f>
        <v>161.25</v>
      </c>
      <c r="I33" s="920">
        <f>DATA!I28/2.4</f>
        <v>164.58333333333334</v>
      </c>
      <c r="J33" s="920">
        <f>DATA!J28/2.4</f>
        <v>167.5</v>
      </c>
      <c r="K33" s="920">
        <f>DATA!K28/2.4</f>
        <v>170.41666666666669</v>
      </c>
      <c r="L33" s="920">
        <f>DATA!L28/2.4</f>
        <v>172.91666666666669</v>
      </c>
      <c r="M33" s="920">
        <f>DATA!M28/2.4</f>
        <v>175</v>
      </c>
      <c r="N33" s="920">
        <f>DATA!N28/2.4</f>
        <v>177.08333333333334</v>
      </c>
      <c r="O33" s="920">
        <f>DATA!O28/2.4</f>
        <v>179.16666666666669</v>
      </c>
      <c r="P33" s="920">
        <f>DATA!P28/2.4</f>
        <v>181.25</v>
      </c>
      <c r="Q33" s="920">
        <f>DATA!Q28/2.4</f>
        <v>182.91666666666669</v>
      </c>
      <c r="R33" s="920">
        <f>DATA!R28/2.4</f>
        <v>184.58333333333334</v>
      </c>
      <c r="S33" s="920">
        <f>DATA!S28/2.4</f>
        <v>186.25</v>
      </c>
      <c r="T33" s="920">
        <f>DATA!T28/2.4</f>
        <v>187.5</v>
      </c>
      <c r="U33" s="920">
        <f>DATA!U28/2.4</f>
        <v>189.16666666666669</v>
      </c>
      <c r="V33" s="920">
        <f>DATA!V28/2.4</f>
        <v>191.66666666666669</v>
      </c>
      <c r="W33" s="920">
        <f>DATA!W28/2.4</f>
        <v>194.16666666666669</v>
      </c>
      <c r="X33" s="920">
        <f>DATA!X28/2.4</f>
        <v>196.25</v>
      </c>
      <c r="Y33" s="920">
        <f>DATA!Y28/2.4</f>
        <v>198.33333333333334</v>
      </c>
      <c r="Z33" s="920">
        <f>DATA!Z28/2.4</f>
        <v>200</v>
      </c>
      <c r="AA33" s="920">
        <f>DATA!AA28/2.4</f>
        <v>204.16666666666669</v>
      </c>
      <c r="AB33" s="920">
        <f>DATA!AB28/2.4</f>
        <v>207.5</v>
      </c>
      <c r="AC33" s="920">
        <f>DATA!AC28/2.4</f>
        <v>210.41666666666669</v>
      </c>
    </row>
    <row r="34" spans="1:29" ht="15.75">
      <c r="A34" s="919">
        <f t="shared" si="0"/>
        <v>22.600000000000037</v>
      </c>
      <c r="B34" s="920">
        <f>DATA!B29/2.4</f>
        <v>140.41666666666669</v>
      </c>
      <c r="C34" s="920">
        <f>DATA!C29/2.4</f>
        <v>140.41666666666669</v>
      </c>
      <c r="D34" s="920">
        <f>DATA!D29/2.4</f>
        <v>142.5</v>
      </c>
      <c r="E34" s="920">
        <f>DATA!E29/2.4</f>
        <v>147.91666666666669</v>
      </c>
      <c r="F34" s="920">
        <f>DATA!F29/2.4</f>
        <v>152.5</v>
      </c>
      <c r="G34" s="920">
        <f>DATA!G29/2.4</f>
        <v>156.66666666666669</v>
      </c>
      <c r="H34" s="920">
        <f>DATA!H29/2.4</f>
        <v>160.41666666666669</v>
      </c>
      <c r="I34" s="920">
        <f>DATA!I29/2.4</f>
        <v>163.75</v>
      </c>
      <c r="J34" s="920">
        <f>DATA!J29/2.4</f>
        <v>166.66666666666669</v>
      </c>
      <c r="K34" s="920">
        <f>DATA!K29/2.4</f>
        <v>169.58333333333334</v>
      </c>
      <c r="L34" s="920">
        <f>DATA!L29/2.4</f>
        <v>172.08333333333334</v>
      </c>
      <c r="M34" s="920">
        <f>DATA!M29/2.4</f>
        <v>174.16666666666669</v>
      </c>
      <c r="N34" s="920">
        <f>DATA!N29/2.4</f>
        <v>176.25</v>
      </c>
      <c r="O34" s="920">
        <f>DATA!O29/2.4</f>
        <v>178.33333333333334</v>
      </c>
      <c r="P34" s="920">
        <f>DATA!P29/2.4</f>
        <v>180.41666666666669</v>
      </c>
      <c r="Q34" s="920">
        <f>DATA!Q29/2.4</f>
        <v>182.08333333333334</v>
      </c>
      <c r="R34" s="920">
        <f>DATA!R29/2.4</f>
        <v>183.75</v>
      </c>
      <c r="S34" s="920">
        <f>DATA!S29/2.4</f>
        <v>185.41666666666669</v>
      </c>
      <c r="T34" s="920">
        <f>DATA!T29/2.4</f>
        <v>186.66666666666669</v>
      </c>
      <c r="U34" s="920">
        <f>DATA!U29/2.4</f>
        <v>188.33333333333334</v>
      </c>
      <c r="V34" s="920">
        <f>DATA!V29/2.4</f>
        <v>190.83333333333334</v>
      </c>
      <c r="W34" s="920">
        <f>DATA!W29/2.4</f>
        <v>193.33333333333334</v>
      </c>
      <c r="X34" s="920">
        <f>DATA!X29/2.4</f>
        <v>195.41666666666669</v>
      </c>
      <c r="Y34" s="920">
        <f>DATA!Y29/2.4</f>
        <v>197.5</v>
      </c>
      <c r="Z34" s="920">
        <f>DATA!Z29/2.4</f>
        <v>199.16666666666669</v>
      </c>
      <c r="AA34" s="920">
        <f>DATA!AA29/2.4</f>
        <v>203.33333333333334</v>
      </c>
      <c r="AB34" s="920">
        <f>DATA!AB29/2.4</f>
        <v>206.66666666666669</v>
      </c>
      <c r="AC34" s="920">
        <f>DATA!AC29/2.4</f>
        <v>209.58333333333334</v>
      </c>
    </row>
    <row r="35" spans="1:29" ht="15.75">
      <c r="A35" s="919">
        <f t="shared" si="0"/>
        <v>22.700000000000038</v>
      </c>
      <c r="B35" s="920">
        <f>DATA!B30/2.4</f>
        <v>139.58333333333334</v>
      </c>
      <c r="C35" s="920">
        <f>DATA!C30/2.4</f>
        <v>139.58333333333334</v>
      </c>
      <c r="D35" s="920">
        <f>DATA!D30/2.4</f>
        <v>141.66666666666669</v>
      </c>
      <c r="E35" s="920">
        <f>DATA!E30/2.4</f>
        <v>147.08333333333334</v>
      </c>
      <c r="F35" s="920">
        <f>DATA!F30/2.4</f>
        <v>151.66666666666669</v>
      </c>
      <c r="G35" s="920">
        <f>DATA!G30/2.4</f>
        <v>155.83333333333334</v>
      </c>
      <c r="H35" s="920">
        <f>DATA!H30/2.4</f>
        <v>159.58333333333334</v>
      </c>
      <c r="I35" s="920">
        <f>DATA!I30/2.4</f>
        <v>162.91666666666669</v>
      </c>
      <c r="J35" s="920">
        <f>DATA!J30/2.4</f>
        <v>165.83333333333334</v>
      </c>
      <c r="K35" s="920">
        <f>DATA!K30/2.4</f>
        <v>168.75</v>
      </c>
      <c r="L35" s="920">
        <f>DATA!L30/2.4</f>
        <v>171.25</v>
      </c>
      <c r="M35" s="920">
        <f>DATA!M30/2.4</f>
        <v>173.33333333333334</v>
      </c>
      <c r="N35" s="920">
        <f>DATA!N30/2.4</f>
        <v>175.41666666666669</v>
      </c>
      <c r="O35" s="920">
        <f>DATA!O30/2.4</f>
        <v>177.5</v>
      </c>
      <c r="P35" s="920">
        <f>DATA!P30/2.4</f>
        <v>179.58333333333334</v>
      </c>
      <c r="Q35" s="920">
        <f>DATA!Q30/2.4</f>
        <v>181.25</v>
      </c>
      <c r="R35" s="920">
        <f>DATA!R30/2.4</f>
        <v>182.91666666666669</v>
      </c>
      <c r="S35" s="920">
        <f>DATA!S30/2.4</f>
        <v>184.58333333333334</v>
      </c>
      <c r="T35" s="920">
        <f>DATA!T30/2.4</f>
        <v>185.83333333333334</v>
      </c>
      <c r="U35" s="920">
        <f>DATA!U30/2.4</f>
        <v>187.5</v>
      </c>
      <c r="V35" s="920">
        <f>DATA!V30/2.4</f>
        <v>190</v>
      </c>
      <c r="W35" s="920">
        <f>DATA!W30/2.4</f>
        <v>192.5</v>
      </c>
      <c r="X35" s="920">
        <f>DATA!X30/2.4</f>
        <v>194.58333333333334</v>
      </c>
      <c r="Y35" s="920">
        <f>DATA!Y30/2.4</f>
        <v>196.66666666666669</v>
      </c>
      <c r="Z35" s="920">
        <f>DATA!Z30/2.4</f>
        <v>198.33333333333334</v>
      </c>
      <c r="AA35" s="920">
        <f>DATA!AA30/2.4</f>
        <v>202.5</v>
      </c>
      <c r="AB35" s="920">
        <f>DATA!AB30/2.4</f>
        <v>205.83333333333334</v>
      </c>
      <c r="AC35" s="920">
        <f>DATA!AC30/2.4</f>
        <v>208.75</v>
      </c>
    </row>
    <row r="36" spans="1:29" ht="15.75">
      <c r="A36" s="919">
        <f t="shared" si="0"/>
        <v>22.80000000000004</v>
      </c>
      <c r="B36" s="920">
        <f>DATA!B31/2.4</f>
        <v>139.16666666666669</v>
      </c>
      <c r="C36" s="920">
        <f>DATA!C31/2.4</f>
        <v>139.16666666666669</v>
      </c>
      <c r="D36" s="920">
        <f>DATA!D31/2.4</f>
        <v>141.25</v>
      </c>
      <c r="E36" s="920">
        <f>DATA!E31/2.4</f>
        <v>146.66666666666669</v>
      </c>
      <c r="F36" s="920">
        <f>DATA!F31/2.4</f>
        <v>151.25</v>
      </c>
      <c r="G36" s="920">
        <f>DATA!G31/2.4</f>
        <v>155.41666666666669</v>
      </c>
      <c r="H36" s="920">
        <f>DATA!H31/2.4</f>
        <v>159.16666666666669</v>
      </c>
      <c r="I36" s="920">
        <f>DATA!I31/2.4</f>
        <v>162.5</v>
      </c>
      <c r="J36" s="920">
        <f>DATA!J31/2.4</f>
        <v>165.41666666666669</v>
      </c>
      <c r="K36" s="920">
        <f>DATA!K31/2.4</f>
        <v>168.33333333333334</v>
      </c>
      <c r="L36" s="920">
        <f>DATA!L31/2.4</f>
        <v>170.83333333333334</v>
      </c>
      <c r="M36" s="920">
        <f>DATA!M31/2.4</f>
        <v>172.91666666666669</v>
      </c>
      <c r="N36" s="920">
        <f>DATA!N31/2.4</f>
        <v>175</v>
      </c>
      <c r="O36" s="920">
        <f>DATA!O31/2.4</f>
        <v>177.08333333333334</v>
      </c>
      <c r="P36" s="920">
        <f>DATA!P31/2.4</f>
        <v>179.16666666666669</v>
      </c>
      <c r="Q36" s="920">
        <f>DATA!Q31/2.4</f>
        <v>180.83333333333334</v>
      </c>
      <c r="R36" s="920">
        <f>DATA!R31/2.4</f>
        <v>182.5</v>
      </c>
      <c r="S36" s="920">
        <f>DATA!S31/2.4</f>
        <v>184.16666666666669</v>
      </c>
      <c r="T36" s="920">
        <f>DATA!T31/2.4</f>
        <v>185.41666666666669</v>
      </c>
      <c r="U36" s="920">
        <f>DATA!U31/2.4</f>
        <v>187.08333333333334</v>
      </c>
      <c r="V36" s="920">
        <f>DATA!V31/2.4</f>
        <v>189.58333333333334</v>
      </c>
      <c r="W36" s="920">
        <f>DATA!W31/2.4</f>
        <v>192.08333333333334</v>
      </c>
      <c r="X36" s="920">
        <f>DATA!X31/2.4</f>
        <v>194.16666666666669</v>
      </c>
      <c r="Y36" s="920">
        <f>DATA!Y31/2.4</f>
        <v>196.25</v>
      </c>
      <c r="Z36" s="920">
        <f>DATA!Z31/2.4</f>
        <v>197.91666666666669</v>
      </c>
      <c r="AA36" s="920">
        <f>DATA!AA31/2.4</f>
        <v>202.08333333333334</v>
      </c>
      <c r="AB36" s="920">
        <f>DATA!AB31/2.4</f>
        <v>205.41666666666669</v>
      </c>
      <c r="AC36" s="920">
        <f>DATA!AC31/2.4</f>
        <v>208.33333333333334</v>
      </c>
    </row>
    <row r="37" spans="1:29" ht="15.75">
      <c r="A37" s="919">
        <f t="shared" si="0"/>
        <v>22.900000000000041</v>
      </c>
      <c r="B37" s="920">
        <f>DATA!B32/2.4</f>
        <v>138.75</v>
      </c>
      <c r="C37" s="920">
        <f>DATA!C32/2.4</f>
        <v>138.75</v>
      </c>
      <c r="D37" s="920">
        <f>DATA!D32/2.4</f>
        <v>140.83333333333334</v>
      </c>
      <c r="E37" s="920">
        <f>DATA!E32/2.4</f>
        <v>146.25</v>
      </c>
      <c r="F37" s="920">
        <f>DATA!F32/2.4</f>
        <v>150.83333333333334</v>
      </c>
      <c r="G37" s="920">
        <f>DATA!G32/2.4</f>
        <v>155</v>
      </c>
      <c r="H37" s="920">
        <f>DATA!H32/2.4</f>
        <v>158.75</v>
      </c>
      <c r="I37" s="920">
        <f>DATA!I32/2.4</f>
        <v>162.08333333333334</v>
      </c>
      <c r="J37" s="920">
        <f>DATA!J32/2.4</f>
        <v>165</v>
      </c>
      <c r="K37" s="920">
        <f>DATA!K32/2.4</f>
        <v>167.91666666666669</v>
      </c>
      <c r="L37" s="920">
        <f>DATA!L32/2.4</f>
        <v>170.41666666666669</v>
      </c>
      <c r="M37" s="920">
        <f>DATA!M32/2.4</f>
        <v>172.5</v>
      </c>
      <c r="N37" s="920">
        <f>DATA!N32/2.4</f>
        <v>174.58333333333334</v>
      </c>
      <c r="O37" s="920">
        <f>DATA!O32/2.4</f>
        <v>176.66666666666669</v>
      </c>
      <c r="P37" s="920">
        <f>DATA!P32/2.4</f>
        <v>178.75</v>
      </c>
      <c r="Q37" s="920">
        <f>DATA!Q32/2.4</f>
        <v>180.41666666666669</v>
      </c>
      <c r="R37" s="920">
        <f>DATA!R32/2.4</f>
        <v>182.08333333333334</v>
      </c>
      <c r="S37" s="920">
        <f>DATA!S32/2.4</f>
        <v>183.75</v>
      </c>
      <c r="T37" s="920">
        <f>DATA!T32/2.4</f>
        <v>185</v>
      </c>
      <c r="U37" s="920">
        <f>DATA!U32/2.4</f>
        <v>186.66666666666669</v>
      </c>
      <c r="V37" s="920">
        <f>DATA!V32/2.4</f>
        <v>189.16666666666669</v>
      </c>
      <c r="W37" s="920">
        <f>DATA!W32/2.4</f>
        <v>191.66666666666669</v>
      </c>
      <c r="X37" s="920">
        <f>DATA!X32/2.4</f>
        <v>193.75</v>
      </c>
      <c r="Y37" s="920">
        <f>DATA!Y32/2.4</f>
        <v>195.83333333333334</v>
      </c>
      <c r="Z37" s="920">
        <f>DATA!Z32/2.4</f>
        <v>197.5</v>
      </c>
      <c r="AA37" s="920">
        <f>DATA!AA32/2.4</f>
        <v>201.66666666666669</v>
      </c>
      <c r="AB37" s="920">
        <f>DATA!AB32/2.4</f>
        <v>205</v>
      </c>
      <c r="AC37" s="920">
        <f>DATA!AC32/2.4</f>
        <v>207.91666666666669</v>
      </c>
    </row>
    <row r="38" spans="1:29" ht="15.75">
      <c r="A38" s="919">
        <f t="shared" si="0"/>
        <v>23.000000000000043</v>
      </c>
      <c r="B38" s="920">
        <f>DATA!B33/2.4</f>
        <v>137.91666666666669</v>
      </c>
      <c r="C38" s="920">
        <f>DATA!C33/2.4</f>
        <v>137.91666666666669</v>
      </c>
      <c r="D38" s="920">
        <f>DATA!D33/2.4</f>
        <v>140</v>
      </c>
      <c r="E38" s="920">
        <f>DATA!E33/2.4</f>
        <v>145.41666666666669</v>
      </c>
      <c r="F38" s="920">
        <f>DATA!F33/2.4</f>
        <v>150</v>
      </c>
      <c r="G38" s="920">
        <f>DATA!G33/2.4</f>
        <v>154.16666666666669</v>
      </c>
      <c r="H38" s="920">
        <f>DATA!H33/2.4</f>
        <v>157.91666666666669</v>
      </c>
      <c r="I38" s="920">
        <f>DATA!I33/2.4</f>
        <v>161.25</v>
      </c>
      <c r="J38" s="920">
        <f>DATA!J33/2.4</f>
        <v>164.16666666666669</v>
      </c>
      <c r="K38" s="920">
        <f>DATA!K33/2.4</f>
        <v>167.08333333333334</v>
      </c>
      <c r="L38" s="920">
        <f>DATA!L33/2.4</f>
        <v>169.58333333333334</v>
      </c>
      <c r="M38" s="920">
        <f>DATA!M33/2.4</f>
        <v>171.66666666666669</v>
      </c>
      <c r="N38" s="920">
        <f>DATA!N33/2.4</f>
        <v>173.75</v>
      </c>
      <c r="O38" s="920">
        <f>DATA!O33/2.4</f>
        <v>175.83333333333334</v>
      </c>
      <c r="P38" s="920">
        <f>DATA!P33/2.4</f>
        <v>177.91666666666669</v>
      </c>
      <c r="Q38" s="920">
        <f>DATA!Q33/2.4</f>
        <v>179.58333333333334</v>
      </c>
      <c r="R38" s="920">
        <f>DATA!R33/2.4</f>
        <v>181.25</v>
      </c>
      <c r="S38" s="920">
        <f>DATA!S33/2.4</f>
        <v>182.91666666666669</v>
      </c>
      <c r="T38" s="920">
        <f>DATA!T33/2.4</f>
        <v>184.16666666666669</v>
      </c>
      <c r="U38" s="920">
        <f>DATA!U33/2.4</f>
        <v>185.83333333333334</v>
      </c>
      <c r="V38" s="920">
        <f>DATA!V33/2.4</f>
        <v>188.33333333333334</v>
      </c>
      <c r="W38" s="920">
        <f>DATA!W33/2.4</f>
        <v>190.83333333333334</v>
      </c>
      <c r="X38" s="920">
        <f>DATA!X33/2.4</f>
        <v>192.91666666666669</v>
      </c>
      <c r="Y38" s="920">
        <f>DATA!Y33/2.4</f>
        <v>195</v>
      </c>
      <c r="Z38" s="920">
        <f>DATA!Z33/2.4</f>
        <v>196.66666666666669</v>
      </c>
      <c r="AA38" s="920">
        <f>DATA!AA33/2.4</f>
        <v>200.83333333333334</v>
      </c>
      <c r="AB38" s="920">
        <f>DATA!AB33/2.4</f>
        <v>204.16666666666669</v>
      </c>
      <c r="AC38" s="920">
        <f>DATA!AC33/2.4</f>
        <v>207.08333333333334</v>
      </c>
    </row>
    <row r="39" spans="1:29" ht="15.75">
      <c r="A39" s="919">
        <f t="shared" si="0"/>
        <v>23.100000000000044</v>
      </c>
      <c r="B39" s="920">
        <f>DATA!B34/2.4</f>
        <v>137.08333333333334</v>
      </c>
      <c r="C39" s="920">
        <f>DATA!C34/2.4</f>
        <v>137.08333333333334</v>
      </c>
      <c r="D39" s="920">
        <f>DATA!D34/2.4</f>
        <v>139.16666666666669</v>
      </c>
      <c r="E39" s="920">
        <f>DATA!E34/2.4</f>
        <v>144.58333333333334</v>
      </c>
      <c r="F39" s="920">
        <f>DATA!F34/2.4</f>
        <v>149.16666666666669</v>
      </c>
      <c r="G39" s="920">
        <f>DATA!G34/2.4</f>
        <v>153.33333333333334</v>
      </c>
      <c r="H39" s="920">
        <f>DATA!H34/2.4</f>
        <v>157.08333333333334</v>
      </c>
      <c r="I39" s="920">
        <f>DATA!I34/2.4</f>
        <v>160.41666666666669</v>
      </c>
      <c r="J39" s="920">
        <f>DATA!J34/2.4</f>
        <v>163.33333333333334</v>
      </c>
      <c r="K39" s="920">
        <f>DATA!K34/2.4</f>
        <v>166.25</v>
      </c>
      <c r="L39" s="920">
        <f>DATA!L34/2.4</f>
        <v>168.75</v>
      </c>
      <c r="M39" s="920">
        <f>DATA!M34/2.4</f>
        <v>170.83333333333334</v>
      </c>
      <c r="N39" s="920">
        <f>DATA!N34/2.4</f>
        <v>172.91666666666669</v>
      </c>
      <c r="O39" s="920">
        <f>DATA!O34/2.4</f>
        <v>175</v>
      </c>
      <c r="P39" s="920">
        <f>DATA!P34/2.4</f>
        <v>177.08333333333334</v>
      </c>
      <c r="Q39" s="920">
        <f>DATA!Q34/2.4</f>
        <v>178.75</v>
      </c>
      <c r="R39" s="920">
        <f>DATA!R34/2.4</f>
        <v>180.41666666666669</v>
      </c>
      <c r="S39" s="920">
        <f>DATA!S34/2.4</f>
        <v>182.08333333333334</v>
      </c>
      <c r="T39" s="920">
        <f>DATA!T34/2.4</f>
        <v>183.33333333333334</v>
      </c>
      <c r="U39" s="920">
        <f>DATA!U34/2.4</f>
        <v>185</v>
      </c>
      <c r="V39" s="920">
        <f>DATA!V34/2.4</f>
        <v>187.5</v>
      </c>
      <c r="W39" s="920">
        <f>DATA!W34/2.4</f>
        <v>190</v>
      </c>
      <c r="X39" s="920">
        <f>DATA!X34/2.4</f>
        <v>192.08333333333334</v>
      </c>
      <c r="Y39" s="920">
        <f>DATA!Y34/2.4</f>
        <v>194.16666666666669</v>
      </c>
      <c r="Z39" s="920">
        <f>DATA!Z34/2.4</f>
        <v>195.83333333333334</v>
      </c>
      <c r="AA39" s="920">
        <f>DATA!AA34/2.4</f>
        <v>200</v>
      </c>
      <c r="AB39" s="920">
        <f>DATA!AB34/2.4</f>
        <v>203.33333333333334</v>
      </c>
      <c r="AC39" s="920">
        <f>DATA!AC34/2.4</f>
        <v>206.25</v>
      </c>
    </row>
    <row r="40" spans="1:29" ht="15.75">
      <c r="A40" s="919">
        <f t="shared" si="0"/>
        <v>23.200000000000045</v>
      </c>
      <c r="B40" s="920">
        <f>DATA!B35/2.4</f>
        <v>136.66666666666669</v>
      </c>
      <c r="C40" s="920">
        <f>DATA!C35/2.4</f>
        <v>136.66666666666669</v>
      </c>
      <c r="D40" s="920">
        <f>DATA!D35/2.4</f>
        <v>138.75</v>
      </c>
      <c r="E40" s="920">
        <f>DATA!E35/2.4</f>
        <v>144.16666666666669</v>
      </c>
      <c r="F40" s="920">
        <f>DATA!F35/2.4</f>
        <v>148.75</v>
      </c>
      <c r="G40" s="920">
        <f>DATA!G35/2.4</f>
        <v>152.91666666666669</v>
      </c>
      <c r="H40" s="920">
        <f>DATA!H35/2.4</f>
        <v>156.66666666666669</v>
      </c>
      <c r="I40" s="920">
        <f>DATA!I35/2.4</f>
        <v>160</v>
      </c>
      <c r="J40" s="920">
        <f>DATA!J35/2.4</f>
        <v>162.91666666666669</v>
      </c>
      <c r="K40" s="920">
        <f>DATA!K35/2.4</f>
        <v>165.83333333333334</v>
      </c>
      <c r="L40" s="920">
        <f>DATA!L35/2.4</f>
        <v>168.33333333333334</v>
      </c>
      <c r="M40" s="920">
        <f>DATA!M35/2.4</f>
        <v>170.41666666666669</v>
      </c>
      <c r="N40" s="920">
        <f>DATA!N35/2.4</f>
        <v>172.5</v>
      </c>
      <c r="O40" s="920">
        <f>DATA!O35/2.4</f>
        <v>174.58333333333334</v>
      </c>
      <c r="P40" s="920">
        <f>DATA!P35/2.4</f>
        <v>176.66666666666669</v>
      </c>
      <c r="Q40" s="920">
        <f>DATA!Q35/2.4</f>
        <v>178.33333333333334</v>
      </c>
      <c r="R40" s="920">
        <f>DATA!R35/2.4</f>
        <v>180</v>
      </c>
      <c r="S40" s="920">
        <f>DATA!S35/2.4</f>
        <v>181.66666666666669</v>
      </c>
      <c r="T40" s="920">
        <f>DATA!T35/2.4</f>
        <v>182.91666666666669</v>
      </c>
      <c r="U40" s="920">
        <f>DATA!U35/2.4</f>
        <v>184.58333333333334</v>
      </c>
      <c r="V40" s="920">
        <f>DATA!V35/2.4</f>
        <v>187.08333333333334</v>
      </c>
      <c r="W40" s="920">
        <f>DATA!W35/2.4</f>
        <v>189.58333333333334</v>
      </c>
      <c r="X40" s="920">
        <f>DATA!X35/2.4</f>
        <v>191.66666666666669</v>
      </c>
      <c r="Y40" s="920">
        <f>DATA!Y35/2.4</f>
        <v>193.75</v>
      </c>
      <c r="Z40" s="920">
        <f>DATA!Z35/2.4</f>
        <v>195.41666666666669</v>
      </c>
      <c r="AA40" s="920">
        <f>DATA!AA35/2.4</f>
        <v>199.58333333333334</v>
      </c>
      <c r="AB40" s="920">
        <f>DATA!AB35/2.4</f>
        <v>202.91666666666669</v>
      </c>
      <c r="AC40" s="920">
        <f>DATA!AC35/2.4</f>
        <v>205.83333333333334</v>
      </c>
    </row>
    <row r="41" spans="1:29" ht="15.75">
      <c r="A41" s="919">
        <f t="shared" si="0"/>
        <v>23.300000000000047</v>
      </c>
      <c r="B41" s="920">
        <f>DATA!B36/2.4</f>
        <v>135.83333333333334</v>
      </c>
      <c r="C41" s="920">
        <f>DATA!C36/2.4</f>
        <v>135.83333333333334</v>
      </c>
      <c r="D41" s="920">
        <f>DATA!D36/2.4</f>
        <v>137.91666666666669</v>
      </c>
      <c r="E41" s="920">
        <f>DATA!E36/2.4</f>
        <v>143.33333333333334</v>
      </c>
      <c r="F41" s="920">
        <f>DATA!F36/2.4</f>
        <v>147.91666666666669</v>
      </c>
      <c r="G41" s="920">
        <f>DATA!G36/2.4</f>
        <v>152.08333333333334</v>
      </c>
      <c r="H41" s="920">
        <f>DATA!H36/2.4</f>
        <v>155.83333333333334</v>
      </c>
      <c r="I41" s="920">
        <f>DATA!I36/2.4</f>
        <v>159.16666666666669</v>
      </c>
      <c r="J41" s="920">
        <f>DATA!J36/2.4</f>
        <v>162.08333333333334</v>
      </c>
      <c r="K41" s="920">
        <f>DATA!K36/2.4</f>
        <v>165</v>
      </c>
      <c r="L41" s="920">
        <f>DATA!L36/2.4</f>
        <v>167.5</v>
      </c>
      <c r="M41" s="920">
        <f>DATA!M36/2.4</f>
        <v>169.58333333333334</v>
      </c>
      <c r="N41" s="920">
        <f>DATA!N36/2.4</f>
        <v>171.66666666666669</v>
      </c>
      <c r="O41" s="920">
        <f>DATA!O36/2.4</f>
        <v>173.75</v>
      </c>
      <c r="P41" s="920">
        <f>DATA!P36/2.4</f>
        <v>175.83333333333334</v>
      </c>
      <c r="Q41" s="920">
        <f>DATA!Q36/2.4</f>
        <v>177.5</v>
      </c>
      <c r="R41" s="920">
        <f>DATA!R36/2.4</f>
        <v>179.16666666666669</v>
      </c>
      <c r="S41" s="920">
        <f>DATA!S36/2.4</f>
        <v>180.83333333333334</v>
      </c>
      <c r="T41" s="920">
        <f>DATA!T36/2.4</f>
        <v>182.08333333333334</v>
      </c>
      <c r="U41" s="920">
        <f>DATA!U36/2.4</f>
        <v>183.75</v>
      </c>
      <c r="V41" s="920">
        <f>DATA!V36/2.4</f>
        <v>186.25</v>
      </c>
      <c r="W41" s="920">
        <f>DATA!W36/2.4</f>
        <v>188.75</v>
      </c>
      <c r="X41" s="920">
        <f>DATA!X36/2.4</f>
        <v>190.83333333333334</v>
      </c>
      <c r="Y41" s="920">
        <f>DATA!Y36/2.4</f>
        <v>192.91666666666669</v>
      </c>
      <c r="Z41" s="920">
        <f>DATA!Z36/2.4</f>
        <v>194.58333333333334</v>
      </c>
      <c r="AA41" s="920">
        <f>DATA!AA36/2.4</f>
        <v>198.75</v>
      </c>
      <c r="AB41" s="920">
        <f>DATA!AB36/2.4</f>
        <v>202.08333333333334</v>
      </c>
      <c r="AC41" s="920">
        <f>DATA!AC36/2.4</f>
        <v>205</v>
      </c>
    </row>
    <row r="42" spans="1:29" ht="15.75">
      <c r="A42" s="919">
        <f t="shared" si="0"/>
        <v>23.400000000000048</v>
      </c>
      <c r="B42" s="920">
        <f>DATA!B37/2.4</f>
        <v>135</v>
      </c>
      <c r="C42" s="920">
        <f>DATA!C37/2.4</f>
        <v>135</v>
      </c>
      <c r="D42" s="920">
        <f>DATA!D37/2.4</f>
        <v>137.08333333333334</v>
      </c>
      <c r="E42" s="920">
        <f>DATA!E37/2.4</f>
        <v>142.5</v>
      </c>
      <c r="F42" s="920">
        <f>DATA!F37/2.4</f>
        <v>147.08333333333334</v>
      </c>
      <c r="G42" s="920">
        <f>DATA!G37/2.4</f>
        <v>151.25</v>
      </c>
      <c r="H42" s="920">
        <f>DATA!H37/2.4</f>
        <v>155</v>
      </c>
      <c r="I42" s="920">
        <f>DATA!I37/2.4</f>
        <v>158.33333333333334</v>
      </c>
      <c r="J42" s="920">
        <f>DATA!J37/2.4</f>
        <v>161.25</v>
      </c>
      <c r="K42" s="920">
        <f>DATA!K37/2.4</f>
        <v>164.16666666666669</v>
      </c>
      <c r="L42" s="920">
        <f>DATA!L37/2.4</f>
        <v>166.66666666666669</v>
      </c>
      <c r="M42" s="920">
        <f>DATA!M37/2.4</f>
        <v>168.75</v>
      </c>
      <c r="N42" s="920">
        <f>DATA!N37/2.4</f>
        <v>170.83333333333334</v>
      </c>
      <c r="O42" s="920">
        <f>DATA!O37/2.4</f>
        <v>172.91666666666669</v>
      </c>
      <c r="P42" s="920">
        <f>DATA!P37/2.4</f>
        <v>175</v>
      </c>
      <c r="Q42" s="920">
        <f>DATA!Q37/2.4</f>
        <v>176.66666666666669</v>
      </c>
      <c r="R42" s="920">
        <f>DATA!R37/2.4</f>
        <v>178.33333333333334</v>
      </c>
      <c r="S42" s="920">
        <f>DATA!S37/2.4</f>
        <v>180</v>
      </c>
      <c r="T42" s="920">
        <f>DATA!T37/2.4</f>
        <v>181.25</v>
      </c>
      <c r="U42" s="920">
        <f>DATA!U37/2.4</f>
        <v>182.91666666666669</v>
      </c>
      <c r="V42" s="920">
        <f>DATA!V37/2.4</f>
        <v>185.41666666666669</v>
      </c>
      <c r="W42" s="920">
        <f>DATA!W37/2.4</f>
        <v>187.91666666666669</v>
      </c>
      <c r="X42" s="920">
        <f>DATA!X37/2.4</f>
        <v>190</v>
      </c>
      <c r="Y42" s="920">
        <f>DATA!Y37/2.4</f>
        <v>192.08333333333334</v>
      </c>
      <c r="Z42" s="920">
        <f>DATA!Z37/2.4</f>
        <v>193.75</v>
      </c>
      <c r="AA42" s="920">
        <f>DATA!AA37/2.4</f>
        <v>197.91666666666669</v>
      </c>
      <c r="AB42" s="920">
        <f>DATA!AB37/2.4</f>
        <v>201.25</v>
      </c>
      <c r="AC42" s="920">
        <f>DATA!AC37/2.4</f>
        <v>204.16666666666669</v>
      </c>
    </row>
    <row r="43" spans="1:29" ht="15.75">
      <c r="A43" s="919">
        <f t="shared" si="0"/>
        <v>23.50000000000005</v>
      </c>
      <c r="B43" s="920">
        <f>DATA!B38/2.4</f>
        <v>134.58333333333334</v>
      </c>
      <c r="C43" s="920">
        <f>DATA!C38/2.4</f>
        <v>134.58333333333334</v>
      </c>
      <c r="D43" s="920">
        <f>DATA!D38/2.4</f>
        <v>136.66666666666669</v>
      </c>
      <c r="E43" s="920">
        <f>DATA!E38/2.4</f>
        <v>142.08333333333334</v>
      </c>
      <c r="F43" s="920">
        <f>DATA!F38/2.4</f>
        <v>146.66666666666669</v>
      </c>
      <c r="G43" s="920">
        <f>DATA!G38/2.4</f>
        <v>150.83333333333334</v>
      </c>
      <c r="H43" s="920">
        <f>DATA!H38/2.4</f>
        <v>154.58333333333334</v>
      </c>
      <c r="I43" s="920">
        <f>DATA!I38/2.4</f>
        <v>157.91666666666669</v>
      </c>
      <c r="J43" s="920">
        <f>DATA!J38/2.4</f>
        <v>160.83333333333334</v>
      </c>
      <c r="K43" s="920">
        <f>DATA!K38/2.4</f>
        <v>163.75</v>
      </c>
      <c r="L43" s="920">
        <f>DATA!L38/2.4</f>
        <v>166.25</v>
      </c>
      <c r="M43" s="920">
        <f>DATA!M38/2.4</f>
        <v>168.33333333333334</v>
      </c>
      <c r="N43" s="920">
        <f>DATA!N38/2.4</f>
        <v>170.41666666666669</v>
      </c>
      <c r="O43" s="920">
        <f>DATA!O38/2.4</f>
        <v>172.5</v>
      </c>
      <c r="P43" s="920">
        <f>DATA!P38/2.4</f>
        <v>174.58333333333334</v>
      </c>
      <c r="Q43" s="920">
        <f>DATA!Q38/2.4</f>
        <v>176.25</v>
      </c>
      <c r="R43" s="920">
        <f>DATA!R38/2.4</f>
        <v>177.91666666666669</v>
      </c>
      <c r="S43" s="920">
        <f>DATA!S38/2.4</f>
        <v>179.58333333333334</v>
      </c>
      <c r="T43" s="920">
        <f>DATA!T38/2.4</f>
        <v>180.83333333333334</v>
      </c>
      <c r="U43" s="920">
        <f>DATA!U38/2.4</f>
        <v>182.5</v>
      </c>
      <c r="V43" s="920">
        <f>DATA!V38/2.4</f>
        <v>185</v>
      </c>
      <c r="W43" s="920">
        <f>DATA!W38/2.4</f>
        <v>187.5</v>
      </c>
      <c r="X43" s="920">
        <f>DATA!X38/2.4</f>
        <v>189.58333333333334</v>
      </c>
      <c r="Y43" s="920">
        <f>DATA!Y38/2.4</f>
        <v>191.66666666666669</v>
      </c>
      <c r="Z43" s="920">
        <f>DATA!Z38/2.4</f>
        <v>193.33333333333334</v>
      </c>
      <c r="AA43" s="920">
        <f>DATA!AA38/2.4</f>
        <v>197.5</v>
      </c>
      <c r="AB43" s="920">
        <f>DATA!AB38/2.4</f>
        <v>200.83333333333334</v>
      </c>
      <c r="AC43" s="920">
        <f>DATA!AC38/2.4</f>
        <v>203.75</v>
      </c>
    </row>
    <row r="44" spans="1:29" ht="15.75">
      <c r="A44" s="919">
        <f t="shared" si="0"/>
        <v>23.600000000000051</v>
      </c>
      <c r="B44" s="920">
        <f>DATA!B39/2.4</f>
        <v>134.16666666666669</v>
      </c>
      <c r="C44" s="920">
        <f>DATA!C39/2.4</f>
        <v>134.16666666666669</v>
      </c>
      <c r="D44" s="920">
        <f>DATA!D39/2.4</f>
        <v>136.25</v>
      </c>
      <c r="E44" s="920">
        <f>DATA!E39/2.4</f>
        <v>141.66666666666669</v>
      </c>
      <c r="F44" s="920">
        <f>DATA!F39/2.4</f>
        <v>146.25</v>
      </c>
      <c r="G44" s="920">
        <f>DATA!G39/2.4</f>
        <v>150.41666666666669</v>
      </c>
      <c r="H44" s="920">
        <f>DATA!H39/2.4</f>
        <v>154.16666666666669</v>
      </c>
      <c r="I44" s="920">
        <f>DATA!I39/2.4</f>
        <v>157.5</v>
      </c>
      <c r="J44" s="920">
        <f>DATA!J39/2.4</f>
        <v>160.41666666666669</v>
      </c>
      <c r="K44" s="920">
        <f>DATA!K39/2.4</f>
        <v>163.33333333333334</v>
      </c>
      <c r="L44" s="920">
        <f>DATA!L39/2.4</f>
        <v>165.83333333333334</v>
      </c>
      <c r="M44" s="920">
        <f>DATA!M39/2.4</f>
        <v>167.91666666666669</v>
      </c>
      <c r="N44" s="920">
        <f>DATA!N39/2.4</f>
        <v>170</v>
      </c>
      <c r="O44" s="920">
        <f>DATA!O39/2.4</f>
        <v>172.08333333333334</v>
      </c>
      <c r="P44" s="920">
        <f>DATA!P39/2.4</f>
        <v>174.16666666666669</v>
      </c>
      <c r="Q44" s="920">
        <f>DATA!Q39/2.4</f>
        <v>175.83333333333334</v>
      </c>
      <c r="R44" s="920">
        <f>DATA!R39/2.4</f>
        <v>177.5</v>
      </c>
      <c r="S44" s="920">
        <f>DATA!S39/2.4</f>
        <v>179.16666666666669</v>
      </c>
      <c r="T44" s="920">
        <f>DATA!T39/2.4</f>
        <v>180.41666666666669</v>
      </c>
      <c r="U44" s="920">
        <f>DATA!U39/2.4</f>
        <v>182.08333333333334</v>
      </c>
      <c r="V44" s="920">
        <f>DATA!V39/2.4</f>
        <v>184.58333333333334</v>
      </c>
      <c r="W44" s="920">
        <f>DATA!W39/2.4</f>
        <v>187.08333333333334</v>
      </c>
      <c r="X44" s="920">
        <f>DATA!X39/2.4</f>
        <v>189.16666666666669</v>
      </c>
      <c r="Y44" s="920">
        <f>DATA!Y39/2.4</f>
        <v>191.25</v>
      </c>
      <c r="Z44" s="920">
        <f>DATA!Z39/2.4</f>
        <v>192.91666666666669</v>
      </c>
      <c r="AA44" s="920">
        <f>DATA!AA39/2.4</f>
        <v>197.08333333333334</v>
      </c>
      <c r="AB44" s="920">
        <f>DATA!AB39/2.4</f>
        <v>200.41666666666669</v>
      </c>
      <c r="AC44" s="920">
        <f>DATA!AC39/2.4</f>
        <v>203.33333333333334</v>
      </c>
    </row>
    <row r="45" spans="1:29" ht="15.75">
      <c r="A45" s="919">
        <f t="shared" si="0"/>
        <v>23.700000000000053</v>
      </c>
      <c r="B45" s="920">
        <f>DATA!B40/2.4</f>
        <v>133.33333333333334</v>
      </c>
      <c r="C45" s="920">
        <f>DATA!C40/2.4</f>
        <v>133.33333333333334</v>
      </c>
      <c r="D45" s="920">
        <f>DATA!D40/2.4</f>
        <v>135.41666666666669</v>
      </c>
      <c r="E45" s="920">
        <f>DATA!E40/2.4</f>
        <v>140.83333333333334</v>
      </c>
      <c r="F45" s="920">
        <f>DATA!F40/2.4</f>
        <v>145.41666666666669</v>
      </c>
      <c r="G45" s="920">
        <f>DATA!G40/2.4</f>
        <v>149.58333333333334</v>
      </c>
      <c r="H45" s="920">
        <f>DATA!H40/2.4</f>
        <v>153.33333333333334</v>
      </c>
      <c r="I45" s="920">
        <f>DATA!I40/2.4</f>
        <v>156.66666666666669</v>
      </c>
      <c r="J45" s="920">
        <f>DATA!J40/2.4</f>
        <v>159.58333333333334</v>
      </c>
      <c r="K45" s="920">
        <f>DATA!K40/2.4</f>
        <v>162.5</v>
      </c>
      <c r="L45" s="920">
        <f>DATA!L40/2.4</f>
        <v>165</v>
      </c>
      <c r="M45" s="920">
        <f>DATA!M40/2.4</f>
        <v>167.08333333333334</v>
      </c>
      <c r="N45" s="920">
        <f>DATA!N40/2.4</f>
        <v>169.16666666666669</v>
      </c>
      <c r="O45" s="920">
        <f>DATA!O40/2.4</f>
        <v>171.25</v>
      </c>
      <c r="P45" s="920">
        <f>DATA!P40/2.4</f>
        <v>173.33333333333334</v>
      </c>
      <c r="Q45" s="920">
        <f>DATA!Q40/2.4</f>
        <v>175</v>
      </c>
      <c r="R45" s="920">
        <f>DATA!R40/2.4</f>
        <v>176.66666666666669</v>
      </c>
      <c r="S45" s="920">
        <f>DATA!S40/2.4</f>
        <v>178.33333333333334</v>
      </c>
      <c r="T45" s="920">
        <f>DATA!T40/2.4</f>
        <v>179.58333333333334</v>
      </c>
      <c r="U45" s="920">
        <f>DATA!U40/2.4</f>
        <v>181.25</v>
      </c>
      <c r="V45" s="920">
        <f>DATA!V40/2.4</f>
        <v>183.75</v>
      </c>
      <c r="W45" s="920">
        <f>DATA!W40/2.4</f>
        <v>186.25</v>
      </c>
      <c r="X45" s="920">
        <f>DATA!X40/2.4</f>
        <v>188.33333333333334</v>
      </c>
      <c r="Y45" s="920">
        <f>DATA!Y40/2.4</f>
        <v>190.41666666666669</v>
      </c>
      <c r="Z45" s="920">
        <f>DATA!Z40/2.4</f>
        <v>192.08333333333334</v>
      </c>
      <c r="AA45" s="920">
        <f>DATA!AA40/2.4</f>
        <v>196.25</v>
      </c>
      <c r="AB45" s="920">
        <f>DATA!AB40/2.4</f>
        <v>199.58333333333334</v>
      </c>
      <c r="AC45" s="920">
        <f>DATA!AC40/2.4</f>
        <v>202.5</v>
      </c>
    </row>
    <row r="46" spans="1:29" ht="15.75">
      <c r="A46" s="919">
        <f t="shared" si="0"/>
        <v>23.800000000000054</v>
      </c>
      <c r="B46" s="920">
        <f>DATA!B41/2.4</f>
        <v>132.5</v>
      </c>
      <c r="C46" s="920">
        <f>DATA!C41/2.4</f>
        <v>132.5</v>
      </c>
      <c r="D46" s="920">
        <f>DATA!D41/2.4</f>
        <v>134.58333333333334</v>
      </c>
      <c r="E46" s="920">
        <f>DATA!E41/2.4</f>
        <v>140</v>
      </c>
      <c r="F46" s="920">
        <f>DATA!F41/2.4</f>
        <v>144.58333333333334</v>
      </c>
      <c r="G46" s="920">
        <f>DATA!G41/2.4</f>
        <v>148.75</v>
      </c>
      <c r="H46" s="920">
        <f>DATA!H41/2.4</f>
        <v>152.5</v>
      </c>
      <c r="I46" s="920">
        <f>DATA!I41/2.4</f>
        <v>155.83333333333334</v>
      </c>
      <c r="J46" s="920">
        <f>DATA!J41/2.4</f>
        <v>158.75</v>
      </c>
      <c r="K46" s="920">
        <f>DATA!K41/2.4</f>
        <v>161.66666666666669</v>
      </c>
      <c r="L46" s="920">
        <f>DATA!L41/2.4</f>
        <v>164.16666666666669</v>
      </c>
      <c r="M46" s="920">
        <f>DATA!M41/2.4</f>
        <v>166.25</v>
      </c>
      <c r="N46" s="920">
        <f>DATA!N41/2.4</f>
        <v>168.33333333333334</v>
      </c>
      <c r="O46" s="920">
        <f>DATA!O41/2.4</f>
        <v>170.41666666666669</v>
      </c>
      <c r="P46" s="920">
        <f>DATA!P41/2.4</f>
        <v>172.5</v>
      </c>
      <c r="Q46" s="920">
        <f>DATA!Q41/2.4</f>
        <v>174.16666666666669</v>
      </c>
      <c r="R46" s="920">
        <f>DATA!R41/2.4</f>
        <v>175.83333333333334</v>
      </c>
      <c r="S46" s="920">
        <f>DATA!S41/2.4</f>
        <v>177.5</v>
      </c>
      <c r="T46" s="920">
        <f>DATA!T41/2.4</f>
        <v>178.75</v>
      </c>
      <c r="U46" s="920">
        <f>DATA!U41/2.4</f>
        <v>180.41666666666669</v>
      </c>
      <c r="V46" s="920">
        <f>DATA!V41/2.4</f>
        <v>182.91666666666669</v>
      </c>
      <c r="W46" s="920">
        <f>DATA!W41/2.4</f>
        <v>185.41666666666669</v>
      </c>
      <c r="X46" s="920">
        <f>DATA!X41/2.4</f>
        <v>187.5</v>
      </c>
      <c r="Y46" s="920">
        <f>DATA!Y41/2.4</f>
        <v>189.58333333333334</v>
      </c>
      <c r="Z46" s="920">
        <f>DATA!Z41/2.4</f>
        <v>191.25</v>
      </c>
      <c r="AA46" s="920">
        <f>DATA!AA41/2.4</f>
        <v>195.41666666666669</v>
      </c>
      <c r="AB46" s="920">
        <f>DATA!AB41/2.4</f>
        <v>198.75</v>
      </c>
      <c r="AC46" s="920">
        <f>DATA!AC41/2.4</f>
        <v>201.66666666666669</v>
      </c>
    </row>
    <row r="47" spans="1:29" ht="15.75">
      <c r="A47" s="919">
        <f t="shared" si="0"/>
        <v>23.900000000000055</v>
      </c>
      <c r="B47" s="920">
        <f>DATA!B42/2.4</f>
        <v>132.08333333333334</v>
      </c>
      <c r="C47" s="920">
        <f>DATA!C42/2.4</f>
        <v>132.08333333333334</v>
      </c>
      <c r="D47" s="920">
        <f>DATA!D42/2.4</f>
        <v>134.16666666666669</v>
      </c>
      <c r="E47" s="920">
        <f>DATA!E42/2.4</f>
        <v>139.58333333333334</v>
      </c>
      <c r="F47" s="920">
        <f>DATA!F42/2.4</f>
        <v>144.16666666666669</v>
      </c>
      <c r="G47" s="920">
        <f>DATA!G42/2.4</f>
        <v>148.33333333333334</v>
      </c>
      <c r="H47" s="920">
        <f>DATA!H42/2.4</f>
        <v>152.08333333333334</v>
      </c>
      <c r="I47" s="920">
        <f>DATA!I42/2.4</f>
        <v>155.41666666666669</v>
      </c>
      <c r="J47" s="920">
        <f>DATA!J42/2.4</f>
        <v>158.33333333333334</v>
      </c>
      <c r="K47" s="920">
        <f>DATA!K42/2.4</f>
        <v>161.25</v>
      </c>
      <c r="L47" s="920">
        <f>DATA!L42/2.4</f>
        <v>163.75</v>
      </c>
      <c r="M47" s="920">
        <f>DATA!M42/2.4</f>
        <v>165.83333333333334</v>
      </c>
      <c r="N47" s="920">
        <f>DATA!N42/2.4</f>
        <v>167.91666666666669</v>
      </c>
      <c r="O47" s="920">
        <f>DATA!O42/2.4</f>
        <v>170</v>
      </c>
      <c r="P47" s="920">
        <f>DATA!P42/2.4</f>
        <v>172.08333333333334</v>
      </c>
      <c r="Q47" s="920">
        <f>DATA!Q42/2.4</f>
        <v>173.75</v>
      </c>
      <c r="R47" s="920">
        <f>DATA!R42/2.4</f>
        <v>175.41666666666669</v>
      </c>
      <c r="S47" s="920">
        <f>DATA!S42/2.4</f>
        <v>177.08333333333334</v>
      </c>
      <c r="T47" s="920">
        <f>DATA!T42/2.4</f>
        <v>178.33333333333334</v>
      </c>
      <c r="U47" s="920">
        <f>DATA!U42/2.4</f>
        <v>180</v>
      </c>
      <c r="V47" s="920">
        <f>DATA!V42/2.4</f>
        <v>182.5</v>
      </c>
      <c r="W47" s="920">
        <f>DATA!W42/2.4</f>
        <v>185</v>
      </c>
      <c r="X47" s="920">
        <f>DATA!X42/2.4</f>
        <v>187.08333333333334</v>
      </c>
      <c r="Y47" s="920">
        <f>DATA!Y42/2.4</f>
        <v>189.16666666666669</v>
      </c>
      <c r="Z47" s="920">
        <f>DATA!Z42/2.4</f>
        <v>190.83333333333334</v>
      </c>
      <c r="AA47" s="920">
        <f>DATA!AA42/2.4</f>
        <v>195</v>
      </c>
      <c r="AB47" s="920">
        <f>DATA!AB42/2.4</f>
        <v>198.33333333333334</v>
      </c>
      <c r="AC47" s="920">
        <f>DATA!AC42/2.4</f>
        <v>201.25</v>
      </c>
    </row>
    <row r="48" spans="1:29" ht="15.75">
      <c r="A48" s="919">
        <f t="shared" si="0"/>
        <v>24.000000000000057</v>
      </c>
      <c r="B48" s="920">
        <f>DATA!B43/2.4</f>
        <v>131.25</v>
      </c>
      <c r="C48" s="920">
        <f>DATA!C43/2.4</f>
        <v>131.25</v>
      </c>
      <c r="D48" s="920">
        <f>DATA!D43/2.4</f>
        <v>133.33333333333334</v>
      </c>
      <c r="E48" s="920">
        <f>DATA!E43/2.4</f>
        <v>138.75</v>
      </c>
      <c r="F48" s="920">
        <f>DATA!F43/2.4</f>
        <v>143.33333333333334</v>
      </c>
      <c r="G48" s="920">
        <f>DATA!G43/2.4</f>
        <v>147.5</v>
      </c>
      <c r="H48" s="920">
        <f>DATA!H43/2.4</f>
        <v>151.25</v>
      </c>
      <c r="I48" s="920">
        <f>DATA!I43/2.4</f>
        <v>154.58333333333334</v>
      </c>
      <c r="J48" s="920">
        <f>DATA!J43/2.4</f>
        <v>157.5</v>
      </c>
      <c r="K48" s="920">
        <f>DATA!K43/2.4</f>
        <v>160.41666666666669</v>
      </c>
      <c r="L48" s="920">
        <f>DATA!L43/2.4</f>
        <v>162.91666666666669</v>
      </c>
      <c r="M48" s="920">
        <f>DATA!M43/2.4</f>
        <v>165</v>
      </c>
      <c r="N48" s="920">
        <f>DATA!N43/2.4</f>
        <v>167.08333333333334</v>
      </c>
      <c r="O48" s="920">
        <f>DATA!O43/2.4</f>
        <v>169.16666666666669</v>
      </c>
      <c r="P48" s="920">
        <f>DATA!P43/2.4</f>
        <v>171.25</v>
      </c>
      <c r="Q48" s="920">
        <f>DATA!Q43/2.4</f>
        <v>172.91666666666669</v>
      </c>
      <c r="R48" s="920">
        <f>DATA!R43/2.4</f>
        <v>174.58333333333334</v>
      </c>
      <c r="S48" s="920">
        <f>DATA!S43/2.4</f>
        <v>176.25</v>
      </c>
      <c r="T48" s="920">
        <f>DATA!T43/2.4</f>
        <v>177.5</v>
      </c>
      <c r="U48" s="920">
        <f>DATA!U43/2.4</f>
        <v>179.16666666666669</v>
      </c>
      <c r="V48" s="920">
        <f>DATA!V43/2.4</f>
        <v>181.66666666666669</v>
      </c>
      <c r="W48" s="920">
        <f>DATA!W43/2.4</f>
        <v>184.16666666666669</v>
      </c>
      <c r="X48" s="920">
        <f>DATA!X43/2.4</f>
        <v>186.25</v>
      </c>
      <c r="Y48" s="920">
        <f>DATA!Y43/2.4</f>
        <v>188.33333333333334</v>
      </c>
      <c r="Z48" s="920">
        <f>DATA!Z43/2.4</f>
        <v>190</v>
      </c>
      <c r="AA48" s="920">
        <f>DATA!AA43/2.4</f>
        <v>194.16666666666669</v>
      </c>
      <c r="AB48" s="920">
        <f>DATA!AB43/2.4</f>
        <v>197.5</v>
      </c>
      <c r="AC48" s="920">
        <f>DATA!AC43/2.4</f>
        <v>200.41666666666669</v>
      </c>
    </row>
    <row r="49" spans="1:29" ht="15.75">
      <c r="A49" s="919">
        <f t="shared" si="0"/>
        <v>24.100000000000058</v>
      </c>
      <c r="B49" s="920">
        <f>DATA!B44/2.4</f>
        <v>130.41666666666669</v>
      </c>
      <c r="C49" s="920">
        <f>DATA!C44/2.4</f>
        <v>130.41666666666669</v>
      </c>
      <c r="D49" s="920">
        <f>DATA!D44/2.4</f>
        <v>132.5</v>
      </c>
      <c r="E49" s="920">
        <f>DATA!E44/2.4</f>
        <v>137.91666666666669</v>
      </c>
      <c r="F49" s="920">
        <f>DATA!F44/2.4</f>
        <v>142.5</v>
      </c>
      <c r="G49" s="920">
        <f>DATA!G44/2.4</f>
        <v>146.66666666666669</v>
      </c>
      <c r="H49" s="920">
        <f>DATA!H44/2.4</f>
        <v>150.41666666666669</v>
      </c>
      <c r="I49" s="920">
        <f>DATA!I44/2.4</f>
        <v>153.75</v>
      </c>
      <c r="J49" s="920">
        <f>DATA!J44/2.4</f>
        <v>156.66666666666669</v>
      </c>
      <c r="K49" s="920">
        <f>DATA!K44/2.4</f>
        <v>159.58333333333334</v>
      </c>
      <c r="L49" s="920">
        <f>DATA!L44/2.4</f>
        <v>162.08333333333334</v>
      </c>
      <c r="M49" s="920">
        <f>DATA!M44/2.4</f>
        <v>164.16666666666669</v>
      </c>
      <c r="N49" s="920">
        <f>DATA!N44/2.4</f>
        <v>166.25</v>
      </c>
      <c r="O49" s="920">
        <f>DATA!O44/2.4</f>
        <v>168.33333333333334</v>
      </c>
      <c r="P49" s="920">
        <f>DATA!P44/2.4</f>
        <v>170.41666666666669</v>
      </c>
      <c r="Q49" s="920">
        <f>DATA!Q44/2.4</f>
        <v>172.08333333333334</v>
      </c>
      <c r="R49" s="920">
        <f>DATA!R44/2.4</f>
        <v>173.75</v>
      </c>
      <c r="S49" s="920">
        <f>DATA!S44/2.4</f>
        <v>175.41666666666669</v>
      </c>
      <c r="T49" s="920">
        <f>DATA!T44/2.4</f>
        <v>176.66666666666669</v>
      </c>
      <c r="U49" s="920">
        <f>DATA!U44/2.4</f>
        <v>178.33333333333334</v>
      </c>
      <c r="V49" s="920">
        <f>DATA!V44/2.4</f>
        <v>180.83333333333334</v>
      </c>
      <c r="W49" s="920">
        <f>DATA!W44/2.4</f>
        <v>183.33333333333334</v>
      </c>
      <c r="X49" s="920">
        <f>DATA!X44/2.4</f>
        <v>185.41666666666669</v>
      </c>
      <c r="Y49" s="920">
        <f>DATA!Y44/2.4</f>
        <v>187.5</v>
      </c>
      <c r="Z49" s="920">
        <f>DATA!Z44/2.4</f>
        <v>189.16666666666669</v>
      </c>
      <c r="AA49" s="920">
        <f>DATA!AA44/2.4</f>
        <v>193.33333333333334</v>
      </c>
      <c r="AB49" s="920">
        <f>DATA!AB44/2.4</f>
        <v>196.66666666666669</v>
      </c>
      <c r="AC49" s="920">
        <f>DATA!AC44/2.4</f>
        <v>199.58333333333334</v>
      </c>
    </row>
    <row r="50" spans="1:29" ht="15.75">
      <c r="A50" s="919">
        <f t="shared" si="0"/>
        <v>24.20000000000006</v>
      </c>
      <c r="B50" s="920">
        <f>DATA!B45/2.4</f>
        <v>130</v>
      </c>
      <c r="C50" s="920">
        <f>DATA!C45/2.4</f>
        <v>130</v>
      </c>
      <c r="D50" s="920">
        <f>DATA!D45/2.4</f>
        <v>132.08333333333334</v>
      </c>
      <c r="E50" s="920">
        <f>DATA!E45/2.4</f>
        <v>137.5</v>
      </c>
      <c r="F50" s="920">
        <f>DATA!F45/2.4</f>
        <v>142.08333333333334</v>
      </c>
      <c r="G50" s="920">
        <f>DATA!G45/2.4</f>
        <v>146.25</v>
      </c>
      <c r="H50" s="920">
        <f>DATA!H45/2.4</f>
        <v>150</v>
      </c>
      <c r="I50" s="920">
        <f>DATA!I45/2.4</f>
        <v>153.33333333333334</v>
      </c>
      <c r="J50" s="920">
        <f>DATA!J45/2.4</f>
        <v>156.25</v>
      </c>
      <c r="K50" s="920">
        <f>DATA!K45/2.4</f>
        <v>159.16666666666669</v>
      </c>
      <c r="L50" s="920">
        <f>DATA!L45/2.4</f>
        <v>161.66666666666669</v>
      </c>
      <c r="M50" s="920">
        <f>DATA!M45/2.4</f>
        <v>163.75</v>
      </c>
      <c r="N50" s="920">
        <f>DATA!N45/2.4</f>
        <v>165.83333333333334</v>
      </c>
      <c r="O50" s="920">
        <f>DATA!O45/2.4</f>
        <v>167.91666666666669</v>
      </c>
      <c r="P50" s="920">
        <f>DATA!P45/2.4</f>
        <v>170</v>
      </c>
      <c r="Q50" s="920">
        <f>DATA!Q45/2.4</f>
        <v>171.66666666666669</v>
      </c>
      <c r="R50" s="920">
        <f>DATA!R45/2.4</f>
        <v>173.33333333333334</v>
      </c>
      <c r="S50" s="920">
        <f>DATA!S45/2.4</f>
        <v>175</v>
      </c>
      <c r="T50" s="920">
        <f>DATA!T45/2.4</f>
        <v>176.25</v>
      </c>
      <c r="U50" s="920">
        <f>DATA!U45/2.4</f>
        <v>177.91666666666669</v>
      </c>
      <c r="V50" s="920">
        <f>DATA!V45/2.4</f>
        <v>180.41666666666669</v>
      </c>
      <c r="W50" s="920">
        <f>DATA!W45/2.4</f>
        <v>182.91666666666669</v>
      </c>
      <c r="X50" s="920">
        <f>DATA!X45/2.4</f>
        <v>185</v>
      </c>
      <c r="Y50" s="920">
        <f>DATA!Y45/2.4</f>
        <v>187.08333333333334</v>
      </c>
      <c r="Z50" s="920">
        <f>DATA!Z45/2.4</f>
        <v>188.75</v>
      </c>
      <c r="AA50" s="920">
        <f>DATA!AA45/2.4</f>
        <v>192.91666666666669</v>
      </c>
      <c r="AB50" s="920">
        <f>DATA!AB45/2.4</f>
        <v>196.25</v>
      </c>
      <c r="AC50" s="920">
        <f>DATA!AC45/2.4</f>
        <v>199.16666666666669</v>
      </c>
    </row>
    <row r="51" spans="1:29" ht="15.75">
      <c r="A51" s="919">
        <f t="shared" si="0"/>
        <v>24.300000000000061</v>
      </c>
      <c r="B51" s="920">
        <f>DATA!B46/2.4</f>
        <v>129.58333333333334</v>
      </c>
      <c r="C51" s="920">
        <f>DATA!C46/2.4</f>
        <v>129.58333333333334</v>
      </c>
      <c r="D51" s="920">
        <f>DATA!D46/2.4</f>
        <v>131.66666666666669</v>
      </c>
      <c r="E51" s="920">
        <f>DATA!E46/2.4</f>
        <v>137.08333333333334</v>
      </c>
      <c r="F51" s="920">
        <f>DATA!F46/2.4</f>
        <v>141.66666666666669</v>
      </c>
      <c r="G51" s="920">
        <f>DATA!G46/2.4</f>
        <v>145.83333333333334</v>
      </c>
      <c r="H51" s="920">
        <f>DATA!H46/2.4</f>
        <v>149.58333333333334</v>
      </c>
      <c r="I51" s="920">
        <f>DATA!I46/2.4</f>
        <v>152.91666666666669</v>
      </c>
      <c r="J51" s="920">
        <f>DATA!J46/2.4</f>
        <v>155.83333333333334</v>
      </c>
      <c r="K51" s="920">
        <f>DATA!K46/2.4</f>
        <v>158.75</v>
      </c>
      <c r="L51" s="920">
        <f>DATA!L46/2.4</f>
        <v>161.25</v>
      </c>
      <c r="M51" s="920">
        <f>DATA!M46/2.4</f>
        <v>163.33333333333334</v>
      </c>
      <c r="N51" s="920">
        <f>DATA!N46/2.4</f>
        <v>165.41666666666669</v>
      </c>
      <c r="O51" s="920">
        <f>DATA!O46/2.4</f>
        <v>167.5</v>
      </c>
      <c r="P51" s="920">
        <f>DATA!P46/2.4</f>
        <v>169.58333333333334</v>
      </c>
      <c r="Q51" s="920">
        <f>DATA!Q46/2.4</f>
        <v>171.25</v>
      </c>
      <c r="R51" s="920">
        <f>DATA!R46/2.4</f>
        <v>172.91666666666669</v>
      </c>
      <c r="S51" s="920">
        <f>DATA!S46/2.4</f>
        <v>174.58333333333334</v>
      </c>
      <c r="T51" s="920">
        <f>DATA!T46/2.4</f>
        <v>175.83333333333334</v>
      </c>
      <c r="U51" s="920">
        <f>DATA!U46/2.4</f>
        <v>177.5</v>
      </c>
      <c r="V51" s="920">
        <f>DATA!V46/2.4</f>
        <v>180</v>
      </c>
      <c r="W51" s="920">
        <f>DATA!W46/2.4</f>
        <v>182.5</v>
      </c>
      <c r="X51" s="920">
        <f>DATA!X46/2.4</f>
        <v>184.58333333333334</v>
      </c>
      <c r="Y51" s="920">
        <f>DATA!Y46/2.4</f>
        <v>186.66666666666669</v>
      </c>
      <c r="Z51" s="920">
        <f>DATA!Z46/2.4</f>
        <v>188.33333333333334</v>
      </c>
      <c r="AA51" s="920">
        <f>DATA!AA46/2.4</f>
        <v>192.5</v>
      </c>
      <c r="AB51" s="920">
        <f>DATA!AB46/2.4</f>
        <v>195.83333333333334</v>
      </c>
      <c r="AC51" s="920">
        <f>DATA!AC46/2.4</f>
        <v>198.75</v>
      </c>
    </row>
    <row r="52" spans="1:29" ht="15.75">
      <c r="A52" s="919">
        <f t="shared" si="0"/>
        <v>24.400000000000063</v>
      </c>
      <c r="B52" s="920">
        <f>DATA!B47/2.4</f>
        <v>128.75</v>
      </c>
      <c r="C52" s="920">
        <f>DATA!C47/2.4</f>
        <v>128.75</v>
      </c>
      <c r="D52" s="920">
        <f>DATA!D47/2.4</f>
        <v>130.83333333333334</v>
      </c>
      <c r="E52" s="920">
        <f>DATA!E47/2.4</f>
        <v>136.25</v>
      </c>
      <c r="F52" s="920">
        <f>DATA!F47/2.4</f>
        <v>140.83333333333334</v>
      </c>
      <c r="G52" s="920">
        <f>DATA!G47/2.4</f>
        <v>145</v>
      </c>
      <c r="H52" s="920">
        <f>DATA!H47/2.4</f>
        <v>148.75</v>
      </c>
      <c r="I52" s="920">
        <f>DATA!I47/2.4</f>
        <v>152.08333333333334</v>
      </c>
      <c r="J52" s="920">
        <f>DATA!J47/2.4</f>
        <v>155</v>
      </c>
      <c r="K52" s="920">
        <f>DATA!K47/2.4</f>
        <v>157.91666666666669</v>
      </c>
      <c r="L52" s="920">
        <f>DATA!L47/2.4</f>
        <v>160.41666666666669</v>
      </c>
      <c r="M52" s="920">
        <f>DATA!M47/2.4</f>
        <v>162.5</v>
      </c>
      <c r="N52" s="920">
        <f>DATA!N47/2.4</f>
        <v>164.58333333333334</v>
      </c>
      <c r="O52" s="920">
        <f>DATA!O47/2.4</f>
        <v>166.66666666666669</v>
      </c>
      <c r="P52" s="920">
        <f>DATA!P47/2.4</f>
        <v>168.75</v>
      </c>
      <c r="Q52" s="920">
        <f>DATA!Q47/2.4</f>
        <v>170.41666666666669</v>
      </c>
      <c r="R52" s="920">
        <f>DATA!R47/2.4</f>
        <v>172.08333333333334</v>
      </c>
      <c r="S52" s="920">
        <f>DATA!S47/2.4</f>
        <v>173.75</v>
      </c>
      <c r="T52" s="920">
        <f>DATA!T47/2.4</f>
        <v>175</v>
      </c>
      <c r="U52" s="920">
        <f>DATA!U47/2.4</f>
        <v>176.66666666666669</v>
      </c>
      <c r="V52" s="920">
        <f>DATA!V47/2.4</f>
        <v>179.16666666666669</v>
      </c>
      <c r="W52" s="920">
        <f>DATA!W47/2.4</f>
        <v>181.66666666666669</v>
      </c>
      <c r="X52" s="920">
        <f>DATA!X47/2.4</f>
        <v>183.75</v>
      </c>
      <c r="Y52" s="920">
        <f>DATA!Y47/2.4</f>
        <v>185.83333333333334</v>
      </c>
      <c r="Z52" s="920">
        <f>DATA!Z47/2.4</f>
        <v>187.5</v>
      </c>
      <c r="AA52" s="920">
        <f>DATA!AA47/2.4</f>
        <v>191.66666666666669</v>
      </c>
      <c r="AB52" s="920">
        <f>DATA!AB47/2.4</f>
        <v>195</v>
      </c>
      <c r="AC52" s="920">
        <f>DATA!AC47/2.4</f>
        <v>197.91666666666669</v>
      </c>
    </row>
    <row r="53" spans="1:29" ht="15.75">
      <c r="A53" s="919">
        <f t="shared" si="0"/>
        <v>24.500000000000064</v>
      </c>
      <c r="B53" s="920">
        <f>DATA!B48/2.4</f>
        <v>127.91666666666667</v>
      </c>
      <c r="C53" s="920">
        <f>DATA!C48/2.4</f>
        <v>127.91666666666667</v>
      </c>
      <c r="D53" s="920">
        <f>DATA!D48/2.4</f>
        <v>130</v>
      </c>
      <c r="E53" s="920">
        <f>DATA!E48/2.4</f>
        <v>135.41666666666669</v>
      </c>
      <c r="F53" s="920">
        <f>DATA!F48/2.4</f>
        <v>140</v>
      </c>
      <c r="G53" s="920">
        <f>DATA!G48/2.4</f>
        <v>144.16666666666669</v>
      </c>
      <c r="H53" s="920">
        <f>DATA!H48/2.4</f>
        <v>147.91666666666669</v>
      </c>
      <c r="I53" s="920">
        <f>DATA!I48/2.4</f>
        <v>151.25</v>
      </c>
      <c r="J53" s="920">
        <f>DATA!J48/2.4</f>
        <v>154.16666666666669</v>
      </c>
      <c r="K53" s="920">
        <f>DATA!K48/2.4</f>
        <v>157.08333333333334</v>
      </c>
      <c r="L53" s="920">
        <f>DATA!L48/2.4</f>
        <v>159.58333333333334</v>
      </c>
      <c r="M53" s="920">
        <f>DATA!M48/2.4</f>
        <v>161.66666666666669</v>
      </c>
      <c r="N53" s="920">
        <f>DATA!N48/2.4</f>
        <v>163.75</v>
      </c>
      <c r="O53" s="920">
        <f>DATA!O48/2.4</f>
        <v>165.83333333333334</v>
      </c>
      <c r="P53" s="920">
        <f>DATA!P48/2.4</f>
        <v>167.91666666666669</v>
      </c>
      <c r="Q53" s="920">
        <f>DATA!Q48/2.4</f>
        <v>169.58333333333334</v>
      </c>
      <c r="R53" s="920">
        <f>DATA!R48/2.4</f>
        <v>171.25</v>
      </c>
      <c r="S53" s="920">
        <f>DATA!S48/2.4</f>
        <v>172.91666666666669</v>
      </c>
      <c r="T53" s="920">
        <f>DATA!T48/2.4</f>
        <v>174.16666666666669</v>
      </c>
      <c r="U53" s="920">
        <f>DATA!U48/2.4</f>
        <v>175.83333333333334</v>
      </c>
      <c r="V53" s="920">
        <f>DATA!V48/2.4</f>
        <v>178.33333333333334</v>
      </c>
      <c r="W53" s="920">
        <f>DATA!W48/2.4</f>
        <v>180.83333333333334</v>
      </c>
      <c r="X53" s="920">
        <f>DATA!X48/2.4</f>
        <v>182.91666666666669</v>
      </c>
      <c r="Y53" s="920">
        <f>DATA!Y48/2.4</f>
        <v>185</v>
      </c>
      <c r="Z53" s="920">
        <f>DATA!Z48/2.4</f>
        <v>186.66666666666669</v>
      </c>
      <c r="AA53" s="920">
        <f>DATA!AA48/2.4</f>
        <v>190.83333333333334</v>
      </c>
      <c r="AB53" s="920">
        <f>DATA!AB48/2.4</f>
        <v>194.16666666666669</v>
      </c>
      <c r="AC53" s="920">
        <f>DATA!AC48/2.4</f>
        <v>197.08333333333334</v>
      </c>
    </row>
    <row r="54" spans="1:29" ht="15.75">
      <c r="A54" s="918">
        <f>DATA!A49</f>
        <v>25</v>
      </c>
      <c r="B54" s="920">
        <f>DATA!B49/2.4</f>
        <v>127.5</v>
      </c>
      <c r="C54" s="920">
        <f>DATA!C49/2.4</f>
        <v>127.5</v>
      </c>
      <c r="D54" s="920">
        <f>DATA!D49/2.4</f>
        <v>129.58333333333334</v>
      </c>
      <c r="E54" s="920">
        <f>DATA!E49/2.4</f>
        <v>135</v>
      </c>
      <c r="F54" s="920">
        <f>DATA!F49/2.4</f>
        <v>139.58333333333334</v>
      </c>
      <c r="G54" s="920">
        <f>DATA!G49/2.4</f>
        <v>143.75</v>
      </c>
      <c r="H54" s="920">
        <f>DATA!H49/2.4</f>
        <v>147.5</v>
      </c>
      <c r="I54" s="920">
        <f>DATA!I49/2.4</f>
        <v>150.83333333333334</v>
      </c>
      <c r="J54" s="920">
        <f>DATA!J49/2.4</f>
        <v>162.08333333333334</v>
      </c>
      <c r="K54" s="920">
        <f>DATA!K49/2.4</f>
        <v>156.66666666666669</v>
      </c>
      <c r="L54" s="920">
        <f>DATA!L49/2.4</f>
        <v>159.16666666666669</v>
      </c>
      <c r="M54" s="920">
        <f>DATA!M49/2.4</f>
        <v>161.25</v>
      </c>
      <c r="N54" s="920">
        <f>DATA!N49/2.4</f>
        <v>163.33333333333334</v>
      </c>
      <c r="O54" s="920">
        <f>DATA!O49/2.4</f>
        <v>165.41666666666669</v>
      </c>
      <c r="P54" s="920">
        <f>DATA!P49/2.4</f>
        <v>167.5</v>
      </c>
      <c r="Q54" s="920">
        <f>DATA!Q49/2.4</f>
        <v>169.16666666666669</v>
      </c>
      <c r="R54" s="920">
        <f>DATA!R49/2.4</f>
        <v>170.83333333333334</v>
      </c>
      <c r="S54" s="920">
        <f>DATA!S49/2.4</f>
        <v>172.5</v>
      </c>
      <c r="T54" s="920">
        <f>DATA!T49/2.4</f>
        <v>173.75</v>
      </c>
      <c r="U54" s="920">
        <f>DATA!U49/2.4</f>
        <v>175.41666666666669</v>
      </c>
      <c r="V54" s="920">
        <f>DATA!V49/2.4</f>
        <v>177.91666666666669</v>
      </c>
      <c r="W54" s="920">
        <f>DATA!W49/2.4</f>
        <v>180.41666666666669</v>
      </c>
      <c r="X54" s="920">
        <f>DATA!X49/2.4</f>
        <v>182.5</v>
      </c>
      <c r="Y54" s="920">
        <f>DATA!Y49/2.4</f>
        <v>184.58333333333334</v>
      </c>
      <c r="Z54" s="920">
        <f>DATA!Z49/2.4</f>
        <v>186.25</v>
      </c>
      <c r="AA54" s="920">
        <f>DATA!AA49/2.4</f>
        <v>190.41666666666669</v>
      </c>
      <c r="AB54" s="920">
        <f>DATA!AB49/2.4</f>
        <v>193.75</v>
      </c>
      <c r="AC54" s="920">
        <f>DATA!AC49/2.4</f>
        <v>196.66666666666669</v>
      </c>
    </row>
    <row r="55" spans="1:29" ht="15.75">
      <c r="A55" s="918">
        <f>DATA!A50</f>
        <v>25.1</v>
      </c>
      <c r="B55" s="920">
        <f>DATA!B50/2.4</f>
        <v>122.5</v>
      </c>
      <c r="C55" s="920">
        <f>DATA!C50/2.4</f>
        <v>122.5</v>
      </c>
      <c r="D55" s="920">
        <f>DATA!D50/2.4</f>
        <v>128.75</v>
      </c>
      <c r="E55" s="920">
        <f>DATA!E50/2.4</f>
        <v>134.16666666666669</v>
      </c>
      <c r="F55" s="920">
        <f>DATA!F50/2.4</f>
        <v>138.75</v>
      </c>
      <c r="G55" s="920">
        <f>DATA!G50/2.4</f>
        <v>142.91666666666669</v>
      </c>
      <c r="H55" s="920">
        <f>DATA!H50/2.4</f>
        <v>146.66666666666669</v>
      </c>
      <c r="I55" s="920">
        <f>DATA!I50/2.4</f>
        <v>150</v>
      </c>
      <c r="J55" s="920">
        <f>DATA!J50/2.4</f>
        <v>152.91666666666669</v>
      </c>
      <c r="K55" s="920">
        <f>DATA!K50/2.4</f>
        <v>155.83333333333334</v>
      </c>
      <c r="L55" s="920">
        <f>DATA!L50/2.4</f>
        <v>158.33333333333334</v>
      </c>
      <c r="M55" s="920">
        <f>DATA!M50/2.4</f>
        <v>160.41666666666669</v>
      </c>
      <c r="N55" s="920">
        <f>DATA!N50/2.4</f>
        <v>162.5</v>
      </c>
      <c r="O55" s="920">
        <f>DATA!O50/2.4</f>
        <v>164.58333333333334</v>
      </c>
      <c r="P55" s="920">
        <f>DATA!P50/2.4</f>
        <v>166.66666666666669</v>
      </c>
      <c r="Q55" s="920">
        <f>DATA!Q50/2.4</f>
        <v>168.33333333333334</v>
      </c>
      <c r="R55" s="920">
        <f>DATA!R50/2.4</f>
        <v>170</v>
      </c>
      <c r="S55" s="920">
        <f>DATA!S50/2.4</f>
        <v>171.66666666666669</v>
      </c>
      <c r="T55" s="920">
        <f>DATA!T50/2.4</f>
        <v>172.91666666666669</v>
      </c>
      <c r="U55" s="920">
        <f>DATA!U50/2.4</f>
        <v>174.58333333333334</v>
      </c>
      <c r="V55" s="920">
        <f>DATA!V50/2.4</f>
        <v>177.08333333333334</v>
      </c>
      <c r="W55" s="920">
        <f>DATA!W50/2.4</f>
        <v>179.16666666666669</v>
      </c>
      <c r="X55" s="920">
        <f>DATA!X50/2.4</f>
        <v>181.66666666666669</v>
      </c>
      <c r="Y55" s="920">
        <f>DATA!Y50/2.4</f>
        <v>183.33333333333334</v>
      </c>
      <c r="Z55" s="920">
        <f>DATA!Z50/2.4</f>
        <v>185.41666666666669</v>
      </c>
      <c r="AA55" s="920">
        <f>DATA!AA50/2.4</f>
        <v>189.16666666666669</v>
      </c>
      <c r="AB55" s="920">
        <f>DATA!AB50/2.4</f>
        <v>192.5</v>
      </c>
      <c r="AC55" s="920">
        <f>DATA!AC50/2.4</f>
        <v>195.41666666666669</v>
      </c>
    </row>
    <row r="56" spans="1:29" ht="15.75">
      <c r="A56" s="918">
        <f>DATA!A51</f>
        <v>25.2</v>
      </c>
      <c r="B56" s="920">
        <f>DATA!B51/2.4</f>
        <v>122.08333333333334</v>
      </c>
      <c r="C56" s="920">
        <f>DATA!C51/2.4</f>
        <v>122.08333333333334</v>
      </c>
      <c r="D56" s="920">
        <f>DATA!D51/2.4</f>
        <v>128.33333333333334</v>
      </c>
      <c r="E56" s="920">
        <f>DATA!E51/2.4</f>
        <v>133.75</v>
      </c>
      <c r="F56" s="920">
        <f>DATA!F51/2.4</f>
        <v>138.33333333333334</v>
      </c>
      <c r="G56" s="920">
        <f>DATA!G51/2.4</f>
        <v>142.08333333333334</v>
      </c>
      <c r="H56" s="920">
        <f>DATA!H51/2.4</f>
        <v>145.83333333333334</v>
      </c>
      <c r="I56" s="920">
        <f>DATA!I51/2.4</f>
        <v>149.16666666666669</v>
      </c>
      <c r="J56" s="920">
        <f>DATA!J51/2.4</f>
        <v>152.08333333333334</v>
      </c>
      <c r="K56" s="920">
        <f>DATA!K51/2.4</f>
        <v>155</v>
      </c>
      <c r="L56" s="920">
        <f>DATA!L51/2.4</f>
        <v>157.5</v>
      </c>
      <c r="M56" s="920">
        <f>DATA!M51/2.4</f>
        <v>159.58333333333334</v>
      </c>
      <c r="N56" s="920">
        <f>DATA!N51/2.4</f>
        <v>161.66666666666669</v>
      </c>
      <c r="O56" s="920">
        <f>DATA!O51/2.4</f>
        <v>163.75</v>
      </c>
      <c r="P56" s="920">
        <f>DATA!P51/2.4</f>
        <v>165.83333333333334</v>
      </c>
      <c r="Q56" s="920">
        <f>DATA!Q51/2.4</f>
        <v>167.5</v>
      </c>
      <c r="R56" s="920">
        <f>DATA!R51/2.4</f>
        <v>169.16666666666669</v>
      </c>
      <c r="S56" s="920">
        <f>DATA!S51/2.4</f>
        <v>170.41666666666669</v>
      </c>
      <c r="T56" s="920">
        <f>DATA!T51/2.4</f>
        <v>172.08333333333334</v>
      </c>
      <c r="U56" s="920">
        <f>DATA!U51/2.4</f>
        <v>173.33333333333334</v>
      </c>
      <c r="V56" s="920">
        <f>DATA!V51/2.4</f>
        <v>176.25</v>
      </c>
      <c r="W56" s="920">
        <f>DATA!W51/2.4</f>
        <v>178.33333333333334</v>
      </c>
      <c r="X56" s="920">
        <f>DATA!X51/2.4</f>
        <v>180.41666666666669</v>
      </c>
      <c r="Y56" s="920">
        <f>DATA!Y51/2.4</f>
        <v>182.5</v>
      </c>
      <c r="Z56" s="920">
        <f>DATA!Z51/2.4</f>
        <v>184.16666666666669</v>
      </c>
      <c r="AA56" s="920">
        <f>DATA!AA51/2.4</f>
        <v>188.33333333333334</v>
      </c>
      <c r="AB56" s="920">
        <f>DATA!AB51/2.4</f>
        <v>191.66666666666669</v>
      </c>
      <c r="AC56" s="920">
        <f>DATA!AC51/2.4</f>
        <v>194.58333333333334</v>
      </c>
    </row>
    <row r="57" spans="1:29" ht="15.75">
      <c r="A57" s="918">
        <f>DATA!A52</f>
        <v>25.3</v>
      </c>
      <c r="B57" s="920">
        <f>DATA!B52/2.4</f>
        <v>121.25</v>
      </c>
      <c r="C57" s="920">
        <f>DATA!C52/2.4</f>
        <v>121.25</v>
      </c>
      <c r="D57" s="920">
        <f>DATA!D52/2.4</f>
        <v>127.5</v>
      </c>
      <c r="E57" s="920">
        <f>DATA!E52/2.4</f>
        <v>132.91666666666669</v>
      </c>
      <c r="F57" s="920">
        <f>DATA!F52/2.4</f>
        <v>137.5</v>
      </c>
      <c r="G57" s="920">
        <f>DATA!G52/2.4</f>
        <v>141.66666666666669</v>
      </c>
      <c r="H57" s="920">
        <f>DATA!H52/2.4</f>
        <v>145</v>
      </c>
      <c r="I57" s="920">
        <f>DATA!I52/2.4</f>
        <v>148.33333333333334</v>
      </c>
      <c r="J57" s="920">
        <f>DATA!J52/2.4</f>
        <v>151.25</v>
      </c>
      <c r="K57" s="920">
        <f>DATA!K52/2.4</f>
        <v>154.16666666666669</v>
      </c>
      <c r="L57" s="920">
        <f>DATA!L52/2.4</f>
        <v>156.66666666666669</v>
      </c>
      <c r="M57" s="920">
        <f>DATA!M52/2.4</f>
        <v>158.75</v>
      </c>
      <c r="N57" s="920">
        <f>DATA!N52/2.4</f>
        <v>160.83333333333334</v>
      </c>
      <c r="O57" s="920">
        <f>DATA!O52/2.4</f>
        <v>162.91666666666669</v>
      </c>
      <c r="P57" s="920">
        <f>DATA!P52/2.4</f>
        <v>164.58333333333334</v>
      </c>
      <c r="Q57" s="920">
        <f>DATA!Q52/2.4</f>
        <v>166.66666666666669</v>
      </c>
      <c r="R57" s="920">
        <f>DATA!R52/2.4</f>
        <v>168.33333333333334</v>
      </c>
      <c r="S57" s="920">
        <f>DATA!S52/2.4</f>
        <v>169.58333333333334</v>
      </c>
      <c r="T57" s="920">
        <f>DATA!T52/2.4</f>
        <v>171.25</v>
      </c>
      <c r="U57" s="920">
        <f>DATA!U52/2.4</f>
        <v>172.5</v>
      </c>
      <c r="V57" s="920">
        <f>DATA!V52/2.4</f>
        <v>175</v>
      </c>
      <c r="W57" s="920">
        <f>DATA!W52/2.4</f>
        <v>177.5</v>
      </c>
      <c r="X57" s="920">
        <f>DATA!X52/2.4</f>
        <v>179.58333333333334</v>
      </c>
      <c r="Y57" s="920">
        <f>DATA!Y52/2.4</f>
        <v>181.66666666666669</v>
      </c>
      <c r="Z57" s="920">
        <f>DATA!Z52/2.4</f>
        <v>184.58333333333334</v>
      </c>
      <c r="AA57" s="920">
        <f>DATA!AA52/2.4</f>
        <v>187.5</v>
      </c>
      <c r="AB57" s="920">
        <f>DATA!AB52/2.4</f>
        <v>190.83333333333334</v>
      </c>
      <c r="AC57" s="920">
        <f>DATA!AC52/2.4</f>
        <v>193.75</v>
      </c>
    </row>
    <row r="58" spans="1:29" ht="15.75">
      <c r="A58" s="918">
        <f>DATA!A53</f>
        <v>25.4</v>
      </c>
      <c r="B58" s="920">
        <f>DATA!B53/2.4</f>
        <v>120.83333333333334</v>
      </c>
      <c r="C58" s="920">
        <f>DATA!C53/2.4</f>
        <v>120.83333333333334</v>
      </c>
      <c r="D58" s="920">
        <f>DATA!D53/2.4</f>
        <v>127.08333333333334</v>
      </c>
      <c r="E58" s="920">
        <f>DATA!E53/2.4</f>
        <v>132.08333333333334</v>
      </c>
      <c r="F58" s="920">
        <f>DATA!F53/2.4</f>
        <v>136.66666666666669</v>
      </c>
      <c r="G58" s="920">
        <f>DATA!G53/2.4</f>
        <v>140.83333333333334</v>
      </c>
      <c r="H58" s="920">
        <f>DATA!H53/2.4</f>
        <v>144.16666666666669</v>
      </c>
      <c r="I58" s="920">
        <f>DATA!I53/2.4</f>
        <v>147.5</v>
      </c>
      <c r="J58" s="920">
        <f>DATA!J53/2.4</f>
        <v>150.41666666666669</v>
      </c>
      <c r="K58" s="920">
        <f>DATA!K53/2.4</f>
        <v>153.33333333333334</v>
      </c>
      <c r="L58" s="920">
        <f>DATA!L53/2.4</f>
        <v>155.83333333333334</v>
      </c>
      <c r="M58" s="920">
        <f>DATA!M53/2.4</f>
        <v>157.91666666666669</v>
      </c>
      <c r="N58" s="920">
        <f>DATA!N53/2.4</f>
        <v>160</v>
      </c>
      <c r="O58" s="920">
        <f>DATA!O53/2.4</f>
        <v>161.66666666666669</v>
      </c>
      <c r="P58" s="920">
        <f>DATA!P53/2.4</f>
        <v>163.75</v>
      </c>
      <c r="Q58" s="920">
        <f>DATA!Q53/2.4</f>
        <v>165.83333333333334</v>
      </c>
      <c r="R58" s="920">
        <f>DATA!R53/2.4</f>
        <v>167.08333333333334</v>
      </c>
      <c r="S58" s="920">
        <f>DATA!S53/2.4</f>
        <v>168.75</v>
      </c>
      <c r="T58" s="920">
        <f>DATA!T53/2.4</f>
        <v>170.41666666666669</v>
      </c>
      <c r="U58" s="920">
        <f>DATA!U53/2.4</f>
        <v>171.66666666666669</v>
      </c>
      <c r="V58" s="920">
        <f>DATA!V53/2.4</f>
        <v>174.16666666666669</v>
      </c>
      <c r="W58" s="920">
        <f>DATA!W53/2.4</f>
        <v>176.66666666666669</v>
      </c>
      <c r="X58" s="920">
        <f>DATA!X53/2.4</f>
        <v>178.75</v>
      </c>
      <c r="Y58" s="920">
        <f>DATA!Y53/2.4</f>
        <v>180.41666666666669</v>
      </c>
      <c r="Z58" s="920">
        <f>DATA!Z53/2.4</f>
        <v>178.33333333333334</v>
      </c>
      <c r="AA58" s="920">
        <f>DATA!AA53/2.4</f>
        <v>186.25</v>
      </c>
      <c r="AB58" s="920">
        <f>DATA!AB53/2.4</f>
        <v>189.58333333333334</v>
      </c>
      <c r="AC58" s="920">
        <f>DATA!AC53/2.4</f>
        <v>192.5</v>
      </c>
    </row>
    <row r="59" spans="1:29" ht="15.75">
      <c r="A59" s="918">
        <f>DATA!A54</f>
        <v>25.5</v>
      </c>
      <c r="B59" s="920">
        <f>DATA!B54/2.4</f>
        <v>120</v>
      </c>
      <c r="C59" s="920">
        <f>DATA!C54/2.4</f>
        <v>120</v>
      </c>
      <c r="D59" s="920">
        <f>DATA!D54/2.4</f>
        <v>126.25</v>
      </c>
      <c r="E59" s="920">
        <f>DATA!E54/2.4</f>
        <v>131.25</v>
      </c>
      <c r="F59" s="920">
        <f>DATA!F54/2.4</f>
        <v>135.83333333333334</v>
      </c>
      <c r="G59" s="920">
        <f>DATA!G54/2.4</f>
        <v>140</v>
      </c>
      <c r="H59" s="920">
        <f>DATA!H54/2.4</f>
        <v>143.75</v>
      </c>
      <c r="I59" s="920">
        <f>DATA!I54/2.4</f>
        <v>146.66666666666669</v>
      </c>
      <c r="J59" s="920">
        <f>DATA!J54/2.4</f>
        <v>107.91666666666667</v>
      </c>
      <c r="K59" s="920">
        <f>DATA!K54/2.4</f>
        <v>152.5</v>
      </c>
      <c r="L59" s="920">
        <f>DATA!L54/2.4</f>
        <v>155</v>
      </c>
      <c r="M59" s="920">
        <f>DATA!M54/2.4</f>
        <v>157.08333333333334</v>
      </c>
      <c r="N59" s="920">
        <f>DATA!N54/2.4</f>
        <v>159.16666666666669</v>
      </c>
      <c r="O59" s="920">
        <f>DATA!O54/2.4</f>
        <v>161.25</v>
      </c>
      <c r="P59" s="920">
        <f>DATA!P54/2.4</f>
        <v>162.91666666666669</v>
      </c>
      <c r="Q59" s="920">
        <f>DATA!Q54/2.4</f>
        <v>164.58333333333334</v>
      </c>
      <c r="R59" s="920">
        <f>DATA!R54/2.4</f>
        <v>166.25</v>
      </c>
      <c r="S59" s="920">
        <f>DATA!S54/2.4</f>
        <v>167.91666666666669</v>
      </c>
      <c r="T59" s="920">
        <f>DATA!T54/2.4</f>
        <v>169.16666666666669</v>
      </c>
      <c r="U59" s="920">
        <f>DATA!U54/2.4</f>
        <v>170.83333333333334</v>
      </c>
      <c r="V59" s="920">
        <f>DATA!V54/2.4</f>
        <v>173.33333333333334</v>
      </c>
      <c r="W59" s="920">
        <f>DATA!W54/2.4</f>
        <v>175.41666666666669</v>
      </c>
      <c r="X59" s="920">
        <f>DATA!X54/2.4</f>
        <v>177.5</v>
      </c>
      <c r="Y59" s="920">
        <f>DATA!Y54/2.4</f>
        <v>179.58333333333334</v>
      </c>
      <c r="Z59" s="920">
        <f>DATA!Z54/2.4</f>
        <v>181.25</v>
      </c>
      <c r="AA59" s="920">
        <f>DATA!AA54/2.4</f>
        <v>185.41666666666669</v>
      </c>
      <c r="AB59" s="920">
        <f>DATA!AB54/2.4</f>
        <v>188.75</v>
      </c>
      <c r="AC59" s="920">
        <f>DATA!AC54/2.4</f>
        <v>200</v>
      </c>
    </row>
    <row r="60" spans="1:29" ht="15.75">
      <c r="A60" s="918">
        <f>DATA!A55</f>
        <v>25.6</v>
      </c>
      <c r="B60" s="920">
        <f>DATA!B55/2.4</f>
        <v>119.58333333333334</v>
      </c>
      <c r="C60" s="920">
        <f>DATA!C55/2.4</f>
        <v>111.25</v>
      </c>
      <c r="D60" s="920">
        <f>DATA!D55/2.4</f>
        <v>125.41666666666667</v>
      </c>
      <c r="E60" s="920">
        <f>DATA!E55/2.4</f>
        <v>130.83333333333334</v>
      </c>
      <c r="F60" s="920">
        <f>DATA!F55/2.4</f>
        <v>135.41666666666669</v>
      </c>
      <c r="G60" s="920">
        <f>DATA!G55/2.4</f>
        <v>139.16666666666669</v>
      </c>
      <c r="H60" s="920">
        <f>DATA!H55/2.4</f>
        <v>142.91666666666669</v>
      </c>
      <c r="I60" s="920">
        <f>DATA!I55/2.4</f>
        <v>145.83333333333334</v>
      </c>
      <c r="J60" s="920">
        <f>DATA!J55/2.4</f>
        <v>148.75</v>
      </c>
      <c r="K60" s="920">
        <f>DATA!K55/2.4</f>
        <v>151.66666666666669</v>
      </c>
      <c r="L60" s="920">
        <f>DATA!L55/2.4</f>
        <v>154.16666666666669</v>
      </c>
      <c r="M60" s="920">
        <f>DATA!M55/2.4</f>
        <v>156.25</v>
      </c>
      <c r="N60" s="920">
        <f>DATA!N55/2.4</f>
        <v>158.33333333333334</v>
      </c>
      <c r="O60" s="920">
        <f>DATA!O55/2.4</f>
        <v>160.41666666666669</v>
      </c>
      <c r="P60" s="920">
        <f>DATA!P55/2.4</f>
        <v>162.08333333333334</v>
      </c>
      <c r="Q60" s="920">
        <f>DATA!Q55/2.4</f>
        <v>163.75</v>
      </c>
      <c r="R60" s="920">
        <f>DATA!R55/2.4</f>
        <v>165.41666666666669</v>
      </c>
      <c r="S60" s="920">
        <f>DATA!S55/2.4</f>
        <v>167.08333333333334</v>
      </c>
      <c r="T60" s="920">
        <f>DATA!T55/2.4</f>
        <v>168.33333333333334</v>
      </c>
      <c r="U60" s="920">
        <f>DATA!U55/2.4</f>
        <v>170</v>
      </c>
      <c r="V60" s="920">
        <f>DATA!V55/2.4</f>
        <v>172.5</v>
      </c>
      <c r="W60" s="920">
        <f>DATA!W55/2.4</f>
        <v>174.58333333333334</v>
      </c>
      <c r="X60" s="920">
        <f>DATA!X55/2.4</f>
        <v>176.66666666666669</v>
      </c>
      <c r="Y60" s="920">
        <f>DATA!Y55/2.4</f>
        <v>178.75</v>
      </c>
      <c r="Z60" s="920">
        <f>DATA!Z55/2.4</f>
        <v>180.41666666666669</v>
      </c>
      <c r="AA60" s="920">
        <f>DATA!AA55/2.4</f>
        <v>184.16666666666669</v>
      </c>
      <c r="AB60" s="920">
        <f>DATA!AB55/2.4</f>
        <v>187.5</v>
      </c>
      <c r="AC60" s="920">
        <f>DATA!AC55/2.4</f>
        <v>190.41666666666669</v>
      </c>
    </row>
    <row r="61" spans="1:29" ht="15.75">
      <c r="A61" s="918">
        <f>DATA!A56</f>
        <v>25.7</v>
      </c>
      <c r="B61" s="920">
        <f>DATA!B56/2.4</f>
        <v>118.75</v>
      </c>
      <c r="C61" s="920">
        <f>DATA!C56/2.4</f>
        <v>118.75</v>
      </c>
      <c r="D61" s="920">
        <f>DATA!D56/2.4</f>
        <v>125</v>
      </c>
      <c r="E61" s="920">
        <f>DATA!E56/2.4</f>
        <v>130</v>
      </c>
      <c r="F61" s="920">
        <f>DATA!F56/2.4</f>
        <v>134.58333333333334</v>
      </c>
      <c r="G61" s="920">
        <f>DATA!G56/2.4</f>
        <v>138.33333333333334</v>
      </c>
      <c r="H61" s="920">
        <f>DATA!H56/2.4</f>
        <v>142.08333333333334</v>
      </c>
      <c r="I61" s="920">
        <f>DATA!I56/2.4</f>
        <v>145</v>
      </c>
      <c r="J61" s="920">
        <f>DATA!J56/2.4</f>
        <v>147.91666666666669</v>
      </c>
      <c r="K61" s="920">
        <f>DATA!K56/2.4</f>
        <v>150.83333333333334</v>
      </c>
      <c r="L61" s="920">
        <f>DATA!L56/2.4</f>
        <v>153.33333333333334</v>
      </c>
      <c r="M61" s="920">
        <f>DATA!M56/2.4</f>
        <v>155.41666666666669</v>
      </c>
      <c r="N61" s="920">
        <f>DATA!N56/2.4</f>
        <v>157.5</v>
      </c>
      <c r="O61" s="920">
        <f>DATA!O56/2.4</f>
        <v>159.58333333333334</v>
      </c>
      <c r="P61" s="920">
        <f>DATA!P56/2.4</f>
        <v>161.25</v>
      </c>
      <c r="Q61" s="920">
        <f>DATA!Q56/2.4</f>
        <v>162.91666666666669</v>
      </c>
      <c r="R61" s="920">
        <f>DATA!R56/2.4</f>
        <v>164.58333333333334</v>
      </c>
      <c r="S61" s="920">
        <f>DATA!S56/2.4</f>
        <v>166.25</v>
      </c>
      <c r="T61" s="920">
        <f>DATA!T56/2.4</f>
        <v>167.5</v>
      </c>
      <c r="U61" s="920">
        <f>DATA!U56/2.4</f>
        <v>168.75</v>
      </c>
      <c r="V61" s="920">
        <f>DATA!V56/2.4</f>
        <v>171.25</v>
      </c>
      <c r="W61" s="920">
        <f>DATA!W56/2.4</f>
        <v>173.75</v>
      </c>
      <c r="X61" s="920">
        <f>DATA!X56/2.4</f>
        <v>175.83333333333334</v>
      </c>
      <c r="Y61" s="920">
        <f>DATA!Y56/2.4</f>
        <v>177.5</v>
      </c>
      <c r="Z61" s="920">
        <f>DATA!Z56/2.4</f>
        <v>179.58333333333334</v>
      </c>
      <c r="AA61" s="920">
        <f>DATA!AA56/2.4</f>
        <v>183.33333333333334</v>
      </c>
      <c r="AB61" s="920">
        <f>DATA!AB56/2.4</f>
        <v>186.66666666666669</v>
      </c>
      <c r="AC61" s="920">
        <f>DATA!AC56/2.4</f>
        <v>189.58333333333334</v>
      </c>
    </row>
    <row r="62" spans="1:29" ht="15.75">
      <c r="A62" s="918">
        <f>DATA!A57</f>
        <v>25.8</v>
      </c>
      <c r="B62" s="920">
        <f>DATA!B57/2.4</f>
        <v>117.91666666666667</v>
      </c>
      <c r="C62" s="920">
        <f>DATA!C57/2.4</f>
        <v>117.91666666666667</v>
      </c>
      <c r="D62" s="920">
        <f>DATA!D57/2.4</f>
        <v>124.16666666666667</v>
      </c>
      <c r="E62" s="920">
        <f>DATA!E57/2.4</f>
        <v>129.16666666666669</v>
      </c>
      <c r="F62" s="920">
        <f>DATA!F57/2.4</f>
        <v>133.75</v>
      </c>
      <c r="G62" s="920">
        <f>DATA!G57/2.4</f>
        <v>137.5</v>
      </c>
      <c r="H62" s="920">
        <f>DATA!H57/2.4</f>
        <v>141.25</v>
      </c>
      <c r="I62" s="920">
        <f>DATA!I57/2.4</f>
        <v>144.58333333333334</v>
      </c>
      <c r="J62" s="920">
        <f>DATA!J57/2.4</f>
        <v>147.08333333333334</v>
      </c>
      <c r="K62" s="920">
        <f>DATA!K57/2.4</f>
        <v>150</v>
      </c>
      <c r="L62" s="920">
        <f>DATA!L57/2.4</f>
        <v>152.5</v>
      </c>
      <c r="M62" s="920">
        <f>DATA!M57/2.4</f>
        <v>154.58333333333334</v>
      </c>
      <c r="N62" s="920">
        <f>DATA!N57/2.4</f>
        <v>156.66666666666669</v>
      </c>
      <c r="O62" s="920">
        <f>DATA!O57/2.4</f>
        <v>158.75</v>
      </c>
      <c r="P62" s="920">
        <f>DATA!P57/2.4</f>
        <v>160.41666666666669</v>
      </c>
      <c r="Q62" s="920">
        <f>DATA!Q57/2.4</f>
        <v>162.08333333333334</v>
      </c>
      <c r="R62" s="920">
        <f>DATA!R57/2.4</f>
        <v>163.75</v>
      </c>
      <c r="S62" s="920">
        <f>DATA!S57/2.4</f>
        <v>165</v>
      </c>
      <c r="T62" s="920">
        <f>DATA!T57/2.4</f>
        <v>166.66666666666669</v>
      </c>
      <c r="U62" s="920">
        <f>DATA!U57/2.4</f>
        <v>167.91666666666669</v>
      </c>
      <c r="V62" s="920">
        <f>DATA!V57/2.4</f>
        <v>170.41666666666669</v>
      </c>
      <c r="W62" s="920">
        <f>DATA!W57/2.4</f>
        <v>172.91666666666669</v>
      </c>
      <c r="X62" s="920">
        <f>DATA!X57/2.4</f>
        <v>174.58333333333334</v>
      </c>
      <c r="Y62" s="920">
        <f>DATA!Y57/2.4</f>
        <v>176.66666666666669</v>
      </c>
      <c r="Z62" s="920">
        <f>DATA!Z57/2.4</f>
        <v>178.33333333333334</v>
      </c>
      <c r="AA62" s="920">
        <f>DATA!AA57/2.4</f>
        <v>182.5</v>
      </c>
      <c r="AB62" s="920">
        <f>DATA!AB57/2.4</f>
        <v>185.41666666666669</v>
      </c>
      <c r="AC62" s="920">
        <f>DATA!AC57/2.4</f>
        <v>188.33333333333334</v>
      </c>
    </row>
    <row r="63" spans="1:29" ht="15.75">
      <c r="A63" s="918">
        <f>DATA!A58</f>
        <v>25.9</v>
      </c>
      <c r="B63" s="920">
        <f>DATA!B58/2.4</f>
        <v>117.5</v>
      </c>
      <c r="C63" s="920">
        <f>DATA!C58/2.4</f>
        <v>117.5</v>
      </c>
      <c r="D63" s="920">
        <f>DATA!D58/2.4</f>
        <v>123.33333333333334</v>
      </c>
      <c r="E63" s="920">
        <f>DATA!E58/2.4</f>
        <v>128.33333333333334</v>
      </c>
      <c r="F63" s="920">
        <f>DATA!F58/2.4</f>
        <v>132.91666666666669</v>
      </c>
      <c r="G63" s="920">
        <f>DATA!G58/2.4</f>
        <v>137.08333333333334</v>
      </c>
      <c r="H63" s="920">
        <f>DATA!H58/2.4</f>
        <v>140.41666666666669</v>
      </c>
      <c r="I63" s="920">
        <f>DATA!I58/2.4</f>
        <v>143.75</v>
      </c>
      <c r="J63" s="920">
        <f>DATA!J58/2.4</f>
        <v>146.25</v>
      </c>
      <c r="K63" s="920">
        <f>DATA!K58/2.4</f>
        <v>149.16666666666669</v>
      </c>
      <c r="L63" s="920">
        <f>DATA!L58/2.4</f>
        <v>151.66666666666669</v>
      </c>
      <c r="M63" s="920">
        <f>DATA!M58/2.4</f>
        <v>153.75</v>
      </c>
      <c r="N63" s="920">
        <f>DATA!N58/2.4</f>
        <v>155.83333333333334</v>
      </c>
      <c r="O63" s="920">
        <f>DATA!O58/2.4</f>
        <v>157.5</v>
      </c>
      <c r="P63" s="920">
        <f>DATA!P58/2.4</f>
        <v>159.58333333333334</v>
      </c>
      <c r="Q63" s="920">
        <f>DATA!Q58/2.4</f>
        <v>161.25</v>
      </c>
      <c r="R63" s="920">
        <f>DATA!R58/2.4</f>
        <v>162.91666666666669</v>
      </c>
      <c r="S63" s="920">
        <f>DATA!S58/2.4</f>
        <v>164.16666666666669</v>
      </c>
      <c r="T63" s="920">
        <f>DATA!T58/2.4</f>
        <v>165.83333333333334</v>
      </c>
      <c r="U63" s="920">
        <f>DATA!U58/2.4</f>
        <v>167.08333333333334</v>
      </c>
      <c r="V63" s="920">
        <f>DATA!V58/2.4</f>
        <v>169.58333333333334</v>
      </c>
      <c r="W63" s="920">
        <f>DATA!W58/2.4</f>
        <v>171.66666666666669</v>
      </c>
      <c r="X63" s="920">
        <f>DATA!X58/2.4</f>
        <v>173.75</v>
      </c>
      <c r="Y63" s="920">
        <f>DATA!Y58/2.4</f>
        <v>175.83333333333334</v>
      </c>
      <c r="Z63" s="920">
        <f>DATA!Z58/2.4</f>
        <v>177.5</v>
      </c>
      <c r="AA63" s="920">
        <f>DATA!AA58/2.4</f>
        <v>181.25</v>
      </c>
      <c r="AB63" s="920">
        <f>DATA!AB58/2.4</f>
        <v>184.58333333333334</v>
      </c>
      <c r="AC63" s="920">
        <f>DATA!AC58/2.4</f>
        <v>187.5</v>
      </c>
    </row>
    <row r="64" spans="1:29" ht="15.75">
      <c r="A64" s="918">
        <f>DATA!A59</f>
        <v>26</v>
      </c>
      <c r="B64" s="920">
        <f>DATA!B59/2.4</f>
        <v>116.66666666666667</v>
      </c>
      <c r="C64" s="920">
        <f>DATA!C59/2.4</f>
        <v>116.66666666666667</v>
      </c>
      <c r="D64" s="920">
        <f>DATA!D59/2.4</f>
        <v>122.5</v>
      </c>
      <c r="E64" s="920">
        <f>DATA!E59/2.4</f>
        <v>127.91666666666667</v>
      </c>
      <c r="F64" s="920">
        <f>DATA!F59/2.4</f>
        <v>132.08333333333334</v>
      </c>
      <c r="G64" s="920">
        <f>DATA!G59/2.4</f>
        <v>136.25</v>
      </c>
      <c r="H64" s="920">
        <f>DATA!H59/2.4</f>
        <v>139.58333333333334</v>
      </c>
      <c r="I64" s="920">
        <f>DATA!I59/2.4</f>
        <v>142.91666666666669</v>
      </c>
      <c r="J64" s="920">
        <f>DATA!J59/2.4</f>
        <v>145.41666666666669</v>
      </c>
      <c r="K64" s="920">
        <f>DATA!K59/2.4</f>
        <v>148.33333333333334</v>
      </c>
      <c r="L64" s="920">
        <f>DATA!L59/2.4</f>
        <v>150.41666666666669</v>
      </c>
      <c r="M64" s="920">
        <f>DATA!M59/2.4</f>
        <v>161.25</v>
      </c>
      <c r="N64" s="920">
        <f>DATA!N59/2.4</f>
        <v>155</v>
      </c>
      <c r="O64" s="920">
        <f>DATA!O59/2.4</f>
        <v>156.66666666666669</v>
      </c>
      <c r="P64" s="920">
        <f>DATA!P59/2.4</f>
        <v>158.75</v>
      </c>
      <c r="Q64" s="920">
        <f>DATA!Q59/2.4</f>
        <v>160.41666666666669</v>
      </c>
      <c r="R64" s="920">
        <f>DATA!R59/2.4</f>
        <v>161.66666666666669</v>
      </c>
      <c r="S64" s="920">
        <f>DATA!S59/2.4</f>
        <v>163.33333333333334</v>
      </c>
      <c r="T64" s="920">
        <f>DATA!T59/2.4</f>
        <v>164.58333333333334</v>
      </c>
      <c r="U64" s="920">
        <f>DATA!U59/2.4</f>
        <v>166.25</v>
      </c>
      <c r="V64" s="920">
        <f>DATA!V59/2.4</f>
        <v>168.33333333333334</v>
      </c>
      <c r="W64" s="920">
        <f>DATA!W59/2.4</f>
        <v>170.83333333333334</v>
      </c>
      <c r="X64" s="920">
        <f>DATA!X59/2.4</f>
        <v>172.91666666666669</v>
      </c>
      <c r="Y64" s="920">
        <f>DATA!Y59/2.4</f>
        <v>174.58333333333334</v>
      </c>
      <c r="Z64" s="920">
        <f>DATA!Z59/2.4</f>
        <v>176.66666666666669</v>
      </c>
      <c r="AA64" s="920">
        <f>DATA!AA59/2.4</f>
        <v>180.41666666666669</v>
      </c>
      <c r="AB64" s="920">
        <f>DATA!AB59/2.4</f>
        <v>183.33333333333334</v>
      </c>
      <c r="AC64" s="920">
        <f>DATA!AC59/2.4</f>
        <v>186.25</v>
      </c>
    </row>
    <row r="65" spans="1:29" ht="15.75">
      <c r="A65" s="918">
        <f>DATA!A60</f>
        <v>26.1</v>
      </c>
      <c r="B65" s="920">
        <f>DATA!B60/2.4</f>
        <v>115.83333333333334</v>
      </c>
      <c r="C65" s="920">
        <f>DATA!C60/2.4</f>
        <v>115.83333333333334</v>
      </c>
      <c r="D65" s="920">
        <f>DATA!D60/2.4</f>
        <v>122.08333333333334</v>
      </c>
      <c r="E65" s="920">
        <f>DATA!E60/2.4</f>
        <v>127.08333333333334</v>
      </c>
      <c r="F65" s="920">
        <f>DATA!F60/2.4</f>
        <v>131.66666666666669</v>
      </c>
      <c r="G65" s="920">
        <f>DATA!G60/2.4</f>
        <v>135.41666666666669</v>
      </c>
      <c r="H65" s="920">
        <f>DATA!H60/2.4</f>
        <v>138.75</v>
      </c>
      <c r="I65" s="920">
        <f>DATA!I60/2.4</f>
        <v>142.08333333333334</v>
      </c>
      <c r="J65" s="920">
        <f>DATA!J60/2.4</f>
        <v>145</v>
      </c>
      <c r="K65" s="920">
        <f>DATA!K60/2.4</f>
        <v>147.5</v>
      </c>
      <c r="L65" s="920">
        <f>DATA!L60/2.4</f>
        <v>149.58333333333334</v>
      </c>
      <c r="M65" s="920">
        <f>DATA!M60/2.4</f>
        <v>152.08333333333334</v>
      </c>
      <c r="N65" s="920">
        <f>DATA!N60/2.4</f>
        <v>154.16666666666669</v>
      </c>
      <c r="O65" s="920">
        <f>DATA!O60/2.4</f>
        <v>155.83333333333334</v>
      </c>
      <c r="P65" s="920">
        <f>DATA!P60/2.4</f>
        <v>115.83333333333334</v>
      </c>
      <c r="Q65" s="920">
        <f>DATA!Q60/2.4</f>
        <v>159.16666666666669</v>
      </c>
      <c r="R65" s="920">
        <f>DATA!R60/2.4</f>
        <v>160.83333333333334</v>
      </c>
      <c r="S65" s="920">
        <f>DATA!S60/2.4</f>
        <v>162.5</v>
      </c>
      <c r="T65" s="920">
        <f>DATA!T60/2.4</f>
        <v>163.75</v>
      </c>
      <c r="U65" s="920">
        <f>DATA!U60/2.4</f>
        <v>165</v>
      </c>
      <c r="V65" s="920">
        <f>DATA!V60/2.4</f>
        <v>167.5</v>
      </c>
      <c r="W65" s="920">
        <f>DATA!W60/2.4</f>
        <v>170</v>
      </c>
      <c r="X65" s="920">
        <f>DATA!X60/2.4</f>
        <v>171.66666666666669</v>
      </c>
      <c r="Y65" s="920">
        <f>DATA!Y60/2.4</f>
        <v>173.75</v>
      </c>
      <c r="Z65" s="920">
        <f>DATA!Z60/2.4</f>
        <v>175.41666666666669</v>
      </c>
      <c r="AA65" s="920">
        <f>DATA!AA60/2.4</f>
        <v>179.16666666666669</v>
      </c>
      <c r="AB65" s="920">
        <f>DATA!AB60/2.4</f>
        <v>182.5</v>
      </c>
      <c r="AC65" s="920">
        <f>DATA!AC60/2.4</f>
        <v>185.41666666666669</v>
      </c>
    </row>
    <row r="66" spans="1:29" ht="15.75">
      <c r="A66" s="918">
        <f>DATA!A61</f>
        <v>26.2</v>
      </c>
      <c r="B66" s="920">
        <f>DATA!B61/2.4</f>
        <v>115.41666666666667</v>
      </c>
      <c r="C66" s="920">
        <f>DATA!C61/2.4</f>
        <v>115.41666666666667</v>
      </c>
      <c r="D66" s="920">
        <f>DATA!D61/2.4</f>
        <v>117.91666666666667</v>
      </c>
      <c r="E66" s="920">
        <f>DATA!E61/2.4</f>
        <v>126.25</v>
      </c>
      <c r="F66" s="920">
        <f>DATA!F61/2.4</f>
        <v>130.83333333333334</v>
      </c>
      <c r="G66" s="920">
        <f>DATA!G61/2.4</f>
        <v>134.58333333333334</v>
      </c>
      <c r="H66" s="920">
        <f>DATA!H61/2.4</f>
        <v>137.91666666666669</v>
      </c>
      <c r="I66" s="920">
        <f>DATA!I61/2.4</f>
        <v>141.25</v>
      </c>
      <c r="J66" s="920">
        <f>DATA!J61/2.4</f>
        <v>144.16666666666669</v>
      </c>
      <c r="K66" s="920">
        <f>DATA!K61/2.4</f>
        <v>146.66666666666669</v>
      </c>
      <c r="L66" s="920">
        <f>DATA!L61/2.4</f>
        <v>148.75</v>
      </c>
      <c r="M66" s="920">
        <f>DATA!M61/2.4</f>
        <v>151.25</v>
      </c>
      <c r="N66" s="920">
        <f>DATA!N61/2.4</f>
        <v>152.91666666666669</v>
      </c>
      <c r="O66" s="920">
        <f>DATA!O61/2.4</f>
        <v>155</v>
      </c>
      <c r="P66" s="920">
        <f>DATA!P61/2.4</f>
        <v>156.66666666666669</v>
      </c>
      <c r="Q66" s="920">
        <f>DATA!Q61/2.4</f>
        <v>158.33333333333334</v>
      </c>
      <c r="R66" s="920">
        <f>DATA!R61/2.4</f>
        <v>160</v>
      </c>
      <c r="S66" s="920">
        <f>DATA!S61/2.4</f>
        <v>161.66666666666669</v>
      </c>
      <c r="T66" s="920">
        <f>DATA!T61/2.4</f>
        <v>162.91666666666669</v>
      </c>
      <c r="U66" s="920">
        <f>DATA!U61/2.4</f>
        <v>164.16666666666669</v>
      </c>
      <c r="V66" s="920">
        <f>DATA!V61/2.4</f>
        <v>166.66666666666669</v>
      </c>
      <c r="W66" s="920">
        <f>DATA!W61/2.4</f>
        <v>168.75</v>
      </c>
      <c r="X66" s="920">
        <f>DATA!X61/2.4</f>
        <v>170.83333333333334</v>
      </c>
      <c r="Y66" s="920">
        <f>DATA!Y61/2.4</f>
        <v>172.91666666666669</v>
      </c>
      <c r="Z66" s="920">
        <f>DATA!Z61/2.4</f>
        <v>174.58333333333334</v>
      </c>
      <c r="AA66" s="920">
        <f>DATA!AA61/2.4</f>
        <v>178.33333333333334</v>
      </c>
      <c r="AB66" s="920">
        <f>DATA!AB61/2.4</f>
        <v>181.25</v>
      </c>
      <c r="AC66" s="920">
        <f>DATA!AC61/2.4</f>
        <v>184.16666666666669</v>
      </c>
    </row>
    <row r="67" spans="1:29" ht="15.75">
      <c r="A67" s="918">
        <f>DATA!A62</f>
        <v>26.3</v>
      </c>
      <c r="B67" s="920">
        <f>DATA!B62/2.4</f>
        <v>114.58333333333334</v>
      </c>
      <c r="C67" s="920">
        <f>DATA!C62/2.4</f>
        <v>114.58333333333334</v>
      </c>
      <c r="D67" s="920">
        <f>DATA!D62/2.4</f>
        <v>120.41666666666667</v>
      </c>
      <c r="E67" s="920">
        <f>DATA!E62/2.4</f>
        <v>125.41666666666667</v>
      </c>
      <c r="F67" s="920">
        <f>DATA!F62/2.4</f>
        <v>130</v>
      </c>
      <c r="G67" s="920">
        <f>DATA!G62/2.4</f>
        <v>133.75</v>
      </c>
      <c r="H67" s="920">
        <f>DATA!H62/2.4</f>
        <v>137.08333333333334</v>
      </c>
      <c r="I67" s="920">
        <f>DATA!I62/2.4</f>
        <v>140.41666666666669</v>
      </c>
      <c r="J67" s="920">
        <f>DATA!J62/2.4</f>
        <v>142.91666666666669</v>
      </c>
      <c r="K67" s="920">
        <f>DATA!K62/2.4</f>
        <v>145.83333333333334</v>
      </c>
      <c r="L67" s="920">
        <f>DATA!L62/2.4</f>
        <v>147.91666666666669</v>
      </c>
      <c r="M67" s="920">
        <f>DATA!M62/2.4</f>
        <v>150.41666666666669</v>
      </c>
      <c r="N67" s="920">
        <f>DATA!N62/2.4</f>
        <v>152.08333333333334</v>
      </c>
      <c r="O67" s="920">
        <f>DATA!O62/2.4</f>
        <v>154.16666666666669</v>
      </c>
      <c r="P67" s="920">
        <f>DATA!P62/2.4</f>
        <v>155.83333333333334</v>
      </c>
      <c r="Q67" s="920">
        <f>DATA!Q62/2.4</f>
        <v>157.5</v>
      </c>
      <c r="R67" s="920">
        <f>DATA!R62/2.4</f>
        <v>159.16666666666669</v>
      </c>
      <c r="S67" s="920">
        <f>DATA!S62/2.4</f>
        <v>160.41666666666669</v>
      </c>
      <c r="T67" s="920">
        <f>DATA!T62/2.4</f>
        <v>162.08333333333334</v>
      </c>
      <c r="U67" s="920">
        <f>DATA!U62/2.4</f>
        <v>163.33333333333334</v>
      </c>
      <c r="V67" s="920">
        <f>DATA!V62/2.4</f>
        <v>165.83333333333334</v>
      </c>
      <c r="W67" s="920">
        <f>DATA!W62/2.4</f>
        <v>167.91666666666669</v>
      </c>
      <c r="X67" s="920">
        <f>DATA!X62/2.4</f>
        <v>170</v>
      </c>
      <c r="Y67" s="920">
        <f>DATA!Y62/2.4</f>
        <v>171.66666666666669</v>
      </c>
      <c r="Z67" s="920">
        <f>DATA!Z62/2.4</f>
        <v>173.33333333333334</v>
      </c>
      <c r="AA67" s="920">
        <f>DATA!AA62/2.4</f>
        <v>177.08333333333334</v>
      </c>
      <c r="AB67" s="920">
        <f>DATA!AB62/2.4</f>
        <v>180.41666666666669</v>
      </c>
      <c r="AC67" s="920">
        <f>DATA!AC62/2.4</f>
        <v>183.33333333333334</v>
      </c>
    </row>
    <row r="68" spans="1:29" ht="15.75">
      <c r="A68" s="918">
        <f>DATA!A63</f>
        <v>26.4</v>
      </c>
      <c r="B68" s="920">
        <f>DATA!B63/2.4</f>
        <v>114.16666666666667</v>
      </c>
      <c r="C68" s="920">
        <f>DATA!C63/2.4</f>
        <v>114.16666666666667</v>
      </c>
      <c r="D68" s="920">
        <f>DATA!D63/2.4</f>
        <v>120</v>
      </c>
      <c r="E68" s="920">
        <f>DATA!E63/2.4</f>
        <v>125</v>
      </c>
      <c r="F68" s="920">
        <f>DATA!F63/2.4</f>
        <v>129.16666666666669</v>
      </c>
      <c r="G68" s="920">
        <f>DATA!G63/2.4</f>
        <v>132.91666666666669</v>
      </c>
      <c r="H68" s="920">
        <f>DATA!H63/2.4</f>
        <v>136.25</v>
      </c>
      <c r="I68" s="920">
        <f>DATA!I63/2.4</f>
        <v>138.75</v>
      </c>
      <c r="J68" s="920">
        <f>DATA!J63/2.4</f>
        <v>142.08333333333334</v>
      </c>
      <c r="K68" s="920">
        <f>DATA!K63/2.4</f>
        <v>145</v>
      </c>
      <c r="L68" s="920">
        <f>DATA!L63/2.4</f>
        <v>147.08333333333334</v>
      </c>
      <c r="M68" s="920">
        <f>DATA!M63/2.4</f>
        <v>149.16666666666669</v>
      </c>
      <c r="N68" s="920">
        <f>DATA!N63/2.4</f>
        <v>151.25</v>
      </c>
      <c r="O68" s="920">
        <f>DATA!O63/2.4</f>
        <v>153.33333333333334</v>
      </c>
      <c r="P68" s="920">
        <f>DATA!P63/2.4</f>
        <v>155</v>
      </c>
      <c r="Q68" s="920">
        <f>DATA!Q63/2.4</f>
        <v>157.5</v>
      </c>
      <c r="R68" s="920">
        <f>DATA!R63/2.4</f>
        <v>158.33333333333334</v>
      </c>
      <c r="S68" s="920">
        <f>DATA!S63/2.4</f>
        <v>159.58333333333334</v>
      </c>
      <c r="T68" s="920">
        <f>DATA!T63/2.4</f>
        <v>160.83333333333334</v>
      </c>
      <c r="U68" s="920">
        <f>DATA!U63/2.4</f>
        <v>162.08333333333334</v>
      </c>
      <c r="V68" s="920">
        <f>DATA!V63/2.4</f>
        <v>164.58333333333334</v>
      </c>
      <c r="W68" s="920">
        <f>DATA!W63/2.4</f>
        <v>167.08333333333334</v>
      </c>
      <c r="X68" s="920">
        <f>DATA!X63/2.4</f>
        <v>168.75</v>
      </c>
      <c r="Y68" s="920">
        <f>DATA!Y63/2.4</f>
        <v>170.83333333333334</v>
      </c>
      <c r="Z68" s="920">
        <f>DATA!Z63/2.4</f>
        <v>172.5</v>
      </c>
      <c r="AA68" s="920">
        <f>DATA!AA63/2.4</f>
        <v>176.25</v>
      </c>
      <c r="AB68" s="920">
        <f>DATA!AB63/2.4</f>
        <v>179.16666666666669</v>
      </c>
      <c r="AC68" s="920">
        <f>DATA!AC63/2.4</f>
        <v>182.08333333333334</v>
      </c>
    </row>
    <row r="69" spans="1:29" ht="15.75">
      <c r="A69" s="918">
        <f>DATA!A64</f>
        <v>26.5</v>
      </c>
      <c r="B69" s="920">
        <f>DATA!B64/2.4</f>
        <v>113.33333333333334</v>
      </c>
      <c r="C69" s="920">
        <f>DATA!C64/2.4</f>
        <v>113.33333333333334</v>
      </c>
      <c r="D69" s="920">
        <f>DATA!D64/2.4</f>
        <v>119.16666666666667</v>
      </c>
      <c r="E69" s="920">
        <f>DATA!E64/2.4</f>
        <v>124.16666666666667</v>
      </c>
      <c r="F69" s="920">
        <f>DATA!F64/2.4</f>
        <v>127.5</v>
      </c>
      <c r="G69" s="920">
        <f>DATA!G64/2.4</f>
        <v>132.08333333333334</v>
      </c>
      <c r="H69" s="920">
        <f>DATA!H64/2.4</f>
        <v>135.41666666666669</v>
      </c>
      <c r="I69" s="920">
        <f>DATA!I64/2.4</f>
        <v>138.75</v>
      </c>
      <c r="J69" s="920">
        <f>DATA!J64/2.4</f>
        <v>141.25</v>
      </c>
      <c r="K69" s="920">
        <f>DATA!K64/2.4</f>
        <v>144.16666666666669</v>
      </c>
      <c r="L69" s="920">
        <f>DATA!L64/2.4</f>
        <v>146.25</v>
      </c>
      <c r="M69" s="920">
        <f>DATA!M64/2.4</f>
        <v>148.33333333333334</v>
      </c>
      <c r="N69" s="920">
        <f>DATA!N64/2.4</f>
        <v>150.41666666666669</v>
      </c>
      <c r="O69" s="920">
        <f>DATA!O64/2.4</f>
        <v>152.5</v>
      </c>
      <c r="P69" s="920">
        <f>DATA!P64/2.4</f>
        <v>154.16666666666669</v>
      </c>
      <c r="Q69" s="920">
        <f>DATA!Q64/2.4</f>
        <v>155.83333333333334</v>
      </c>
      <c r="R69" s="920">
        <f>DATA!R64/2.4</f>
        <v>157.08333333333334</v>
      </c>
      <c r="S69" s="920">
        <f>DATA!S64/2.4</f>
        <v>158.75</v>
      </c>
      <c r="T69" s="920">
        <f>DATA!T64/2.4</f>
        <v>160</v>
      </c>
      <c r="U69" s="920">
        <f>DATA!U64/2.4</f>
        <v>161.25</v>
      </c>
      <c r="V69" s="920">
        <f>DATA!V64/2.4</f>
        <v>163.75</v>
      </c>
      <c r="W69" s="920">
        <f>DATA!W64/2.4</f>
        <v>165.83333333333334</v>
      </c>
      <c r="X69" s="920">
        <f>DATA!X64/2.4</f>
        <v>167.91666666666669</v>
      </c>
      <c r="Y69" s="920">
        <f>DATA!Y64/2.4</f>
        <v>169.58333333333334</v>
      </c>
      <c r="Z69" s="920">
        <f>DATA!Z64/2.4</f>
        <v>171.25</v>
      </c>
      <c r="AA69" s="920">
        <f>DATA!AA64/2.4</f>
        <v>175</v>
      </c>
      <c r="AB69" s="920">
        <f>DATA!AB64/2.4</f>
        <v>178.33333333333334</v>
      </c>
      <c r="AC69" s="920">
        <f>DATA!AC64/2.4</f>
        <v>180.83333333333334</v>
      </c>
    </row>
    <row r="70" spans="1:29" ht="15.75">
      <c r="A70" s="918">
        <f>DATA!A65</f>
        <v>26.6</v>
      </c>
      <c r="B70" s="920">
        <f>DATA!B65/2.4</f>
        <v>112.5</v>
      </c>
      <c r="C70" s="920">
        <f>DATA!C65/2.4</f>
        <v>112.5</v>
      </c>
      <c r="D70" s="920">
        <f>DATA!D65/2.4</f>
        <v>118.33333333333334</v>
      </c>
      <c r="E70" s="920">
        <f>DATA!E65/2.4</f>
        <v>123.33333333333334</v>
      </c>
      <c r="F70" s="920">
        <f>DATA!F65/2.4</f>
        <v>127.5</v>
      </c>
      <c r="G70" s="920">
        <f>DATA!G65/2.4</f>
        <v>131.25</v>
      </c>
      <c r="H70" s="920">
        <f>DATA!H65/2.4</f>
        <v>135</v>
      </c>
      <c r="I70" s="920">
        <f>DATA!I65/2.4</f>
        <v>137.5</v>
      </c>
      <c r="J70" s="920">
        <f>DATA!J65/2.4</f>
        <v>140.41666666666669</v>
      </c>
      <c r="K70" s="920">
        <f>DATA!K65/2.4</f>
        <v>142.91666666666669</v>
      </c>
      <c r="L70" s="920">
        <f>DATA!L65/2.4</f>
        <v>145.41666666666669</v>
      </c>
      <c r="M70" s="920">
        <f>DATA!M65/2.4</f>
        <v>147.5</v>
      </c>
      <c r="N70" s="920">
        <f>DATA!N65/2.4</f>
        <v>149.58333333333334</v>
      </c>
      <c r="O70" s="920">
        <f>DATA!O65/2.4</f>
        <v>151.25</v>
      </c>
      <c r="P70" s="920">
        <f>DATA!P65/2.4</f>
        <v>153.33333333333334</v>
      </c>
      <c r="Q70" s="920">
        <f>DATA!Q65/2.4</f>
        <v>154.58333333333334</v>
      </c>
      <c r="R70" s="920">
        <f>DATA!R65/2.4</f>
        <v>156.25</v>
      </c>
      <c r="S70" s="920">
        <f>DATA!S65/2.4</f>
        <v>157.91666666666669</v>
      </c>
      <c r="T70" s="920">
        <f>DATA!T65/2.4</f>
        <v>159.16666666666669</v>
      </c>
      <c r="U70" s="920">
        <f>DATA!U65/2.4</f>
        <v>160.41666666666669</v>
      </c>
      <c r="V70" s="920">
        <f>DATA!V65/2.4</f>
        <v>162.91666666666669</v>
      </c>
      <c r="W70" s="920">
        <f>DATA!W65/2.4</f>
        <v>165</v>
      </c>
      <c r="X70" s="920">
        <f>DATA!X65/2.4</f>
        <v>167.08333333333334</v>
      </c>
      <c r="Y70" s="920">
        <f>DATA!Y65/2.4</f>
        <v>168.75</v>
      </c>
      <c r="Z70" s="920">
        <f>DATA!Z65/2.4</f>
        <v>170.41666666666669</v>
      </c>
      <c r="AA70" s="920">
        <f>DATA!AA65/2.4</f>
        <v>174.16666666666669</v>
      </c>
      <c r="AB70" s="920">
        <f>DATA!AB65/2.4</f>
        <v>177.08333333333334</v>
      </c>
      <c r="AC70" s="920">
        <f>DATA!AC65/2.4</f>
        <v>180</v>
      </c>
    </row>
    <row r="71" spans="1:29" ht="15.75">
      <c r="A71" s="918">
        <f>DATA!A66</f>
        <v>26.7</v>
      </c>
      <c r="B71" s="920">
        <f>DATA!B66/2.4</f>
        <v>112.08333333333334</v>
      </c>
      <c r="C71" s="920">
        <f>DATA!C66/2.4</f>
        <v>112.08333333333334</v>
      </c>
      <c r="D71" s="920">
        <f>DATA!D66/2.4</f>
        <v>117.91666666666667</v>
      </c>
      <c r="E71" s="920">
        <f>DATA!E66/2.4</f>
        <v>122.5</v>
      </c>
      <c r="F71" s="920">
        <f>DATA!F66/2.4</f>
        <v>127.08333333333334</v>
      </c>
      <c r="G71" s="920">
        <f>DATA!G66/2.4</f>
        <v>130.83333333333334</v>
      </c>
      <c r="H71" s="920">
        <f>DATA!H66/2.4</f>
        <v>134.16666666666669</v>
      </c>
      <c r="I71" s="920">
        <f>DATA!I66/2.4</f>
        <v>137.08333333333334</v>
      </c>
      <c r="J71" s="920">
        <f>DATA!J66/2.4</f>
        <v>139.58333333333334</v>
      </c>
      <c r="K71" s="920">
        <f>DATA!K66/2.4</f>
        <v>142.08333333333334</v>
      </c>
      <c r="L71" s="920">
        <f>DATA!L66/2.4</f>
        <v>144.58333333333334</v>
      </c>
      <c r="M71" s="920">
        <f>DATA!M66/2.4</f>
        <v>146.66666666666669</v>
      </c>
      <c r="N71" s="920">
        <f>DATA!N66/2.4</f>
        <v>148.75</v>
      </c>
      <c r="O71" s="920">
        <f>DATA!O66/2.4</f>
        <v>150.41666666666669</v>
      </c>
      <c r="P71" s="920">
        <f>DATA!P66/2.4</f>
        <v>152.5</v>
      </c>
      <c r="Q71" s="920">
        <f>DATA!Q66/2.4</f>
        <v>153.75</v>
      </c>
      <c r="R71" s="920">
        <f>DATA!R66/2.4</f>
        <v>155.41666666666669</v>
      </c>
      <c r="S71" s="920">
        <f>DATA!S66/2.4</f>
        <v>157.5</v>
      </c>
      <c r="T71" s="920">
        <f>DATA!T66/2.4</f>
        <v>157.91666666666669</v>
      </c>
      <c r="U71" s="920">
        <f>DATA!U66/2.4</f>
        <v>159.58333333333334</v>
      </c>
      <c r="V71" s="920">
        <f>DATA!V66/2.4</f>
        <v>161.66666666666669</v>
      </c>
      <c r="W71" s="920">
        <f>DATA!W66/2.4</f>
        <v>163.75</v>
      </c>
      <c r="X71" s="920">
        <f>DATA!X66/2.4</f>
        <v>165.83333333333334</v>
      </c>
      <c r="Y71" s="920">
        <f>DATA!Y66/2.4</f>
        <v>167.91666666666669</v>
      </c>
      <c r="Z71" s="920">
        <f>DATA!Z66/2.4</f>
        <v>169.58333333333334</v>
      </c>
      <c r="AA71" s="920">
        <f>DATA!AA66/2.4</f>
        <v>172.91666666666669</v>
      </c>
      <c r="AB71" s="920">
        <f>DATA!AB66/2.4</f>
        <v>176.25</v>
      </c>
      <c r="AC71" s="920">
        <f>DATA!AC66/2.4</f>
        <v>178.75</v>
      </c>
    </row>
    <row r="72" spans="1:29" ht="15.75">
      <c r="A72" s="918">
        <f>DATA!A67</f>
        <v>26.8</v>
      </c>
      <c r="B72" s="920">
        <f>DATA!B67/2.4</f>
        <v>111.25</v>
      </c>
      <c r="C72" s="920">
        <f>DATA!C67/2.4</f>
        <v>111.25</v>
      </c>
      <c r="D72" s="920">
        <f>DATA!D67/2.4</f>
        <v>117.08333333333334</v>
      </c>
      <c r="E72" s="920">
        <f>DATA!E67/2.4</f>
        <v>121.66666666666667</v>
      </c>
      <c r="F72" s="920">
        <f>DATA!F67/2.4</f>
        <v>126.25</v>
      </c>
      <c r="G72" s="920">
        <f>DATA!G67/2.4</f>
        <v>130</v>
      </c>
      <c r="H72" s="920">
        <f>DATA!H67/2.4</f>
        <v>133.33333333333334</v>
      </c>
      <c r="I72" s="920">
        <f>DATA!I67/2.4</f>
        <v>136.25</v>
      </c>
      <c r="J72" s="920">
        <f>DATA!J67/2.4</f>
        <v>138.75</v>
      </c>
      <c r="K72" s="920">
        <f>DATA!K67/2.4</f>
        <v>141.25</v>
      </c>
      <c r="L72" s="920">
        <f>DATA!L67/2.4</f>
        <v>143.75</v>
      </c>
      <c r="M72" s="920">
        <f>DATA!M67/2.4</f>
        <v>145.83333333333334</v>
      </c>
      <c r="N72" s="920">
        <f>DATA!N67/2.4</f>
        <v>147.91666666666669</v>
      </c>
      <c r="O72" s="920">
        <f>DATA!O67/2.4</f>
        <v>149.58333333333334</v>
      </c>
      <c r="P72" s="920">
        <f>DATA!P67/2.4</f>
        <v>151.25</v>
      </c>
      <c r="Q72" s="920">
        <f>DATA!Q67/2.4</f>
        <v>152.91666666666669</v>
      </c>
      <c r="R72" s="920">
        <f>DATA!R67/2.4</f>
        <v>154.58333333333334</v>
      </c>
      <c r="S72" s="920">
        <f>DATA!S67/2.4</f>
        <v>155.83333333333334</v>
      </c>
      <c r="T72" s="920">
        <f>DATA!T67/2.4</f>
        <v>157.08333333333334</v>
      </c>
      <c r="U72" s="920">
        <f>DATA!U67/2.4</f>
        <v>158.33333333333334</v>
      </c>
      <c r="V72" s="920">
        <f>DATA!V67/2.4</f>
        <v>160.83333333333334</v>
      </c>
      <c r="W72" s="920">
        <f>DATA!W67/2.4</f>
        <v>162.91666666666669</v>
      </c>
      <c r="X72" s="920">
        <f>DATA!X67/2.4</f>
        <v>165</v>
      </c>
      <c r="Y72" s="920">
        <f>DATA!Y67/2.4</f>
        <v>166.66666666666669</v>
      </c>
      <c r="Z72" s="920">
        <f>DATA!Z67/2.4</f>
        <v>168.33333333333334</v>
      </c>
      <c r="AA72" s="920">
        <f>DATA!AA67/2.4</f>
        <v>172.08333333333334</v>
      </c>
      <c r="AB72" s="920">
        <f>DATA!AB67/2.4</f>
        <v>175</v>
      </c>
      <c r="AC72" s="920">
        <f>DATA!AC67/2.4</f>
        <v>177.91666666666669</v>
      </c>
    </row>
    <row r="73" spans="1:29" ht="15.75">
      <c r="A73" s="918">
        <f>DATA!A68</f>
        <v>26.9</v>
      </c>
      <c r="B73" s="920">
        <f>DATA!B68/2.4</f>
        <v>110.41666666666667</v>
      </c>
      <c r="C73" s="920">
        <f>DATA!C68/2.4</f>
        <v>110.41666666666667</v>
      </c>
      <c r="D73" s="920">
        <f>DATA!D68/2.4</f>
        <v>115.83333333333334</v>
      </c>
      <c r="E73" s="920">
        <f>DATA!E68/2.4</f>
        <v>121.25</v>
      </c>
      <c r="F73" s="920">
        <f>DATA!F68/2.4</f>
        <v>125.41666666666667</v>
      </c>
      <c r="G73" s="920">
        <f>DATA!G68/2.4</f>
        <v>129.16666666666669</v>
      </c>
      <c r="H73" s="920">
        <f>DATA!H68/2.4</f>
        <v>132.5</v>
      </c>
      <c r="I73" s="920">
        <f>DATA!I68/2.4</f>
        <v>135.41666666666669</v>
      </c>
      <c r="J73" s="920">
        <f>DATA!J68/2.4</f>
        <v>137.91666666666669</v>
      </c>
      <c r="K73" s="920">
        <f>DATA!K68/2.4</f>
        <v>140.41666666666669</v>
      </c>
      <c r="L73" s="920">
        <f>DATA!L68/2.4</f>
        <v>142.91666666666669</v>
      </c>
      <c r="M73" s="920">
        <f>DATA!M68/2.4</f>
        <v>145</v>
      </c>
      <c r="N73" s="920">
        <f>DATA!N68/2.4</f>
        <v>146.66666666666669</v>
      </c>
      <c r="O73" s="920">
        <f>DATA!O68/2.4</f>
        <v>148.75</v>
      </c>
      <c r="P73" s="920">
        <f>DATA!P68/2.4</f>
        <v>150.41666666666669</v>
      </c>
      <c r="Q73" s="920">
        <f>DATA!Q68/2.4</f>
        <v>152.08333333333334</v>
      </c>
      <c r="R73" s="920">
        <f>DATA!R68/2.4</f>
        <v>153.33333333333334</v>
      </c>
      <c r="S73" s="920">
        <f>DATA!S68/2.4</f>
        <v>155</v>
      </c>
      <c r="T73" s="920">
        <f>DATA!T68/2.4</f>
        <v>156.25</v>
      </c>
      <c r="U73" s="920">
        <f>DATA!U68/2.4</f>
        <v>157.5</v>
      </c>
      <c r="V73" s="920">
        <f>DATA!V68/2.4</f>
        <v>160</v>
      </c>
      <c r="W73" s="920">
        <f>DATA!W68/2.4</f>
        <v>162.08333333333334</v>
      </c>
      <c r="X73" s="920">
        <f>DATA!X68/2.4</f>
        <v>163.75</v>
      </c>
      <c r="Y73" s="920">
        <f>DATA!Y68/2.4</f>
        <v>165.83333333333334</v>
      </c>
      <c r="Z73" s="920">
        <f>DATA!Z68/2.4</f>
        <v>167.5</v>
      </c>
      <c r="AA73" s="920">
        <f>DATA!AA68/2.4</f>
        <v>170.83333333333334</v>
      </c>
      <c r="AB73" s="920">
        <f>DATA!AB68/2.4</f>
        <v>174.16666666666669</v>
      </c>
      <c r="AC73" s="920">
        <f>DATA!AC68/2.4</f>
        <v>176.66666666666669</v>
      </c>
    </row>
    <row r="74" spans="1:29" ht="15.75">
      <c r="A74" s="918">
        <f>DATA!A69</f>
        <v>27</v>
      </c>
      <c r="B74" s="920">
        <f>DATA!B69/2.4</f>
        <v>110</v>
      </c>
      <c r="C74" s="920">
        <f>DATA!C69/2.4</f>
        <v>110</v>
      </c>
      <c r="D74" s="920">
        <f>DATA!D69/2.4</f>
        <v>115.41666666666667</v>
      </c>
      <c r="E74" s="920">
        <f>DATA!E69/2.4</f>
        <v>120.41666666666667</v>
      </c>
      <c r="F74" s="920">
        <f>DATA!F69/2.4</f>
        <v>124.58333333333334</v>
      </c>
      <c r="G74" s="920">
        <f>DATA!G69/2.4</f>
        <v>128.33333333333334</v>
      </c>
      <c r="H74" s="920">
        <f>DATA!H69/2.4</f>
        <v>131.66666666666669</v>
      </c>
      <c r="I74" s="920">
        <f>DATA!I69/2.4</f>
        <v>134.58333333333334</v>
      </c>
      <c r="J74" s="920">
        <f>DATA!J69/2.4</f>
        <v>137.08333333333334</v>
      </c>
      <c r="K74" s="920">
        <f>DATA!K69/2.4</f>
        <v>139.58333333333334</v>
      </c>
      <c r="L74" s="920">
        <f>DATA!L69/2.4</f>
        <v>142.08333333333334</v>
      </c>
      <c r="M74" s="920">
        <f>DATA!M69/2.4</f>
        <v>144.16666666666669</v>
      </c>
      <c r="N74" s="920">
        <f>DATA!N69/2.4</f>
        <v>145.83333333333334</v>
      </c>
      <c r="O74" s="920">
        <f>DATA!O69/2.4</f>
        <v>147.91666666666669</v>
      </c>
      <c r="P74" s="920">
        <f>DATA!P69/2.4</f>
        <v>149.58333333333334</v>
      </c>
      <c r="Q74" s="920">
        <f>DATA!Q69/2.4</f>
        <v>150.83333333333334</v>
      </c>
      <c r="R74" s="920">
        <f>DATA!R69/2.4</f>
        <v>153.33333333333334</v>
      </c>
      <c r="S74" s="920">
        <f>DATA!S69/2.4</f>
        <v>153.75</v>
      </c>
      <c r="T74" s="920">
        <f>DATA!T69/2.4</f>
        <v>155.41666666666669</v>
      </c>
      <c r="U74" s="920">
        <f>DATA!U69/2.4</f>
        <v>156.66666666666669</v>
      </c>
      <c r="V74" s="920">
        <f>DATA!V69/2.4</f>
        <v>158.75</v>
      </c>
      <c r="W74" s="920">
        <f>DATA!W69/2.4</f>
        <v>160.83333333333334</v>
      </c>
      <c r="X74" s="920">
        <f>DATA!X69/2.4</f>
        <v>162.91666666666669</v>
      </c>
      <c r="Y74" s="920">
        <f>DATA!Y69/2.4</f>
        <v>164.58333333333334</v>
      </c>
      <c r="Z74" s="920">
        <f>DATA!Z69/2.4</f>
        <v>166.25</v>
      </c>
      <c r="AA74" s="920">
        <f>DATA!AA69/2.4</f>
        <v>170</v>
      </c>
      <c r="AB74" s="920">
        <f>DATA!AB69/2.4</f>
        <v>172.91666666666669</v>
      </c>
      <c r="AC74" s="920">
        <f>DATA!AC69/2.4</f>
        <v>175.41666666666669</v>
      </c>
    </row>
    <row r="75" spans="1:29" ht="15.75">
      <c r="A75" s="918">
        <f>DATA!A70</f>
        <v>27.1</v>
      </c>
      <c r="B75" s="920">
        <f>DATA!B70/2.4</f>
        <v>109.16666666666667</v>
      </c>
      <c r="C75" s="920">
        <f>DATA!C70/2.4</f>
        <v>109.16666666666667</v>
      </c>
      <c r="D75" s="920">
        <f>DATA!D70/2.4</f>
        <v>115</v>
      </c>
      <c r="E75" s="920">
        <f>DATA!E70/2.4</f>
        <v>119.58333333333334</v>
      </c>
      <c r="F75" s="920">
        <f>DATA!F70/2.4</f>
        <v>123.75</v>
      </c>
      <c r="G75" s="920">
        <f>DATA!G70/2.4</f>
        <v>127.5</v>
      </c>
      <c r="H75" s="920">
        <f>DATA!H70/2.4</f>
        <v>130.83333333333334</v>
      </c>
      <c r="I75" s="920">
        <f>DATA!I70/2.4</f>
        <v>133.75</v>
      </c>
      <c r="J75" s="920">
        <f>DATA!J70/2.4</f>
        <v>136.25</v>
      </c>
      <c r="K75" s="920">
        <f>DATA!K70/2.4</f>
        <v>138.75</v>
      </c>
      <c r="L75" s="920">
        <f>DATA!L70/2.4</f>
        <v>140.83333333333334</v>
      </c>
      <c r="M75" s="920">
        <f>DATA!M70/2.4</f>
        <v>142.91666666666669</v>
      </c>
      <c r="N75" s="920">
        <f>DATA!N70/2.4</f>
        <v>144.16666666666669</v>
      </c>
      <c r="O75" s="920">
        <f>DATA!O70/2.4</f>
        <v>146.66666666666669</v>
      </c>
      <c r="P75" s="920">
        <f>DATA!P70/2.4</f>
        <v>148.33333333333334</v>
      </c>
      <c r="Q75" s="920">
        <f>DATA!Q70/2.4</f>
        <v>150</v>
      </c>
      <c r="R75" s="920">
        <f>DATA!R70/2.4</f>
        <v>151.66666666666669</v>
      </c>
      <c r="S75" s="920">
        <f>DATA!S70/2.4</f>
        <v>152.91666666666669</v>
      </c>
      <c r="T75" s="920">
        <f>DATA!T70/2.4</f>
        <v>154.16666666666669</v>
      </c>
      <c r="U75" s="920">
        <f>DATA!U70/2.4</f>
        <v>155.41666666666669</v>
      </c>
      <c r="V75" s="920">
        <f>DATA!V70/2.4</f>
        <v>157.91666666666669</v>
      </c>
      <c r="W75" s="920">
        <f>DATA!W70/2.4</f>
        <v>160</v>
      </c>
      <c r="X75" s="920">
        <f>DATA!X70/2.4</f>
        <v>161.66666666666669</v>
      </c>
      <c r="Y75" s="920">
        <f>DATA!Y70/2.4</f>
        <v>163.75</v>
      </c>
      <c r="Z75" s="920">
        <f>DATA!Z70/2.4</f>
        <v>165.41666666666669</v>
      </c>
      <c r="AA75" s="920">
        <f>DATA!AA70/2.4</f>
        <v>168.75</v>
      </c>
      <c r="AB75" s="920">
        <f>DATA!AB70/2.4</f>
        <v>172.08333333333334</v>
      </c>
      <c r="AC75" s="920">
        <f>DATA!AC70/2.4</f>
        <v>174.58333333333334</v>
      </c>
    </row>
    <row r="76" spans="1:29" ht="15.75">
      <c r="A76" s="918">
        <f>DATA!A71</f>
        <v>27.2</v>
      </c>
      <c r="B76" s="920">
        <f>DATA!B71/2.4</f>
        <v>108.33333333333334</v>
      </c>
      <c r="C76" s="920">
        <f>DATA!C71/2.4</f>
        <v>108.33333333333334</v>
      </c>
      <c r="D76" s="920">
        <f>DATA!D71/2.4</f>
        <v>114.16666666666667</v>
      </c>
      <c r="E76" s="920">
        <f>DATA!E71/2.4</f>
        <v>118.75</v>
      </c>
      <c r="F76" s="920">
        <f>DATA!F71/2.4</f>
        <v>122.91666666666667</v>
      </c>
      <c r="G76" s="920">
        <f>DATA!G71/2.4</f>
        <v>126.66666666666667</v>
      </c>
      <c r="H76" s="920">
        <f>DATA!H71/2.4</f>
        <v>130</v>
      </c>
      <c r="I76" s="920">
        <f>DATA!I71/2.4</f>
        <v>132.91666666666669</v>
      </c>
      <c r="J76" s="920">
        <f>DATA!J71/2.4</f>
        <v>135.41666666666669</v>
      </c>
      <c r="K76" s="920">
        <f>DATA!K71/2.4</f>
        <v>137.91666666666669</v>
      </c>
      <c r="L76" s="920">
        <f>DATA!L71/2.4</f>
        <v>140.83333333333334</v>
      </c>
      <c r="M76" s="920">
        <f>DATA!M71/2.4</f>
        <v>142.08333333333334</v>
      </c>
      <c r="N76" s="920">
        <f>DATA!N71/2.4</f>
        <v>144.16666666666669</v>
      </c>
      <c r="O76" s="920">
        <f>DATA!O71/2.4</f>
        <v>145.83333333333334</v>
      </c>
      <c r="P76" s="920">
        <f>DATA!P71/2.4</f>
        <v>147.5</v>
      </c>
      <c r="Q76" s="920">
        <f>DATA!Q71/2.4</f>
        <v>149.16666666666669</v>
      </c>
      <c r="R76" s="920">
        <f>DATA!R71/2.4</f>
        <v>150.41666666666669</v>
      </c>
      <c r="S76" s="920">
        <f>DATA!S71/2.4</f>
        <v>152.08333333333334</v>
      </c>
      <c r="T76" s="920">
        <f>DATA!T71/2.4</f>
        <v>153.33333333333334</v>
      </c>
      <c r="U76" s="920">
        <f>DATA!U71/2.4</f>
        <v>154.58333333333334</v>
      </c>
      <c r="V76" s="920">
        <f>DATA!V71/2.4</f>
        <v>156.66666666666669</v>
      </c>
      <c r="W76" s="920">
        <f>DATA!W71/2.4</f>
        <v>158.75</v>
      </c>
      <c r="X76" s="920">
        <f>DATA!X71/2.4</f>
        <v>160.83333333333334</v>
      </c>
      <c r="Y76" s="920">
        <f>DATA!Y71/2.4</f>
        <v>162.5</v>
      </c>
      <c r="Z76" s="920">
        <f>DATA!Z71/2.4</f>
        <v>165</v>
      </c>
      <c r="AA76" s="920">
        <f>DATA!AA71/2.4</f>
        <v>167.91666666666669</v>
      </c>
      <c r="AB76" s="920">
        <f>DATA!AB71/2.4</f>
        <v>170.83333333333334</v>
      </c>
      <c r="AC76" s="920">
        <f>DATA!AC71/2.4</f>
        <v>173.33333333333334</v>
      </c>
    </row>
    <row r="77" spans="1:29" ht="15.75">
      <c r="A77" s="918">
        <f>DATA!A72</f>
        <v>27.3</v>
      </c>
      <c r="B77" s="920">
        <f>DATA!B72/2.4</f>
        <v>107.91666666666667</v>
      </c>
      <c r="C77" s="920">
        <f>DATA!C72/2.4</f>
        <v>107.91666666666667</v>
      </c>
      <c r="D77" s="920">
        <f>DATA!D72/2.4</f>
        <v>113.33333333333334</v>
      </c>
      <c r="E77" s="920">
        <f>DATA!E72/2.4</f>
        <v>117.91666666666667</v>
      </c>
      <c r="F77" s="920">
        <f>DATA!F72/2.4</f>
        <v>122.5</v>
      </c>
      <c r="G77" s="920">
        <f>DATA!G72/2.4</f>
        <v>125.83333333333334</v>
      </c>
      <c r="H77" s="920">
        <f>DATA!H72/2.4</f>
        <v>129.16666666666669</v>
      </c>
      <c r="I77" s="920">
        <f>DATA!I72/2.4</f>
        <v>132.08333333333334</v>
      </c>
      <c r="J77" s="920">
        <f>DATA!J72/2.4</f>
        <v>134.58333333333334</v>
      </c>
      <c r="K77" s="920">
        <f>DATA!K72/2.4</f>
        <v>137.08333333333334</v>
      </c>
      <c r="L77" s="920">
        <f>DATA!L72/2.4</f>
        <v>139.16666666666669</v>
      </c>
      <c r="M77" s="920">
        <f>DATA!M72/2.4</f>
        <v>141.25</v>
      </c>
      <c r="N77" s="920">
        <f>DATA!N72/2.4</f>
        <v>143.33333333333334</v>
      </c>
      <c r="O77" s="920">
        <f>DATA!O72/2.4</f>
        <v>145</v>
      </c>
      <c r="P77" s="920">
        <f>DATA!P72/2.4</f>
        <v>146.66666666666669</v>
      </c>
      <c r="Q77" s="920">
        <f>DATA!Q72/2.4</f>
        <v>148.33333333333334</v>
      </c>
      <c r="R77" s="920">
        <f>DATA!R72/2.4</f>
        <v>149.58333333333334</v>
      </c>
      <c r="S77" s="920">
        <f>DATA!S72/2.4</f>
        <v>150.83333333333334</v>
      </c>
      <c r="T77" s="920">
        <f>DATA!T72/2.4</f>
        <v>152.5</v>
      </c>
      <c r="U77" s="920">
        <f>DATA!U72/2.4</f>
        <v>153.33333333333334</v>
      </c>
      <c r="V77" s="920">
        <f>DATA!V72/2.4</f>
        <v>155.83333333333334</v>
      </c>
      <c r="W77" s="920">
        <f>DATA!W72/2.4</f>
        <v>157.91666666666669</v>
      </c>
      <c r="X77" s="920">
        <f>DATA!X72/2.4</f>
        <v>160</v>
      </c>
      <c r="Y77" s="920">
        <f>DATA!Y72/2.4</f>
        <v>161.66666666666669</v>
      </c>
      <c r="Z77" s="920">
        <f>DATA!Z72/2.4</f>
        <v>163.33333333333334</v>
      </c>
      <c r="AA77" s="920">
        <f>DATA!AA72/2.4</f>
        <v>166.66666666666669</v>
      </c>
      <c r="AB77" s="920">
        <f>DATA!AB72/2.4</f>
        <v>169.58333333333334</v>
      </c>
      <c r="AC77" s="920">
        <f>DATA!AC72/2.4</f>
        <v>172.08333333333334</v>
      </c>
    </row>
    <row r="78" spans="1:29" ht="15.75">
      <c r="A78" s="918">
        <f>DATA!A73</f>
        <v>27.4</v>
      </c>
      <c r="B78" s="920">
        <f>DATA!B73/2.4</f>
        <v>107.08333333333334</v>
      </c>
      <c r="C78" s="920">
        <f>DATA!C73/2.4</f>
        <v>107.08333333333334</v>
      </c>
      <c r="D78" s="920">
        <f>DATA!D73/2.4</f>
        <v>112.5</v>
      </c>
      <c r="E78" s="920">
        <f>DATA!E73/2.4</f>
        <v>117.5</v>
      </c>
      <c r="F78" s="920">
        <f>DATA!F73/2.4</f>
        <v>121.25</v>
      </c>
      <c r="G78" s="920">
        <f>DATA!G73/2.4</f>
        <v>125</v>
      </c>
      <c r="H78" s="920">
        <f>DATA!H73/2.4</f>
        <v>128.33333333333334</v>
      </c>
      <c r="I78" s="920">
        <f>DATA!I73/2.4</f>
        <v>131.25</v>
      </c>
      <c r="J78" s="920">
        <f>DATA!J73/2.4</f>
        <v>133.75</v>
      </c>
      <c r="K78" s="920">
        <f>DATA!K73/2.4</f>
        <v>136.25</v>
      </c>
      <c r="L78" s="920">
        <f>DATA!L73/2.4</f>
        <v>138.33333333333334</v>
      </c>
      <c r="M78" s="920">
        <f>DATA!M73/2.4</f>
        <v>140.41666666666669</v>
      </c>
      <c r="N78" s="920">
        <f>DATA!N73/2.4</f>
        <v>142.08333333333334</v>
      </c>
      <c r="O78" s="920">
        <f>DATA!O73/2.4</f>
        <v>144.16666666666669</v>
      </c>
      <c r="P78" s="920">
        <f>DATA!P73/2.4</f>
        <v>145.83333333333334</v>
      </c>
      <c r="Q78" s="920">
        <f>DATA!Q73/2.4</f>
        <v>147.08333333333334</v>
      </c>
      <c r="R78" s="920">
        <f>DATA!R73/2.4</f>
        <v>148.75</v>
      </c>
      <c r="S78" s="920">
        <f>DATA!S73/2.4</f>
        <v>150</v>
      </c>
      <c r="T78" s="920">
        <f>DATA!T73/2.4</f>
        <v>151.25</v>
      </c>
      <c r="U78" s="920">
        <f>DATA!U73/2.4</f>
        <v>152.5</v>
      </c>
      <c r="V78" s="920">
        <f>DATA!V73/2.4</f>
        <v>155</v>
      </c>
      <c r="W78" s="920">
        <f>DATA!W73/2.4</f>
        <v>157.08333333333334</v>
      </c>
      <c r="X78" s="920">
        <f>DATA!X73/2.4</f>
        <v>158.75</v>
      </c>
      <c r="Y78" s="920">
        <f>DATA!Y73/2.4</f>
        <v>160.41666666666669</v>
      </c>
      <c r="Z78" s="920">
        <f>DATA!Z73/2.4</f>
        <v>162.08333333333334</v>
      </c>
      <c r="AA78" s="920">
        <f>DATA!AA73/2.4</f>
        <v>165.83333333333334</v>
      </c>
      <c r="AB78" s="920">
        <f>DATA!AB73/2.4</f>
        <v>168.75</v>
      </c>
      <c r="AC78" s="920">
        <f>DATA!AC73/2.4</f>
        <v>171.25</v>
      </c>
    </row>
    <row r="79" spans="1:29" ht="15.75">
      <c r="A79" s="918">
        <f>DATA!A74</f>
        <v>27.5</v>
      </c>
      <c r="B79" s="920">
        <f>DATA!B74/2.4</f>
        <v>106.25</v>
      </c>
      <c r="C79" s="920">
        <f>DATA!C74/2.4</f>
        <v>106.25</v>
      </c>
      <c r="D79" s="920">
        <f>DATA!D74/2.4</f>
        <v>111.66666666666667</v>
      </c>
      <c r="E79" s="920">
        <f>DATA!E74/2.4</f>
        <v>116.66666666666667</v>
      </c>
      <c r="F79" s="920">
        <f>DATA!F74/2.4</f>
        <v>120.41666666666667</v>
      </c>
      <c r="G79" s="920">
        <f>DATA!G74/2.4</f>
        <v>124.16666666666667</v>
      </c>
      <c r="H79" s="920">
        <f>DATA!H74/2.4</f>
        <v>127.5</v>
      </c>
      <c r="I79" s="920">
        <f>DATA!I74/2.4</f>
        <v>130.41666666666669</v>
      </c>
      <c r="J79" s="920">
        <f>DATA!J74/2.4</f>
        <v>132.91666666666669</v>
      </c>
      <c r="K79" s="920">
        <f>DATA!K74/2.4</f>
        <v>135.41666666666669</v>
      </c>
      <c r="L79" s="920">
        <f>DATA!L74/2.4</f>
        <v>137.5</v>
      </c>
      <c r="M79" s="920">
        <f>DATA!M74/2.4</f>
        <v>139.58333333333334</v>
      </c>
      <c r="N79" s="920">
        <f>DATA!N74/2.4</f>
        <v>141.25</v>
      </c>
      <c r="O79" s="920">
        <f>DATA!O74/2.4</f>
        <v>142.91666666666669</v>
      </c>
      <c r="P79" s="920">
        <f>DATA!P74/2.4</f>
        <v>144.58333333333334</v>
      </c>
      <c r="Q79" s="920">
        <f>DATA!Q74/2.4</f>
        <v>146.25</v>
      </c>
      <c r="R79" s="920">
        <f>DATA!R74/2.4</f>
        <v>147.5</v>
      </c>
      <c r="S79" s="920">
        <f>DATA!S74/2.4</f>
        <v>149.16666666666669</v>
      </c>
      <c r="T79" s="920">
        <f>DATA!T74/2.4</f>
        <v>150.41666666666669</v>
      </c>
      <c r="U79" s="920">
        <f>DATA!U74/2.4</f>
        <v>151.66666666666669</v>
      </c>
      <c r="V79" s="920">
        <f>DATA!V74/2.4</f>
        <v>153.75</v>
      </c>
      <c r="W79" s="920">
        <f>DATA!W74/2.4</f>
        <v>155.83333333333334</v>
      </c>
      <c r="X79" s="920">
        <f>DATA!X74/2.4</f>
        <v>157.91666666666669</v>
      </c>
      <c r="Y79" s="920">
        <f>DATA!Y74/2.4</f>
        <v>159.58333333333334</v>
      </c>
      <c r="Z79" s="920">
        <f>DATA!Z74/2.4</f>
        <v>161.25</v>
      </c>
      <c r="AA79" s="920">
        <f>DATA!AA74/2.4</f>
        <v>164.58333333333334</v>
      </c>
      <c r="AB79" s="920">
        <f>DATA!AB74/2.4</f>
        <v>167.5</v>
      </c>
      <c r="AC79" s="920">
        <f>DATA!AC74/2.4</f>
        <v>170</v>
      </c>
    </row>
    <row r="80" spans="1:29" ht="15.75">
      <c r="A80" s="918">
        <f>DATA!A75</f>
        <v>27.6</v>
      </c>
      <c r="B80" s="920">
        <f>DATA!B75/2.4</f>
        <v>105.83333333333334</v>
      </c>
      <c r="C80" s="920">
        <f>DATA!C75/2.4</f>
        <v>105.83333333333334</v>
      </c>
      <c r="D80" s="920">
        <f>DATA!D75/2.4</f>
        <v>111.25</v>
      </c>
      <c r="E80" s="920">
        <f>DATA!E75/2.4</f>
        <v>115.83333333333334</v>
      </c>
      <c r="F80" s="920">
        <f>DATA!F75/2.4</f>
        <v>119.58333333333334</v>
      </c>
      <c r="G80" s="920">
        <f>DATA!G75/2.4</f>
        <v>123.33333333333334</v>
      </c>
      <c r="H80" s="920">
        <f>DATA!H75/2.4</f>
        <v>126.66666666666667</v>
      </c>
      <c r="I80" s="920">
        <f>DATA!I75/2.4</f>
        <v>129.16666666666669</v>
      </c>
      <c r="J80" s="920">
        <f>DATA!J75/2.4</f>
        <v>132.08333333333334</v>
      </c>
      <c r="K80" s="920">
        <f>DATA!K75/2.4</f>
        <v>134.16666666666669</v>
      </c>
      <c r="L80" s="920">
        <f>DATA!L75/2.4</f>
        <v>136.66666666666669</v>
      </c>
      <c r="M80" s="920">
        <f>DATA!M75/2.4</f>
        <v>138.33333333333334</v>
      </c>
      <c r="N80" s="920">
        <f>DATA!N75/2.4</f>
        <v>140.41666666666669</v>
      </c>
      <c r="O80" s="920">
        <f>DATA!O75/2.4</f>
        <v>142.08333333333334</v>
      </c>
      <c r="P80" s="920">
        <f>DATA!P75/2.4</f>
        <v>143.75</v>
      </c>
      <c r="Q80" s="920">
        <f>DATA!Q75/2.4</f>
        <v>145.41666666666669</v>
      </c>
      <c r="R80" s="920">
        <f>DATA!R75/2.4</f>
        <v>146.66666666666669</v>
      </c>
      <c r="S80" s="920">
        <f>DATA!S75/2.4</f>
        <v>147.91666666666669</v>
      </c>
      <c r="T80" s="920">
        <f>DATA!T75/2.4</f>
        <v>149.16666666666669</v>
      </c>
      <c r="U80" s="920">
        <f>DATA!U75/2.4</f>
        <v>150.41666666666669</v>
      </c>
      <c r="V80" s="920">
        <f>DATA!V75/2.4</f>
        <v>152.91666666666669</v>
      </c>
      <c r="W80" s="920">
        <f>DATA!W75/2.4</f>
        <v>155</v>
      </c>
      <c r="X80" s="920">
        <f>DATA!X75/2.4</f>
        <v>156.66666666666669</v>
      </c>
      <c r="Y80" s="920">
        <f>DATA!Y75/2.4</f>
        <v>158.33333333333334</v>
      </c>
      <c r="Z80" s="920">
        <f>DATA!Z75/2.4</f>
        <v>160</v>
      </c>
      <c r="AA80" s="920">
        <f>DATA!AA75/2.4</f>
        <v>163.33333333333334</v>
      </c>
      <c r="AB80" s="920">
        <f>DATA!AB75/2.4</f>
        <v>166.25</v>
      </c>
      <c r="AC80" s="920">
        <f>DATA!AC75/2.4</f>
        <v>168.75</v>
      </c>
    </row>
    <row r="81" spans="1:29" ht="15.75">
      <c r="A81" s="918">
        <f>DATA!A76</f>
        <v>27.7</v>
      </c>
      <c r="B81" s="920">
        <f>DATA!B76/2.4</f>
        <v>105</v>
      </c>
      <c r="C81" s="920">
        <f>DATA!C76/2.4</f>
        <v>105</v>
      </c>
      <c r="D81" s="920">
        <f>DATA!D76/2.4</f>
        <v>110.41666666666667</v>
      </c>
      <c r="E81" s="920">
        <f>DATA!E76/2.4</f>
        <v>115</v>
      </c>
      <c r="F81" s="920">
        <f>DATA!F76/2.4</f>
        <v>119.16666666666667</v>
      </c>
      <c r="G81" s="920">
        <f>DATA!G76/2.4</f>
        <v>122.5</v>
      </c>
      <c r="H81" s="920">
        <f>DATA!H76/2.4</f>
        <v>125.83333333333334</v>
      </c>
      <c r="I81" s="920">
        <f>DATA!I76/2.4</f>
        <v>128.33333333333334</v>
      </c>
      <c r="J81" s="920">
        <f>DATA!J76/2.4</f>
        <v>131.25</v>
      </c>
      <c r="K81" s="920">
        <f>DATA!K76/2.4</f>
        <v>133.33333333333334</v>
      </c>
      <c r="L81" s="920">
        <f>DATA!L76/2.4</f>
        <v>135.41666666666669</v>
      </c>
      <c r="M81" s="920">
        <f>DATA!M76/2.4</f>
        <v>137.5</v>
      </c>
      <c r="N81" s="920">
        <f>DATA!N76/2.4</f>
        <v>139.58333333333334</v>
      </c>
      <c r="O81" s="920">
        <f>DATA!O76/2.4</f>
        <v>141.25</v>
      </c>
      <c r="P81" s="920">
        <f>DATA!P76/2.4</f>
        <v>142.91666666666669</v>
      </c>
      <c r="Q81" s="920">
        <f>DATA!Q76/2.4</f>
        <v>144.16666666666669</v>
      </c>
      <c r="R81" s="920">
        <f>DATA!R76/2.4</f>
        <v>145.83333333333334</v>
      </c>
      <c r="S81" s="920">
        <f>DATA!S76/2.4</f>
        <v>147.08333333333334</v>
      </c>
      <c r="T81" s="920">
        <f>DATA!T76/2.4</f>
        <v>148.33333333333334</v>
      </c>
      <c r="U81" s="920">
        <f>DATA!U76/2.4</f>
        <v>149.58333333333334</v>
      </c>
      <c r="V81" s="920">
        <f>DATA!V76/2.4</f>
        <v>151.66666666666669</v>
      </c>
      <c r="W81" s="920">
        <f>DATA!W76/2.4</f>
        <v>153.75</v>
      </c>
      <c r="X81" s="920">
        <f>DATA!X76/2.4</f>
        <v>155.83333333333334</v>
      </c>
      <c r="Y81" s="920">
        <f>DATA!Y76/2.4</f>
        <v>157.5</v>
      </c>
      <c r="Z81" s="920">
        <f>DATA!Z76/2.4</f>
        <v>158.75</v>
      </c>
      <c r="AA81" s="920">
        <f>DATA!AA76/2.4</f>
        <v>162.5</v>
      </c>
      <c r="AB81" s="920">
        <f>DATA!AB76/2.4</f>
        <v>165.41666666666669</v>
      </c>
      <c r="AC81" s="920">
        <f>DATA!AC76/2.4</f>
        <v>167.91666666666669</v>
      </c>
    </row>
    <row r="82" spans="1:29" ht="15.75">
      <c r="A82" s="918">
        <f>DATA!A77</f>
        <v>27.8</v>
      </c>
      <c r="B82" s="920">
        <f>DATA!B77/2.4</f>
        <v>104.16666666666667</v>
      </c>
      <c r="C82" s="920">
        <f>DATA!C77/2.4</f>
        <v>104.16666666666667</v>
      </c>
      <c r="D82" s="920">
        <f>DATA!D77/2.4</f>
        <v>109.58333333333334</v>
      </c>
      <c r="E82" s="920">
        <f>DATA!E77/2.4</f>
        <v>114.16666666666667</v>
      </c>
      <c r="F82" s="920">
        <f>DATA!F77/2.4</f>
        <v>118.33333333333334</v>
      </c>
      <c r="G82" s="920">
        <f>DATA!G77/2.4</f>
        <v>121.66666666666667</v>
      </c>
      <c r="H82" s="920">
        <f>DATA!H77/2.4</f>
        <v>125</v>
      </c>
      <c r="I82" s="920">
        <f>DATA!I77/2.4</f>
        <v>127.5</v>
      </c>
      <c r="J82" s="920">
        <f>DATA!J77/2.4</f>
        <v>130</v>
      </c>
      <c r="K82" s="920">
        <f>DATA!K77/2.4</f>
        <v>132.5</v>
      </c>
      <c r="L82" s="920">
        <f>DATA!L77/2.4</f>
        <v>134.58333333333334</v>
      </c>
      <c r="M82" s="920">
        <f>DATA!M77/2.4</f>
        <v>136.66666666666669</v>
      </c>
      <c r="N82" s="920">
        <f>DATA!N77/2.4</f>
        <v>138.33333333333334</v>
      </c>
      <c r="O82" s="920">
        <f>DATA!O77/2.4</f>
        <v>140.41666666666669</v>
      </c>
      <c r="P82" s="920">
        <f>DATA!P77/2.4</f>
        <v>141.66666666666669</v>
      </c>
      <c r="Q82" s="920">
        <f>DATA!Q77/2.4</f>
        <v>143.33333333333334</v>
      </c>
      <c r="R82" s="920">
        <f>DATA!R77/2.4</f>
        <v>144.58333333333334</v>
      </c>
      <c r="S82" s="920">
        <f>DATA!S77/2.4</f>
        <v>146.25</v>
      </c>
      <c r="T82" s="920">
        <f>DATA!T77/2.4</f>
        <v>147.5</v>
      </c>
      <c r="U82" s="920">
        <f>DATA!U77/2.4</f>
        <v>148.75</v>
      </c>
      <c r="V82" s="920">
        <f>DATA!V77/2.4</f>
        <v>150.83333333333334</v>
      </c>
      <c r="W82" s="920">
        <f>DATA!W77/2.4</f>
        <v>152.91666666666669</v>
      </c>
      <c r="X82" s="920">
        <f>DATA!X77/2.4</f>
        <v>154.58333333333334</v>
      </c>
      <c r="Y82" s="920">
        <f>DATA!Y77/2.4</f>
        <v>156.25</v>
      </c>
      <c r="Z82" s="920">
        <f>DATA!Z77/2.4</f>
        <v>157.91666666666669</v>
      </c>
      <c r="AA82" s="920">
        <f>DATA!AA77/2.4</f>
        <v>161.25</v>
      </c>
      <c r="AB82" s="920">
        <f>DATA!AB77/2.4</f>
        <v>164.16666666666669</v>
      </c>
      <c r="AC82" s="920">
        <f>DATA!AC77/2.4</f>
        <v>166.66666666666669</v>
      </c>
    </row>
    <row r="83" spans="1:29" ht="15.75">
      <c r="A83" s="918">
        <f>DATA!A78</f>
        <v>27.9</v>
      </c>
      <c r="B83" s="920">
        <f>DATA!B78/2.4</f>
        <v>103.33333333333334</v>
      </c>
      <c r="C83" s="920">
        <f>DATA!C78/2.4</f>
        <v>103.33333333333334</v>
      </c>
      <c r="D83" s="920">
        <f>DATA!D78/2.4</f>
        <v>108.75</v>
      </c>
      <c r="E83" s="920">
        <f>DATA!E78/2.4</f>
        <v>113.33333333333334</v>
      </c>
      <c r="F83" s="920">
        <f>DATA!F78/2.4</f>
        <v>117.5</v>
      </c>
      <c r="G83" s="920">
        <f>DATA!G78/2.4</f>
        <v>120.83333333333334</v>
      </c>
      <c r="H83" s="920">
        <f>DATA!H78/2.4</f>
        <v>124.16666666666667</v>
      </c>
      <c r="I83" s="920">
        <f>DATA!I78/2.4</f>
        <v>126.66666666666667</v>
      </c>
      <c r="J83" s="920">
        <f>DATA!J78/2.4</f>
        <v>129.16666666666669</v>
      </c>
      <c r="K83" s="920">
        <f>DATA!K78/2.4</f>
        <v>131.66666666666669</v>
      </c>
      <c r="L83" s="920">
        <f>DATA!L78/2.4</f>
        <v>133.75</v>
      </c>
      <c r="M83" s="920">
        <f>DATA!M78/2.4</f>
        <v>135.83333333333334</v>
      </c>
      <c r="N83" s="920">
        <f>DATA!N78/2.4</f>
        <v>137.5</v>
      </c>
      <c r="O83" s="920">
        <f>DATA!O78/2.4</f>
        <v>139.16666666666669</v>
      </c>
      <c r="P83" s="920">
        <f>DATA!P78/2.4</f>
        <v>140.83333333333334</v>
      </c>
      <c r="Q83" s="920">
        <f>DATA!Q78/2.4</f>
        <v>142.5</v>
      </c>
      <c r="R83" s="920">
        <f>DATA!R78/2.4</f>
        <v>143.75</v>
      </c>
      <c r="S83" s="920">
        <f>DATA!S78/2.4</f>
        <v>145</v>
      </c>
      <c r="T83" s="920">
        <f>DATA!T78/2.4</f>
        <v>146.25</v>
      </c>
      <c r="U83" s="920">
        <f>DATA!U78/2.4</f>
        <v>147.5</v>
      </c>
      <c r="V83" s="920">
        <f>DATA!V78/2.4</f>
        <v>149.58333333333334</v>
      </c>
      <c r="W83" s="920">
        <f>DATA!W78/2.4</f>
        <v>151.66666666666669</v>
      </c>
      <c r="X83" s="920">
        <f>DATA!X78/2.4</f>
        <v>153.75</v>
      </c>
      <c r="Y83" s="920">
        <f>DATA!Y78/2.4</f>
        <v>155.41666666666669</v>
      </c>
      <c r="Z83" s="920">
        <f>DATA!Z78/2.4</f>
        <v>156.66666666666669</v>
      </c>
      <c r="AA83" s="920">
        <f>DATA!AA78/2.4</f>
        <v>160.41666666666669</v>
      </c>
      <c r="AB83" s="920">
        <f>DATA!AB78/2.4</f>
        <v>162.91666666666669</v>
      </c>
      <c r="AC83" s="920">
        <f>DATA!AC78/2.4</f>
        <v>165.41666666666669</v>
      </c>
    </row>
    <row r="84" spans="1:29" ht="15.75">
      <c r="A84" s="918">
        <f>DATA!A79</f>
        <v>28</v>
      </c>
      <c r="B84" s="920">
        <f>DATA!B79/2.4</f>
        <v>102.91666666666667</v>
      </c>
      <c r="C84" s="920">
        <f>DATA!C79/2.4</f>
        <v>102.91666666666667</v>
      </c>
      <c r="D84" s="920">
        <f>DATA!D79/2.4</f>
        <v>107.91666666666667</v>
      </c>
      <c r="E84" s="920">
        <f>DATA!E79/2.4</f>
        <v>112.5</v>
      </c>
      <c r="F84" s="920">
        <f>DATA!F79/2.4</f>
        <v>116.66666666666667</v>
      </c>
      <c r="G84" s="920">
        <f>DATA!G79/2.4</f>
        <v>120</v>
      </c>
      <c r="H84" s="920">
        <f>DATA!H79/2.4</f>
        <v>122.91666666666667</v>
      </c>
      <c r="I84" s="920">
        <f>DATA!I79/2.4</f>
        <v>125.83333333333334</v>
      </c>
      <c r="J84" s="920">
        <f>DATA!J79/2.4</f>
        <v>128.33333333333334</v>
      </c>
      <c r="K84" s="920">
        <f>DATA!K79/2.4</f>
        <v>130.83333333333334</v>
      </c>
      <c r="L84" s="920">
        <f>DATA!L79/2.4</f>
        <v>132.91666666666669</v>
      </c>
      <c r="M84" s="920">
        <f>DATA!M79/2.4</f>
        <v>135</v>
      </c>
      <c r="N84" s="920">
        <f>DATA!N79/2.4</f>
        <v>136.66666666666669</v>
      </c>
      <c r="O84" s="920">
        <f>DATA!O79/2.4</f>
        <v>138.33333333333334</v>
      </c>
      <c r="P84" s="920">
        <f>DATA!P79/2.4</f>
        <v>140</v>
      </c>
      <c r="Q84" s="920">
        <f>DATA!Q79/2.4</f>
        <v>141.25</v>
      </c>
      <c r="R84" s="920">
        <f>DATA!R79/2.4</f>
        <v>142.91666666666669</v>
      </c>
      <c r="S84" s="920">
        <f>DATA!S79/2.4</f>
        <v>144.16666666666669</v>
      </c>
      <c r="T84" s="920">
        <f>DATA!T79/2.4</f>
        <v>145.41666666666669</v>
      </c>
      <c r="U84" s="920">
        <f>DATA!U79/2.4</f>
        <v>146.66666666666669</v>
      </c>
      <c r="V84" s="920">
        <f>DATA!V79/2.4</f>
        <v>148.75</v>
      </c>
      <c r="W84" s="920">
        <f>DATA!W79/2.4</f>
        <v>150.83333333333334</v>
      </c>
      <c r="X84" s="920">
        <f>DATA!X79/2.4</f>
        <v>152.5</v>
      </c>
      <c r="Y84" s="920">
        <f>DATA!Y79/2.4</f>
        <v>154.16666666666669</v>
      </c>
      <c r="Z84" s="920">
        <f>DATA!Z79/2.4</f>
        <v>155.83333333333334</v>
      </c>
      <c r="AA84" s="920">
        <f>DATA!AA79/2.4</f>
        <v>159.16666666666669</v>
      </c>
      <c r="AB84" s="920">
        <f>DATA!AB79/2.4</f>
        <v>162.08333333333334</v>
      </c>
      <c r="AC84" s="920">
        <f>DATA!AC79/2.4</f>
        <v>164.58333333333334</v>
      </c>
    </row>
    <row r="85" spans="1:29" ht="15.75">
      <c r="A85" s="918">
        <f>DATA!A80</f>
        <v>28.1</v>
      </c>
      <c r="B85" s="920">
        <f>DATA!B80/2.4</f>
        <v>102.08333333333334</v>
      </c>
      <c r="C85" s="920">
        <f>DATA!C80/2.4</f>
        <v>102.08333333333334</v>
      </c>
      <c r="D85" s="920">
        <f>DATA!D80/2.4</f>
        <v>107.5</v>
      </c>
      <c r="E85" s="920">
        <f>DATA!E80/2.4</f>
        <v>111.66666666666667</v>
      </c>
      <c r="F85" s="920">
        <f>DATA!F80/2.4</f>
        <v>115.83333333333334</v>
      </c>
      <c r="G85" s="920">
        <f>DATA!G80/2.4</f>
        <v>119.16666666666667</v>
      </c>
      <c r="H85" s="920">
        <f>DATA!H80/2.4</f>
        <v>122.08333333333334</v>
      </c>
      <c r="I85" s="920">
        <f>DATA!I80/2.4</f>
        <v>125</v>
      </c>
      <c r="J85" s="920">
        <f>DATA!J80/2.4</f>
        <v>127.5</v>
      </c>
      <c r="K85" s="920">
        <f>DATA!K80/2.4</f>
        <v>130</v>
      </c>
      <c r="L85" s="920">
        <f>DATA!L80/2.4</f>
        <v>132.08333333333334</v>
      </c>
      <c r="M85" s="920">
        <f>DATA!M80/2.4</f>
        <v>133.75</v>
      </c>
      <c r="N85" s="920">
        <f>DATA!N80/2.4</f>
        <v>135.83333333333334</v>
      </c>
      <c r="O85" s="920">
        <f>DATA!O80/2.4</f>
        <v>137.5</v>
      </c>
      <c r="P85" s="920">
        <f>DATA!P80/2.4</f>
        <v>138.75</v>
      </c>
      <c r="Q85" s="920">
        <f>DATA!Q80/2.4</f>
        <v>140.41666666666669</v>
      </c>
      <c r="R85" s="920">
        <f>DATA!R80/2.4</f>
        <v>141.66666666666669</v>
      </c>
      <c r="S85" s="920">
        <f>DATA!S80/2.4</f>
        <v>142.91666666666669</v>
      </c>
      <c r="T85" s="920">
        <f>DATA!T80/2.4</f>
        <v>144.16666666666669</v>
      </c>
      <c r="U85" s="920">
        <f>DATA!U80/2.4</f>
        <v>145.41666666666669</v>
      </c>
      <c r="V85" s="920">
        <f>DATA!V80/2.4</f>
        <v>147.5</v>
      </c>
      <c r="W85" s="920">
        <f>DATA!W80/2.4</f>
        <v>149.58333333333334</v>
      </c>
      <c r="X85" s="920">
        <f>DATA!X80/2.4</f>
        <v>151.66666666666669</v>
      </c>
      <c r="Y85" s="920">
        <f>DATA!Y80/2.4</f>
        <v>152.91666666666669</v>
      </c>
      <c r="Z85" s="920">
        <f>DATA!Z80/2.4</f>
        <v>154.58333333333334</v>
      </c>
      <c r="AA85" s="920">
        <f>DATA!AA80/2.4</f>
        <v>157.91666666666669</v>
      </c>
      <c r="AB85" s="920">
        <f>DATA!AB80/2.4</f>
        <v>160.83333333333334</v>
      </c>
      <c r="AC85" s="920">
        <f>DATA!AC80/2.4</f>
        <v>163.33333333333334</v>
      </c>
    </row>
    <row r="86" spans="1:29" ht="15.75">
      <c r="A86" s="918">
        <f>DATA!A81</f>
        <v>28.2</v>
      </c>
      <c r="B86" s="920">
        <f>DATA!B81/2.4</f>
        <v>101.25</v>
      </c>
      <c r="C86" s="920">
        <f>DATA!C81/2.4</f>
        <v>101.25</v>
      </c>
      <c r="D86" s="920">
        <f>DATA!D81/2.4</f>
        <v>106.66666666666667</v>
      </c>
      <c r="E86" s="920">
        <f>DATA!E81/2.4</f>
        <v>110.83333333333334</v>
      </c>
      <c r="F86" s="920">
        <f>DATA!F81/2.4</f>
        <v>115</v>
      </c>
      <c r="G86" s="920">
        <f>DATA!G81/2.4</f>
        <v>118.33333333333334</v>
      </c>
      <c r="H86" s="920">
        <f>DATA!H81/2.4</f>
        <v>121.25</v>
      </c>
      <c r="I86" s="920">
        <f>DATA!I81/2.4</f>
        <v>124.16666666666667</v>
      </c>
      <c r="J86" s="920">
        <f>DATA!J81/2.4</f>
        <v>126.66666666666667</v>
      </c>
      <c r="K86" s="920">
        <f>DATA!K81/2.4</f>
        <v>128.75</v>
      </c>
      <c r="L86" s="920">
        <f>DATA!L81/2.4</f>
        <v>130.83333333333334</v>
      </c>
      <c r="M86" s="920">
        <f>DATA!M81/2.4</f>
        <v>132.91666666666669</v>
      </c>
      <c r="N86" s="920">
        <f>DATA!N81/2.4</f>
        <v>134.58333333333334</v>
      </c>
      <c r="O86" s="920">
        <f>DATA!O81/2.4</f>
        <v>136.25</v>
      </c>
      <c r="P86" s="920">
        <f>DATA!P81/2.4</f>
        <v>137.91666666666669</v>
      </c>
      <c r="Q86" s="920">
        <f>DATA!Q81/2.4</f>
        <v>139.58333333333334</v>
      </c>
      <c r="R86" s="920">
        <f>DATA!R81/2.4</f>
        <v>140.83333333333334</v>
      </c>
      <c r="S86" s="920">
        <f>DATA!S81/2.4</f>
        <v>142.08333333333334</v>
      </c>
      <c r="T86" s="920">
        <f>DATA!T81/2.4</f>
        <v>143.33333333333334</v>
      </c>
      <c r="U86" s="920">
        <f>DATA!U81/2.4</f>
        <v>144.58333333333334</v>
      </c>
      <c r="V86" s="920">
        <f>DATA!V81/2.4</f>
        <v>146.66666666666669</v>
      </c>
      <c r="W86" s="920">
        <f>DATA!W81/2.4</f>
        <v>148.75</v>
      </c>
      <c r="X86" s="920">
        <f>DATA!X81/2.4</f>
        <v>150.41666666666669</v>
      </c>
      <c r="Y86" s="920">
        <f>DATA!Y81/2.4</f>
        <v>152.08333333333334</v>
      </c>
      <c r="Z86" s="920">
        <f>DATA!Z81/2.4</f>
        <v>153.75</v>
      </c>
      <c r="AA86" s="920">
        <f>DATA!AA81/2.4</f>
        <v>157.08333333333334</v>
      </c>
      <c r="AB86" s="920">
        <f>DATA!AB81/2.4</f>
        <v>159.58333333333334</v>
      </c>
      <c r="AC86" s="920">
        <f>DATA!AC81/2.4</f>
        <v>162.08333333333334</v>
      </c>
    </row>
    <row r="87" spans="1:29" ht="15.75">
      <c r="A87" s="918">
        <f>DATA!A82</f>
        <v>28.3</v>
      </c>
      <c r="B87" s="920">
        <f>DATA!B82/2.4</f>
        <v>100.41666666666667</v>
      </c>
      <c r="C87" s="920">
        <f>DATA!C82/2.4</f>
        <v>100.41666666666667</v>
      </c>
      <c r="D87" s="920">
        <f>DATA!D82/2.4</f>
        <v>105.83333333333334</v>
      </c>
      <c r="E87" s="920">
        <f>DATA!E82/2.4</f>
        <v>110.83333333333334</v>
      </c>
      <c r="F87" s="920">
        <f>DATA!F82/2.4</f>
        <v>114.16666666666667</v>
      </c>
      <c r="G87" s="920">
        <f>DATA!G82/2.4</f>
        <v>117.5</v>
      </c>
      <c r="H87" s="920">
        <f>DATA!H82/2.4</f>
        <v>120.41666666666667</v>
      </c>
      <c r="I87" s="920">
        <f>DATA!I82/2.4</f>
        <v>123.33333333333334</v>
      </c>
      <c r="J87" s="920">
        <f>DATA!J82/2.4</f>
        <v>125.83333333333334</v>
      </c>
      <c r="K87" s="920">
        <f>DATA!K82/2.4</f>
        <v>127.91666666666667</v>
      </c>
      <c r="L87" s="920">
        <f>DATA!L82/2.4</f>
        <v>130</v>
      </c>
      <c r="M87" s="920">
        <f>DATA!M82/2.4</f>
        <v>132.08333333333334</v>
      </c>
      <c r="N87" s="920">
        <f>DATA!N82/2.4</f>
        <v>133.75</v>
      </c>
      <c r="O87" s="920">
        <f>DATA!O82/2.4</f>
        <v>135.41666666666669</v>
      </c>
      <c r="P87" s="920">
        <f>DATA!P82/2.4</f>
        <v>137.08333333333334</v>
      </c>
      <c r="Q87" s="920">
        <f>DATA!Q82/2.4</f>
        <v>138.33333333333334</v>
      </c>
      <c r="R87" s="920">
        <f>DATA!R82/2.4</f>
        <v>140</v>
      </c>
      <c r="S87" s="920">
        <f>DATA!S82/2.4</f>
        <v>141.25</v>
      </c>
      <c r="T87" s="920">
        <f>DATA!T82/2.4</f>
        <v>142.5</v>
      </c>
      <c r="U87" s="920">
        <f>DATA!U82/2.4</f>
        <v>143.33333333333334</v>
      </c>
      <c r="V87" s="920">
        <f>DATA!V82/2.4</f>
        <v>145.41666666666669</v>
      </c>
      <c r="W87" s="920">
        <f>DATA!W82/2.4</f>
        <v>147.5</v>
      </c>
      <c r="X87" s="920">
        <f>DATA!X82/2.4</f>
        <v>149.16666666666669</v>
      </c>
      <c r="Y87" s="920">
        <f>DATA!Y82/2.4</f>
        <v>150.83333333333334</v>
      </c>
      <c r="Z87" s="920">
        <f>DATA!Z82/2.4</f>
        <v>152.5</v>
      </c>
      <c r="AA87" s="920">
        <f>DATA!AA82/2.4</f>
        <v>155.83333333333334</v>
      </c>
      <c r="AB87" s="920">
        <f>DATA!AB82/2.4</f>
        <v>158.75</v>
      </c>
      <c r="AC87" s="920">
        <f>DATA!AC82/2.4</f>
        <v>160.83333333333334</v>
      </c>
    </row>
    <row r="88" spans="1:29" ht="15.75">
      <c r="A88" s="918">
        <f>DATA!A83</f>
        <v>28.4</v>
      </c>
      <c r="B88" s="920">
        <f>DATA!B83/2.4</f>
        <v>100</v>
      </c>
      <c r="C88" s="920">
        <f>DATA!C83/2.4</f>
        <v>100</v>
      </c>
      <c r="D88" s="920">
        <f>DATA!D83/2.4</f>
        <v>105</v>
      </c>
      <c r="E88" s="920">
        <f>DATA!E83/2.4</f>
        <v>109.58333333333334</v>
      </c>
      <c r="F88" s="920">
        <f>DATA!F83/2.4</f>
        <v>113.33333333333334</v>
      </c>
      <c r="G88" s="920">
        <f>DATA!G83/2.4</f>
        <v>116.66666666666667</v>
      </c>
      <c r="H88" s="920">
        <f>DATA!H83/2.4</f>
        <v>119.58333333333334</v>
      </c>
      <c r="I88" s="920">
        <f>DATA!I83/2.4</f>
        <v>122.5</v>
      </c>
      <c r="J88" s="920">
        <f>DATA!J83/2.4</f>
        <v>125</v>
      </c>
      <c r="K88" s="920">
        <f>DATA!K83/2.4</f>
        <v>127.08333333333334</v>
      </c>
      <c r="L88" s="920">
        <f>DATA!L83/2.4</f>
        <v>129.16666666666669</v>
      </c>
      <c r="M88" s="920">
        <f>DATA!M83/2.4</f>
        <v>130.83333333333334</v>
      </c>
      <c r="N88" s="920">
        <f>DATA!N83/2.4</f>
        <v>132.91666666666669</v>
      </c>
      <c r="O88" s="920">
        <f>DATA!O83/2.4</f>
        <v>134.58333333333334</v>
      </c>
      <c r="P88" s="920">
        <f>DATA!P83/2.4</f>
        <v>135.83333333333334</v>
      </c>
      <c r="Q88" s="920">
        <f>DATA!Q83/2.4</f>
        <v>137.5</v>
      </c>
      <c r="R88" s="920">
        <f>DATA!R83/2.4</f>
        <v>138.75</v>
      </c>
      <c r="S88" s="920">
        <f>DATA!S83/2.4</f>
        <v>140</v>
      </c>
      <c r="T88" s="920">
        <f>DATA!T83/2.4</f>
        <v>141.25</v>
      </c>
      <c r="U88" s="920">
        <f>DATA!U83/2.4</f>
        <v>142.5</v>
      </c>
      <c r="V88" s="920">
        <f>DATA!V83/2.4</f>
        <v>144.58333333333334</v>
      </c>
      <c r="W88" s="920">
        <f>DATA!W83/2.4</f>
        <v>146.66666666666669</v>
      </c>
      <c r="X88" s="920">
        <f>DATA!X83/2.4</f>
        <v>148.33333333333334</v>
      </c>
      <c r="Y88" s="920">
        <f>DATA!Y83/2.4</f>
        <v>150</v>
      </c>
      <c r="Z88" s="920">
        <f>DATA!Z83/2.4</f>
        <v>151.25</v>
      </c>
      <c r="AA88" s="920">
        <f>DATA!AA83/2.4</f>
        <v>154.58333333333334</v>
      </c>
      <c r="AB88" s="920">
        <f>DATA!AB83/2.4</f>
        <v>157.5</v>
      </c>
      <c r="AC88" s="920">
        <f>DATA!AC83/2.4</f>
        <v>160</v>
      </c>
    </row>
    <row r="89" spans="1:29" ht="15.75">
      <c r="A89" s="918">
        <f>DATA!A84</f>
        <v>28.5</v>
      </c>
      <c r="B89" s="920">
        <f>DATA!B84/2.4</f>
        <v>99.166666666666671</v>
      </c>
      <c r="C89" s="920">
        <f>DATA!C84/2.4</f>
        <v>99.166666666666671</v>
      </c>
      <c r="D89" s="920">
        <f>DATA!D84/2.4</f>
        <v>104.16666666666667</v>
      </c>
      <c r="E89" s="920">
        <f>DATA!E84/2.4</f>
        <v>108.75</v>
      </c>
      <c r="F89" s="920">
        <f>DATA!F84/2.4</f>
        <v>112.5</v>
      </c>
      <c r="G89" s="920">
        <f>DATA!G84/2.4</f>
        <v>115.83333333333334</v>
      </c>
      <c r="H89" s="920">
        <f>DATA!H84/2.4</f>
        <v>118.75</v>
      </c>
      <c r="I89" s="920">
        <f>DATA!I84/2.4</f>
        <v>121.66666666666667</v>
      </c>
      <c r="J89" s="920">
        <f>DATA!J84/2.4</f>
        <v>123.75</v>
      </c>
      <c r="K89" s="920">
        <f>DATA!K84/2.4</f>
        <v>126.25</v>
      </c>
      <c r="L89" s="920">
        <f>DATA!L84/2.4</f>
        <v>128.33333333333334</v>
      </c>
      <c r="M89" s="920">
        <f>DATA!M84/2.4</f>
        <v>130</v>
      </c>
      <c r="N89" s="920">
        <f>DATA!N84/2.4</f>
        <v>131.66666666666669</v>
      </c>
      <c r="O89" s="920">
        <f>DATA!O84/2.4</f>
        <v>133.33333333333334</v>
      </c>
      <c r="P89" s="920">
        <f>DATA!P84/2.4</f>
        <v>135</v>
      </c>
      <c r="Q89" s="920">
        <f>DATA!Q84/2.4</f>
        <v>136.25</v>
      </c>
      <c r="R89" s="920">
        <f>DATA!R84/2.4</f>
        <v>137.91666666666669</v>
      </c>
      <c r="S89" s="920">
        <f>DATA!S84/2.4</f>
        <v>139.16666666666669</v>
      </c>
      <c r="T89" s="920">
        <f>DATA!T84/2.4</f>
        <v>140.41666666666669</v>
      </c>
      <c r="U89" s="920">
        <f>DATA!U84/2.4</f>
        <v>141.25</v>
      </c>
      <c r="V89" s="920">
        <f>DATA!V84/2.4</f>
        <v>143.33333333333334</v>
      </c>
      <c r="W89" s="920">
        <f>DATA!W84/2.4</f>
        <v>145.41666666666669</v>
      </c>
      <c r="X89" s="920">
        <f>DATA!X84/2.4</f>
        <v>147.08333333333334</v>
      </c>
      <c r="Y89" s="920">
        <f>DATA!Y84/2.4</f>
        <v>148.75</v>
      </c>
      <c r="Z89" s="920">
        <f>DATA!Z84/2.4</f>
        <v>150.41666666666669</v>
      </c>
      <c r="AA89" s="920">
        <f>DATA!AA84/2.4</f>
        <v>153.75</v>
      </c>
      <c r="AB89" s="920">
        <f>DATA!AB84/2.4</f>
        <v>156.25</v>
      </c>
      <c r="AC89" s="920">
        <f>DATA!AC84/2.4</f>
        <v>158.75</v>
      </c>
    </row>
    <row r="90" spans="1:29" ht="15.75">
      <c r="A90" s="918">
        <f>DATA!A85</f>
        <v>28.6</v>
      </c>
      <c r="B90" s="920">
        <f>DATA!B85/2.4</f>
        <v>97.916666666666671</v>
      </c>
      <c r="C90" s="920">
        <f>DATA!C85/2.4</f>
        <v>97.916666666666671</v>
      </c>
      <c r="D90" s="920">
        <f>DATA!D85/2.4</f>
        <v>103.33333333333334</v>
      </c>
      <c r="E90" s="920">
        <f>DATA!E85/2.4</f>
        <v>107.91666666666667</v>
      </c>
      <c r="F90" s="920">
        <f>DATA!F85/2.4</f>
        <v>111.66666666666667</v>
      </c>
      <c r="G90" s="920">
        <f>DATA!G85/2.4</f>
        <v>115</v>
      </c>
      <c r="H90" s="920">
        <f>DATA!H85/2.4</f>
        <v>117.91666666666667</v>
      </c>
      <c r="I90" s="920">
        <f>DATA!I85/2.4</f>
        <v>120.41666666666667</v>
      </c>
      <c r="J90" s="920">
        <f>DATA!J85/2.4</f>
        <v>122.91666666666667</v>
      </c>
      <c r="K90" s="920">
        <f>DATA!K85/2.4</f>
        <v>125</v>
      </c>
      <c r="L90" s="920">
        <f>DATA!L85/2.4</f>
        <v>127.08333333333334</v>
      </c>
      <c r="M90" s="920">
        <f>DATA!M85/2.4</f>
        <v>129.16666666666669</v>
      </c>
      <c r="N90" s="920">
        <f>DATA!N85/2.4</f>
        <v>130.83333333333334</v>
      </c>
      <c r="O90" s="920">
        <f>DATA!O85/2.4</f>
        <v>131.66666666666669</v>
      </c>
      <c r="P90" s="920">
        <f>DATA!P85/2.4</f>
        <v>134.16666666666669</v>
      </c>
      <c r="Q90" s="920">
        <f>DATA!Q85/2.4</f>
        <v>135.41666666666669</v>
      </c>
      <c r="R90" s="920">
        <f>DATA!R85/2.4</f>
        <v>136.66666666666669</v>
      </c>
      <c r="S90" s="920">
        <f>DATA!S85/2.4</f>
        <v>137.91666666666669</v>
      </c>
      <c r="T90" s="920">
        <f>DATA!T85/2.4</f>
        <v>139.16666666666669</v>
      </c>
      <c r="U90" s="920">
        <f>DATA!U85/2.4</f>
        <v>140.41666666666669</v>
      </c>
      <c r="V90" s="920">
        <f>DATA!V85/2.4</f>
        <v>142.5</v>
      </c>
      <c r="W90" s="920">
        <f>DATA!W85/2.4</f>
        <v>144.16666666666669</v>
      </c>
      <c r="X90" s="920">
        <f>DATA!X85/2.4</f>
        <v>146.25</v>
      </c>
      <c r="Y90" s="920">
        <f>DATA!Y85/2.4</f>
        <v>147.5</v>
      </c>
      <c r="Z90" s="920">
        <f>DATA!Z85/2.4</f>
        <v>149.16666666666669</v>
      </c>
      <c r="AA90" s="920">
        <f>DATA!AA85/2.4</f>
        <v>152.5</v>
      </c>
      <c r="AB90" s="920">
        <f>DATA!AB85/2.4</f>
        <v>155</v>
      </c>
      <c r="AC90" s="920">
        <f>DATA!AC85/2.4</f>
        <v>157.5</v>
      </c>
    </row>
    <row r="91" spans="1:29" ht="15.75">
      <c r="A91" s="918">
        <f>DATA!A86</f>
        <v>28.7</v>
      </c>
      <c r="B91" s="920">
        <f>DATA!B86/2.4</f>
        <v>97.083333333333343</v>
      </c>
      <c r="C91" s="920">
        <f>DATA!C86/2.4</f>
        <v>97.083333333333343</v>
      </c>
      <c r="D91" s="920">
        <f>DATA!D86/2.4</f>
        <v>102.91666666666667</v>
      </c>
      <c r="E91" s="920">
        <f>DATA!E86/2.4</f>
        <v>107.08333333333334</v>
      </c>
      <c r="F91" s="920">
        <f>DATA!F86/2.4</f>
        <v>110.83333333333334</v>
      </c>
      <c r="G91" s="920">
        <f>DATA!G86/2.4</f>
        <v>114.16666666666667</v>
      </c>
      <c r="H91" s="920">
        <f>DATA!H86/2.4</f>
        <v>117.08333333333334</v>
      </c>
      <c r="I91" s="920">
        <f>DATA!I86/2.4</f>
        <v>119.58333333333334</v>
      </c>
      <c r="J91" s="920">
        <f>DATA!J86/2.4</f>
        <v>122.08333333333334</v>
      </c>
      <c r="K91" s="920">
        <f>DATA!K86/2.4</f>
        <v>124.16666666666667</v>
      </c>
      <c r="L91" s="920">
        <f>DATA!L86/2.4</f>
        <v>126.25</v>
      </c>
      <c r="M91" s="920">
        <f>DATA!M86/2.4</f>
        <v>128.33333333333334</v>
      </c>
      <c r="N91" s="920">
        <f>DATA!N86/2.4</f>
        <v>130</v>
      </c>
      <c r="O91" s="920">
        <f>DATA!O86/2.4</f>
        <v>131.66666666666669</v>
      </c>
      <c r="P91" s="920">
        <f>DATA!P86/2.4</f>
        <v>132.91666666666669</v>
      </c>
      <c r="Q91" s="920">
        <f>DATA!Q86/2.4</f>
        <v>134.58333333333334</v>
      </c>
      <c r="R91" s="920">
        <f>DATA!R86/2.4</f>
        <v>135.83333333333334</v>
      </c>
      <c r="S91" s="920">
        <f>DATA!S86/2.4</f>
        <v>137.08333333333334</v>
      </c>
      <c r="T91" s="920">
        <f>DATA!T86/2.4</f>
        <v>138.33333333333334</v>
      </c>
      <c r="U91" s="920">
        <f>DATA!U86/2.4</f>
        <v>139.16666666666669</v>
      </c>
      <c r="V91" s="920">
        <f>DATA!V86/2.4</f>
        <v>141.25</v>
      </c>
      <c r="W91" s="920">
        <f>DATA!W86/2.4</f>
        <v>143.33333333333334</v>
      </c>
      <c r="X91" s="920">
        <f>DATA!X86/2.4</f>
        <v>145</v>
      </c>
      <c r="Y91" s="920">
        <f>DATA!Y86/2.4</f>
        <v>146.66666666666669</v>
      </c>
      <c r="Z91" s="920">
        <f>DATA!Z86/2.4</f>
        <v>147.91666666666669</v>
      </c>
      <c r="AA91" s="920">
        <f>DATA!AA86/2.4</f>
        <v>151.25</v>
      </c>
      <c r="AB91" s="920">
        <f>DATA!AB86/2.4</f>
        <v>154.16666666666669</v>
      </c>
      <c r="AC91" s="920">
        <f>DATA!AC86/2.4</f>
        <v>156.25</v>
      </c>
    </row>
    <row r="92" spans="1:29" ht="15.75">
      <c r="A92" s="918">
        <f>DATA!A87</f>
        <v>28.8</v>
      </c>
      <c r="B92" s="920">
        <f>DATA!B87/2.4</f>
        <v>95.833333333333343</v>
      </c>
      <c r="C92" s="920">
        <f>DATA!C87/2.4</f>
        <v>95.833333333333343</v>
      </c>
      <c r="D92" s="920">
        <f>DATA!D87/2.4</f>
        <v>102.08333333333334</v>
      </c>
      <c r="E92" s="920">
        <f>DATA!E87/2.4</f>
        <v>106.25</v>
      </c>
      <c r="F92" s="920">
        <f>DATA!F87/2.4</f>
        <v>110</v>
      </c>
      <c r="G92" s="920">
        <f>DATA!G87/2.4</f>
        <v>113.33333333333334</v>
      </c>
      <c r="H92" s="920">
        <f>DATA!H87/2.4</f>
        <v>116.25</v>
      </c>
      <c r="I92" s="920">
        <f>DATA!I87/2.4</f>
        <v>118.75</v>
      </c>
      <c r="J92" s="920">
        <f>DATA!J87/2.4</f>
        <v>121.25</v>
      </c>
      <c r="K92" s="920">
        <f>DATA!K87/2.4</f>
        <v>123.33333333333334</v>
      </c>
      <c r="L92" s="920">
        <f>DATA!L87/2.4</f>
        <v>125.41666666666667</v>
      </c>
      <c r="M92" s="920">
        <f>DATA!M87/2.4</f>
        <v>127.08333333333334</v>
      </c>
      <c r="N92" s="920">
        <f>DATA!N87/2.4</f>
        <v>128.75</v>
      </c>
      <c r="O92" s="920">
        <f>DATA!O87/2.4</f>
        <v>130.41666666666669</v>
      </c>
      <c r="P92" s="920">
        <f>DATA!P87/2.4</f>
        <v>132.08333333333334</v>
      </c>
      <c r="Q92" s="920">
        <f>DATA!Q87/2.4</f>
        <v>133.33333333333334</v>
      </c>
      <c r="R92" s="920">
        <f>DATA!R87/2.4</f>
        <v>134.58333333333334</v>
      </c>
      <c r="S92" s="920">
        <f>DATA!S87/2.4</f>
        <v>135.83333333333334</v>
      </c>
      <c r="T92" s="920">
        <f>DATA!T87/2.4</f>
        <v>137.08333333333334</v>
      </c>
      <c r="U92" s="920">
        <f>DATA!U87/2.4</f>
        <v>138.33333333333334</v>
      </c>
      <c r="V92" s="920">
        <f>DATA!V87/2.4</f>
        <v>140.41666666666669</v>
      </c>
      <c r="W92" s="920">
        <f>DATA!W87/2.4</f>
        <v>142.08333333333334</v>
      </c>
      <c r="X92" s="920">
        <f>DATA!X87/2.4</f>
        <v>143.75</v>
      </c>
      <c r="Y92" s="920">
        <f>DATA!Y87/2.4</f>
        <v>145.41666666666669</v>
      </c>
      <c r="Z92" s="920">
        <f>DATA!Z87/2.4</f>
        <v>147.08333333333334</v>
      </c>
      <c r="AA92" s="920">
        <f>DATA!AA87/2.4</f>
        <v>150</v>
      </c>
      <c r="AB92" s="920">
        <f>DATA!AB87/2.4</f>
        <v>152.91666666666669</v>
      </c>
      <c r="AC92" s="920">
        <f>DATA!AC87/2.4</f>
        <v>155</v>
      </c>
    </row>
    <row r="93" spans="1:29" ht="15.75">
      <c r="A93" s="918">
        <f>DATA!A88</f>
        <v>28.9</v>
      </c>
      <c r="B93" s="920">
        <f>DATA!B88/2.4</f>
        <v>94.583333333333343</v>
      </c>
      <c r="C93" s="920">
        <f>DATA!C88/2.4</f>
        <v>94.583333333333343</v>
      </c>
      <c r="D93" s="920">
        <f>DATA!D88/2.4</f>
        <v>101.25</v>
      </c>
      <c r="E93" s="920">
        <f>DATA!E88/2.4</f>
        <v>105.41666666666667</v>
      </c>
      <c r="F93" s="920">
        <f>DATA!F88/2.4</f>
        <v>109.16666666666667</v>
      </c>
      <c r="G93" s="920">
        <f>DATA!G88/2.4</f>
        <v>112.5</v>
      </c>
      <c r="H93" s="920">
        <f>DATA!H88/2.4</f>
        <v>115.41666666666667</v>
      </c>
      <c r="I93" s="920">
        <f>DATA!I88/2.4</f>
        <v>117.91666666666667</v>
      </c>
      <c r="J93" s="920">
        <f>DATA!J88/2.4</f>
        <v>120.41666666666667</v>
      </c>
      <c r="K93" s="920">
        <f>DATA!K88/2.4</f>
        <v>122.5</v>
      </c>
      <c r="L93" s="920">
        <f>DATA!L88/2.4</f>
        <v>124.58333333333334</v>
      </c>
      <c r="M93" s="920">
        <f>DATA!M88/2.4</f>
        <v>126.25</v>
      </c>
      <c r="N93" s="920">
        <f>DATA!N88/2.4</f>
        <v>127.91666666666667</v>
      </c>
      <c r="O93" s="920">
        <f>DATA!O88/2.4</f>
        <v>129.58333333333334</v>
      </c>
      <c r="P93" s="920">
        <f>DATA!P88/2.4</f>
        <v>130.83333333333334</v>
      </c>
      <c r="Q93" s="920">
        <f>DATA!Q88/2.4</f>
        <v>132.5</v>
      </c>
      <c r="R93" s="920">
        <f>DATA!R88/2.4</f>
        <v>133.75</v>
      </c>
      <c r="S93" s="920">
        <f>DATA!S88/2.4</f>
        <v>135</v>
      </c>
      <c r="T93" s="920">
        <f>DATA!T88/2.4</f>
        <v>136.25</v>
      </c>
      <c r="U93" s="920">
        <f>DATA!U88/2.4</f>
        <v>137.08333333333334</v>
      </c>
      <c r="V93" s="920">
        <f>DATA!V88/2.4</f>
        <v>139.16666666666669</v>
      </c>
      <c r="W93" s="920">
        <f>DATA!W88/2.4</f>
        <v>141.25</v>
      </c>
      <c r="X93" s="920">
        <f>DATA!X88/2.4</f>
        <v>142.91666666666669</v>
      </c>
      <c r="Y93" s="920">
        <f>DATA!Y88/2.4</f>
        <v>144.58333333333334</v>
      </c>
      <c r="Z93" s="920">
        <f>DATA!Z88/2.4</f>
        <v>145.83333333333334</v>
      </c>
      <c r="AA93" s="920">
        <f>DATA!AA88/2.4</f>
        <v>149.16666666666669</v>
      </c>
      <c r="AB93" s="920">
        <f>DATA!AB88/2.4</f>
        <v>151.66666666666669</v>
      </c>
      <c r="AC93" s="920">
        <f>DATA!AC88/2.4</f>
        <v>154.16666666666669</v>
      </c>
    </row>
    <row r="94" spans="1:29" ht="15.75">
      <c r="A94" s="918">
        <f>DATA!A89</f>
        <v>29</v>
      </c>
      <c r="B94" s="920">
        <f>DATA!B89/2.4</f>
        <v>93.75</v>
      </c>
      <c r="C94" s="920">
        <f>DATA!C89/2.4</f>
        <v>93.75</v>
      </c>
      <c r="D94" s="920">
        <f>DATA!D89/2.4</f>
        <v>100.41666666666667</v>
      </c>
      <c r="E94" s="920">
        <f>DATA!E89/2.4</f>
        <v>104.58333333333334</v>
      </c>
      <c r="F94" s="920">
        <f>DATA!F89/2.4</f>
        <v>109.16666666666667</v>
      </c>
      <c r="G94" s="920">
        <f>DATA!G89/2.4</f>
        <v>111.66666666666667</v>
      </c>
      <c r="H94" s="920">
        <f>DATA!H89/2.4</f>
        <v>114.16666666666667</v>
      </c>
      <c r="I94" s="920">
        <f>DATA!I89/2.4</f>
        <v>117.08333333333334</v>
      </c>
      <c r="J94" s="920">
        <f>DATA!J89/2.4</f>
        <v>119.16666666666667</v>
      </c>
      <c r="K94" s="920">
        <f>DATA!K89/2.4</f>
        <v>121.25</v>
      </c>
      <c r="L94" s="920">
        <f>DATA!L89/2.4</f>
        <v>123.33333333333334</v>
      </c>
      <c r="M94" s="920">
        <f>DATA!M89/2.4</f>
        <v>125.41666666666667</v>
      </c>
      <c r="N94" s="920">
        <f>DATA!N89/2.4</f>
        <v>127.08333333333334</v>
      </c>
      <c r="O94" s="920">
        <f>DATA!O89/2.4</f>
        <v>128.33333333333334</v>
      </c>
      <c r="P94" s="920">
        <f>DATA!P89/2.4</f>
        <v>130</v>
      </c>
      <c r="Q94" s="920">
        <f>DATA!Q89/2.4</f>
        <v>131.25</v>
      </c>
      <c r="R94" s="920">
        <f>DATA!R89/2.4</f>
        <v>132.5</v>
      </c>
      <c r="S94" s="920">
        <f>DATA!S89/2.4</f>
        <v>133.75</v>
      </c>
      <c r="T94" s="920">
        <f>DATA!T89/2.4</f>
        <v>135</v>
      </c>
      <c r="U94" s="920">
        <f>DATA!U89/2.4</f>
        <v>136.25</v>
      </c>
      <c r="V94" s="920">
        <f>DATA!V89/2.4</f>
        <v>138.33333333333334</v>
      </c>
      <c r="W94" s="920">
        <f>DATA!W89/2.4</f>
        <v>140</v>
      </c>
      <c r="X94" s="920">
        <f>DATA!X89/2.4</f>
        <v>141.66666666666669</v>
      </c>
      <c r="Y94" s="920">
        <f>DATA!Y89/2.4</f>
        <v>143.33333333333334</v>
      </c>
      <c r="Z94" s="920">
        <f>DATA!Z89/2.4</f>
        <v>144.58333333333334</v>
      </c>
      <c r="AA94" s="920">
        <f>DATA!AA89/2.4</f>
        <v>147.91666666666669</v>
      </c>
      <c r="AB94" s="920">
        <f>DATA!AB89/2.4</f>
        <v>150.41666666666669</v>
      </c>
      <c r="AC94" s="920">
        <f>DATA!AC89/2.4</f>
        <v>152.91666666666669</v>
      </c>
    </row>
    <row r="95" spans="1:29" ht="15.75">
      <c r="A95" s="918">
        <f>DATA!A90</f>
        <v>29.1</v>
      </c>
      <c r="B95" s="920">
        <f>DATA!B90/2.4</f>
        <v>92.5</v>
      </c>
      <c r="C95" s="920">
        <f>DATA!C90/2.4</f>
        <v>92.5</v>
      </c>
      <c r="D95" s="920">
        <f>DATA!D90/2.4</f>
        <v>100</v>
      </c>
      <c r="E95" s="920">
        <f>DATA!E90/2.4</f>
        <v>103.75</v>
      </c>
      <c r="F95" s="920">
        <f>DATA!F90/2.4</f>
        <v>107.5</v>
      </c>
      <c r="G95" s="920">
        <f>DATA!G90/2.4</f>
        <v>110.41666666666667</v>
      </c>
      <c r="H95" s="920">
        <f>DATA!H90/2.4</f>
        <v>113.33333333333334</v>
      </c>
      <c r="I95" s="920">
        <f>DATA!I90/2.4</f>
        <v>115.83333333333334</v>
      </c>
      <c r="J95" s="920">
        <f>DATA!J90/2.4</f>
        <v>118.33333333333334</v>
      </c>
      <c r="K95" s="920">
        <f>DATA!K90/2.4</f>
        <v>120.41666666666667</v>
      </c>
      <c r="L95" s="920">
        <f>DATA!L90/2.4</f>
        <v>122.5</v>
      </c>
      <c r="M95" s="920">
        <f>DATA!M90/2.4</f>
        <v>165.83333333333334</v>
      </c>
      <c r="N95" s="920">
        <f>DATA!N90/2.4</f>
        <v>125.83333333333334</v>
      </c>
      <c r="O95" s="920">
        <f>DATA!O90/2.4</f>
        <v>127.5</v>
      </c>
      <c r="P95" s="920">
        <f>DATA!P90/2.4</f>
        <v>129.16666666666669</v>
      </c>
      <c r="Q95" s="920">
        <f>DATA!Q90/2.4</f>
        <v>130.41666666666669</v>
      </c>
      <c r="R95" s="920">
        <f>DATA!R90/2.4</f>
        <v>132.5</v>
      </c>
      <c r="S95" s="920">
        <f>DATA!S90/2.4</f>
        <v>132.91666666666669</v>
      </c>
      <c r="T95" s="920">
        <f>DATA!T90/2.4</f>
        <v>134.16666666666669</v>
      </c>
      <c r="U95" s="920">
        <f>DATA!U90/2.4</f>
        <v>135</v>
      </c>
      <c r="V95" s="920">
        <f>DATA!V90/2.4</f>
        <v>137.08333333333334</v>
      </c>
      <c r="W95" s="920">
        <f>DATA!W90/2.4</f>
        <v>139.16666666666669</v>
      </c>
      <c r="X95" s="920">
        <f>DATA!X90/2.4</f>
        <v>140.83333333333334</v>
      </c>
      <c r="Y95" s="920">
        <f>DATA!Y90/2.4</f>
        <v>142.08333333333334</v>
      </c>
      <c r="Z95" s="920">
        <f>DATA!Z90/2.4</f>
        <v>143.75</v>
      </c>
      <c r="AA95" s="920">
        <f>DATA!AA90/2.4</f>
        <v>146.66666666666669</v>
      </c>
      <c r="AB95" s="920">
        <f>DATA!AB90/2.4</f>
        <v>149.16666666666669</v>
      </c>
      <c r="AC95" s="920">
        <f>DATA!AC90/2.4</f>
        <v>151.66666666666669</v>
      </c>
    </row>
    <row r="96" spans="1:29" ht="15.75">
      <c r="A96" s="918">
        <f>DATA!A91</f>
        <v>29.2</v>
      </c>
      <c r="B96" s="920">
        <f>DATA!B91/2.4</f>
        <v>91.666666666666671</v>
      </c>
      <c r="C96" s="920">
        <f>DATA!C91/2.4</f>
        <v>91.666666666666671</v>
      </c>
      <c r="D96" s="920">
        <f>DATA!D91/2.4</f>
        <v>98.75</v>
      </c>
      <c r="E96" s="920">
        <f>DATA!E91/2.4</f>
        <v>102.91666666666667</v>
      </c>
      <c r="F96" s="920">
        <f>DATA!F91/2.4</f>
        <v>106.66666666666667</v>
      </c>
      <c r="G96" s="920">
        <f>DATA!G91/2.4</f>
        <v>109.58333333333334</v>
      </c>
      <c r="H96" s="920">
        <f>DATA!H91/2.4</f>
        <v>112.5</v>
      </c>
      <c r="I96" s="920">
        <f>DATA!I91/2.4</f>
        <v>115</v>
      </c>
      <c r="J96" s="920">
        <f>DATA!J91/2.4</f>
        <v>117.5</v>
      </c>
      <c r="K96" s="920">
        <f>DATA!K91/2.4</f>
        <v>119.58333333333334</v>
      </c>
      <c r="L96" s="920">
        <f>DATA!L91/2.4</f>
        <v>121.66666666666667</v>
      </c>
      <c r="M96" s="920">
        <f>DATA!M91/2.4</f>
        <v>123.33333333333334</v>
      </c>
      <c r="N96" s="920">
        <f>DATA!N91/2.4</f>
        <v>125</v>
      </c>
      <c r="O96" s="920">
        <f>DATA!O91/2.4</f>
        <v>126.66666666666667</v>
      </c>
      <c r="P96" s="920">
        <f>DATA!P91/2.4</f>
        <v>127.91666666666667</v>
      </c>
      <c r="Q96" s="920">
        <f>DATA!Q91/2.4</f>
        <v>129.16666666666669</v>
      </c>
      <c r="R96" s="920">
        <f>DATA!R91/2.4</f>
        <v>130.41666666666669</v>
      </c>
      <c r="S96" s="920">
        <f>DATA!S91/2.4</f>
        <v>131.66666666666669</v>
      </c>
      <c r="T96" s="920">
        <f>DATA!T91/2.4</f>
        <v>132.91666666666669</v>
      </c>
      <c r="U96" s="920">
        <f>DATA!U91/2.4</f>
        <v>134.16666666666669</v>
      </c>
      <c r="V96" s="920">
        <f>DATA!V91/2.4</f>
        <v>136.25</v>
      </c>
      <c r="W96" s="920">
        <f>DATA!W91/2.4</f>
        <v>137.91666666666669</v>
      </c>
      <c r="X96" s="920">
        <f>DATA!X91/2.4</f>
        <v>139.58333333333334</v>
      </c>
      <c r="Y96" s="920">
        <f>DATA!Y91/2.4</f>
        <v>141.25</v>
      </c>
      <c r="Z96" s="920">
        <f>DATA!Z91/2.4</f>
        <v>142.5</v>
      </c>
      <c r="AA96" s="920">
        <f>DATA!AA91/2.4</f>
        <v>145.41666666666669</v>
      </c>
      <c r="AB96" s="920">
        <f>DATA!AB91/2.4</f>
        <v>148.33333333333334</v>
      </c>
      <c r="AC96" s="920">
        <f>DATA!AC91/2.4</f>
        <v>150.41666666666669</v>
      </c>
    </row>
    <row r="97" spans="1:29" ht="15.75">
      <c r="A97" s="918">
        <f>DATA!A92</f>
        <v>29.3</v>
      </c>
      <c r="B97" s="920">
        <f>DATA!B92/2.4</f>
        <v>90.416666666666671</v>
      </c>
      <c r="C97" s="920">
        <f>DATA!C92/2.4</f>
        <v>90.416666666666671</v>
      </c>
      <c r="D97" s="920">
        <f>DATA!D92/2.4</f>
        <v>97.5</v>
      </c>
      <c r="E97" s="920">
        <f>DATA!E92/2.4</f>
        <v>102.08333333333334</v>
      </c>
      <c r="F97" s="920">
        <f>DATA!F92/2.4</f>
        <v>105.83333333333334</v>
      </c>
      <c r="G97" s="920">
        <f>DATA!G92/2.4</f>
        <v>117.08333333333334</v>
      </c>
      <c r="H97" s="920">
        <f>DATA!H92/2.4</f>
        <v>111.66666666666667</v>
      </c>
      <c r="I97" s="920">
        <f>DATA!I92/2.4</f>
        <v>114.16666666666667</v>
      </c>
      <c r="J97" s="920">
        <f>DATA!J92/2.4</f>
        <v>116.66666666666667</v>
      </c>
      <c r="K97" s="920">
        <f>DATA!K92/2.4</f>
        <v>118.75</v>
      </c>
      <c r="L97" s="920">
        <f>DATA!L92/2.4</f>
        <v>120.41666666666667</v>
      </c>
      <c r="M97" s="920">
        <f>DATA!M92/2.4</f>
        <v>122.5</v>
      </c>
      <c r="N97" s="920">
        <f>DATA!N92/2.4</f>
        <v>124.16666666666667</v>
      </c>
      <c r="O97" s="920">
        <f>DATA!O92/2.4</f>
        <v>125.41666666666667</v>
      </c>
      <c r="P97" s="920">
        <f>DATA!P92/2.4</f>
        <v>127.08333333333334</v>
      </c>
      <c r="Q97" s="920">
        <f>DATA!Q92/2.4</f>
        <v>128.33333333333334</v>
      </c>
      <c r="R97" s="920">
        <f>DATA!R92/2.4</f>
        <v>129.58333333333334</v>
      </c>
      <c r="S97" s="920">
        <f>DATA!S92/2.4</f>
        <v>130.83333333333334</v>
      </c>
      <c r="T97" s="920">
        <f>DATA!T92/2.4</f>
        <v>132.08333333333334</v>
      </c>
      <c r="U97" s="920">
        <f>DATA!U92/2.4</f>
        <v>132.91666666666669</v>
      </c>
      <c r="V97" s="920">
        <f>DATA!V92/2.4</f>
        <v>135</v>
      </c>
      <c r="W97" s="920">
        <f>DATA!W92/2.4</f>
        <v>136.66666666666669</v>
      </c>
      <c r="X97" s="920">
        <f>DATA!X92/2.4</f>
        <v>138.33333333333334</v>
      </c>
      <c r="Y97" s="920">
        <f>DATA!Y92/2.4</f>
        <v>140</v>
      </c>
      <c r="Z97" s="920">
        <f>DATA!Z92/2.4</f>
        <v>141.25</v>
      </c>
      <c r="AA97" s="920">
        <f>DATA!AA92/2.4</f>
        <v>144.58333333333334</v>
      </c>
      <c r="AB97" s="920">
        <f>DATA!AB92/2.4</f>
        <v>147.08333333333334</v>
      </c>
      <c r="AC97" s="920">
        <f>DATA!AC92/2.4</f>
        <v>149.16666666666669</v>
      </c>
    </row>
    <row r="98" spans="1:29" ht="15.75">
      <c r="A98" s="918">
        <f>DATA!A93</f>
        <v>29.4</v>
      </c>
      <c r="B98" s="920">
        <f>DATA!B93/2.4</f>
        <v>89.166666666666671</v>
      </c>
      <c r="C98" s="920">
        <f>DATA!C93/2.4</f>
        <v>89.166666666666671</v>
      </c>
      <c r="D98" s="920">
        <f>DATA!D93/2.4</f>
        <v>96.25</v>
      </c>
      <c r="E98" s="920">
        <f>DATA!E93/2.4</f>
        <v>101.25</v>
      </c>
      <c r="F98" s="920">
        <f>DATA!F93/2.4</f>
        <v>105</v>
      </c>
      <c r="G98" s="920">
        <f>DATA!G93/2.4</f>
        <v>107.91666666666667</v>
      </c>
      <c r="H98" s="920">
        <f>DATA!H93/2.4</f>
        <v>110.83333333333334</v>
      </c>
      <c r="I98" s="920">
        <f>DATA!I93/2.4</f>
        <v>113.33333333333334</v>
      </c>
      <c r="J98" s="920">
        <f>DATA!J93/2.4</f>
        <v>115.41666666666667</v>
      </c>
      <c r="K98" s="920">
        <f>DATA!K93/2.4</f>
        <v>117.5</v>
      </c>
      <c r="L98" s="920">
        <f>DATA!L93/2.4</f>
        <v>119.58333333333334</v>
      </c>
      <c r="M98" s="920">
        <f>DATA!M93/2.4</f>
        <v>121.25</v>
      </c>
      <c r="N98" s="920">
        <f>DATA!N93/2.4</f>
        <v>122.91666666666667</v>
      </c>
      <c r="O98" s="920">
        <f>DATA!O93/2.4</f>
        <v>124.58333333333334</v>
      </c>
      <c r="P98" s="920">
        <f>DATA!P93/2.4</f>
        <v>125.83333333333334</v>
      </c>
      <c r="Q98" s="920">
        <f>DATA!Q93/2.4</f>
        <v>127.08333333333334</v>
      </c>
      <c r="R98" s="920">
        <f>DATA!R93/2.4</f>
        <v>128.33333333333334</v>
      </c>
      <c r="S98" s="920">
        <f>DATA!S93/2.4</f>
        <v>129.58333333333334</v>
      </c>
      <c r="T98" s="920">
        <f>DATA!T93/2.4</f>
        <v>130.83333333333334</v>
      </c>
      <c r="U98" s="920">
        <f>DATA!U93/2.4</f>
        <v>132.08333333333334</v>
      </c>
      <c r="V98" s="920">
        <f>DATA!V93/2.4</f>
        <v>133.75</v>
      </c>
      <c r="W98" s="920">
        <f>DATA!W93/2.4</f>
        <v>135.83333333333334</v>
      </c>
      <c r="X98" s="920">
        <f>DATA!X93/2.4</f>
        <v>137.5</v>
      </c>
      <c r="Y98" s="920">
        <f>DATA!Y93/2.4</f>
        <v>138.75</v>
      </c>
      <c r="Z98" s="920">
        <f>DATA!Z93/2.4</f>
        <v>140</v>
      </c>
      <c r="AA98" s="920">
        <f>DATA!AA93/2.4</f>
        <v>143.33333333333334</v>
      </c>
      <c r="AB98" s="920">
        <f>DATA!AB93/2.4</f>
        <v>145.83333333333334</v>
      </c>
      <c r="AC98" s="920">
        <f>DATA!AC93/2.4</f>
        <v>147.91666666666669</v>
      </c>
    </row>
    <row r="99" spans="1:29" ht="15.75">
      <c r="A99" s="918">
        <f>DATA!A94</f>
        <v>29.5</v>
      </c>
      <c r="B99" s="920">
        <f>DATA!B94/2.4</f>
        <v>87.916666666666671</v>
      </c>
      <c r="C99" s="920">
        <f>DATA!C94/2.4</f>
        <v>87.916666666666671</v>
      </c>
      <c r="D99" s="920">
        <f>DATA!D94/2.4</f>
        <v>95</v>
      </c>
      <c r="E99" s="920">
        <f>DATA!E94/2.4</f>
        <v>100.41666666666667</v>
      </c>
      <c r="F99" s="920">
        <f>DATA!F94/2.4</f>
        <v>104.16666666666667</v>
      </c>
      <c r="G99" s="920">
        <f>DATA!G94/2.4</f>
        <v>107.08333333333334</v>
      </c>
      <c r="H99" s="920">
        <f>DATA!H94/2.4</f>
        <v>110</v>
      </c>
      <c r="I99" s="920">
        <f>DATA!I94/2.4</f>
        <v>112.5</v>
      </c>
      <c r="J99" s="920">
        <f>DATA!J94/2.4</f>
        <v>114.58333333333334</v>
      </c>
      <c r="K99" s="920">
        <f>DATA!K94/2.4</f>
        <v>116.66666666666667</v>
      </c>
      <c r="L99" s="920">
        <f>DATA!L94/2.4</f>
        <v>118.75</v>
      </c>
      <c r="M99" s="920">
        <f>DATA!M94/2.4</f>
        <v>120.41666666666667</v>
      </c>
      <c r="N99" s="920">
        <f>DATA!N94/2.4</f>
        <v>122.08333333333334</v>
      </c>
      <c r="O99" s="920">
        <f>DATA!O94/2.4</f>
        <v>123.33333333333334</v>
      </c>
      <c r="P99" s="920">
        <f>DATA!P94/2.4</f>
        <v>125</v>
      </c>
      <c r="Q99" s="920">
        <f>DATA!Q94/2.4</f>
        <v>126.25</v>
      </c>
      <c r="R99" s="920">
        <f>DATA!R94/2.4</f>
        <v>127.5</v>
      </c>
      <c r="S99" s="920">
        <f>DATA!S94/2.4</f>
        <v>128.75</v>
      </c>
      <c r="T99" s="920">
        <f>DATA!T94/2.4</f>
        <v>129.58333333333334</v>
      </c>
      <c r="U99" s="920">
        <f>DATA!U94/2.4</f>
        <v>130.83333333333334</v>
      </c>
      <c r="V99" s="920">
        <f>DATA!V94/2.4</f>
        <v>132.91666666666669</v>
      </c>
      <c r="W99" s="920">
        <f>DATA!W94/2.4</f>
        <v>134.58333333333334</v>
      </c>
      <c r="X99" s="920">
        <f>DATA!X94/2.4</f>
        <v>136.25</v>
      </c>
      <c r="Y99" s="920">
        <f>DATA!Y94/2.4</f>
        <v>137.5</v>
      </c>
      <c r="Z99" s="920">
        <f>DATA!Z94/2.4</f>
        <v>139.16666666666669</v>
      </c>
      <c r="AA99" s="920">
        <f>DATA!AA94/2.4</f>
        <v>142.08333333333334</v>
      </c>
      <c r="AB99" s="920">
        <f>DATA!AB94/2.4</f>
        <v>143.75</v>
      </c>
      <c r="AC99" s="920">
        <f>DATA!AC94/2.4</f>
        <v>146.66666666666669</v>
      </c>
    </row>
    <row r="100" spans="1:29" ht="15.75">
      <c r="A100" s="918">
        <f>DATA!A95</f>
        <v>29.6</v>
      </c>
      <c r="B100" s="920">
        <f>DATA!B95/2.4</f>
        <v>87.083333333333343</v>
      </c>
      <c r="C100" s="920">
        <f>DATA!C95/2.4</f>
        <v>87.083333333333343</v>
      </c>
      <c r="D100" s="920">
        <f>DATA!D95/2.4</f>
        <v>93.75</v>
      </c>
      <c r="E100" s="920">
        <f>DATA!E95/2.4</f>
        <v>100</v>
      </c>
      <c r="F100" s="920">
        <f>DATA!F95/2.4</f>
        <v>102.91666666666667</v>
      </c>
      <c r="G100" s="920">
        <f>DATA!G95/2.4</f>
        <v>106.25</v>
      </c>
      <c r="H100" s="920">
        <f>DATA!H95/2.4</f>
        <v>108.75</v>
      </c>
      <c r="I100" s="920">
        <f>DATA!I95/2.4</f>
        <v>111.25</v>
      </c>
      <c r="J100" s="920">
        <f>DATA!J95/2.4</f>
        <v>113.75</v>
      </c>
      <c r="K100" s="920">
        <f>DATA!K95/2.4</f>
        <v>115.83333333333334</v>
      </c>
      <c r="L100" s="920">
        <f>DATA!L95/2.4</f>
        <v>117.5</v>
      </c>
      <c r="M100" s="920">
        <f>DATA!M95/2.4</f>
        <v>119.16666666666667</v>
      </c>
      <c r="N100" s="920">
        <f>DATA!N95/2.4</f>
        <v>120.83333333333334</v>
      </c>
      <c r="O100" s="920">
        <f>DATA!O95/2.4</f>
        <v>122.5</v>
      </c>
      <c r="P100" s="920">
        <f>DATA!P95/2.4</f>
        <v>123.75</v>
      </c>
      <c r="Q100" s="920">
        <f>DATA!Q95/2.4</f>
        <v>125</v>
      </c>
      <c r="R100" s="920">
        <f>DATA!R95/2.4</f>
        <v>126.25</v>
      </c>
      <c r="S100" s="920">
        <f>DATA!S95/2.4</f>
        <v>127.5</v>
      </c>
      <c r="T100" s="920">
        <f>DATA!T95/2.4</f>
        <v>128.75</v>
      </c>
      <c r="U100" s="920">
        <f>DATA!U95/2.4</f>
        <v>129.58333333333334</v>
      </c>
      <c r="V100" s="920">
        <f>DATA!V95/2.4</f>
        <v>131.66666666666669</v>
      </c>
      <c r="W100" s="920">
        <f>DATA!W95/2.4</f>
        <v>133.33333333333334</v>
      </c>
      <c r="X100" s="920">
        <f>DATA!X95/2.4</f>
        <v>135</v>
      </c>
      <c r="Y100" s="920">
        <f>DATA!Y95/2.4</f>
        <v>136.66666666666669</v>
      </c>
      <c r="Z100" s="920">
        <f>DATA!Z95/2.4</f>
        <v>137.91666666666669</v>
      </c>
      <c r="AA100" s="920">
        <f>DATA!AA95/2.4</f>
        <v>140.83333333333334</v>
      </c>
      <c r="AB100" s="920">
        <f>DATA!AB95/2.4</f>
        <v>142.08333333333334</v>
      </c>
      <c r="AC100" s="920">
        <f>DATA!AC95/2.4</f>
        <v>145.83333333333334</v>
      </c>
    </row>
    <row r="101" spans="1:29" ht="15.75">
      <c r="A101" s="918">
        <f>DATA!A96</f>
        <v>29.7</v>
      </c>
      <c r="B101" s="920">
        <f>DATA!B96/2.4</f>
        <v>85.833333333333343</v>
      </c>
      <c r="C101" s="920">
        <f>DATA!C96/2.4</f>
        <v>85.833333333333343</v>
      </c>
      <c r="D101" s="920">
        <f>DATA!D96/2.4</f>
        <v>92.5</v>
      </c>
      <c r="E101" s="920">
        <f>DATA!E96/2.4</f>
        <v>98.75</v>
      </c>
      <c r="F101" s="920">
        <f>DATA!F96/2.4</f>
        <v>102.08333333333334</v>
      </c>
      <c r="G101" s="920">
        <f>DATA!G96/2.4</f>
        <v>105.41666666666667</v>
      </c>
      <c r="H101" s="920">
        <f>DATA!H96/2.4</f>
        <v>107.91666666666667</v>
      </c>
      <c r="I101" s="920">
        <f>DATA!I96/2.4</f>
        <v>110.41666666666667</v>
      </c>
      <c r="J101" s="920">
        <f>DATA!J96/2.4</f>
        <v>112.91666666666667</v>
      </c>
      <c r="K101" s="920">
        <f>DATA!K96/2.4</f>
        <v>114.58333333333334</v>
      </c>
      <c r="L101" s="920">
        <f>DATA!L96/2.4</f>
        <v>116.66666666666667</v>
      </c>
      <c r="M101" s="920">
        <f>DATA!M96/2.4</f>
        <v>118.33333333333334</v>
      </c>
      <c r="N101" s="920">
        <f>DATA!N96/2.4</f>
        <v>120</v>
      </c>
      <c r="O101" s="920">
        <f>DATA!O96/2.4</f>
        <v>121.25</v>
      </c>
      <c r="P101" s="920">
        <f>DATA!P96/2.4</f>
        <v>122.91666666666667</v>
      </c>
      <c r="Q101" s="920">
        <f>DATA!Q96/2.4</f>
        <v>124.16666666666667</v>
      </c>
      <c r="R101" s="920">
        <f>DATA!R96/2.4</f>
        <v>125.41666666666667</v>
      </c>
      <c r="S101" s="920">
        <f>DATA!S96/2.4</f>
        <v>126.66666666666667</v>
      </c>
      <c r="T101" s="920">
        <f>DATA!T96/2.4</f>
        <v>127.08333333333334</v>
      </c>
      <c r="U101" s="920">
        <f>DATA!U96/2.4</f>
        <v>128.75</v>
      </c>
      <c r="V101" s="920">
        <f>DATA!V96/2.4</f>
        <v>130.41666666666669</v>
      </c>
      <c r="W101" s="920">
        <f>DATA!W96/2.4</f>
        <v>132.5</v>
      </c>
      <c r="X101" s="920">
        <f>DATA!X96/2.4</f>
        <v>133.75</v>
      </c>
      <c r="Y101" s="920">
        <f>DATA!Y96/2.4</f>
        <v>135.41666666666669</v>
      </c>
      <c r="Z101" s="920">
        <f>DATA!Z96/2.4</f>
        <v>136.66666666666669</v>
      </c>
      <c r="AA101" s="920">
        <f>DATA!AA96/2.4</f>
        <v>139.58333333333334</v>
      </c>
      <c r="AB101" s="920">
        <f>DATA!AB96/2.4</f>
        <v>141.66666666666669</v>
      </c>
      <c r="AC101" s="920">
        <f>DATA!AC96/2.4</f>
        <v>144.58333333333334</v>
      </c>
    </row>
    <row r="102" spans="1:29" ht="15.75">
      <c r="A102" s="918">
        <f>DATA!A97</f>
        <v>29.8</v>
      </c>
      <c r="B102" s="920">
        <f>DATA!B97/2.4</f>
        <v>84.583333333333343</v>
      </c>
      <c r="C102" s="920">
        <f>DATA!C97/2.4</f>
        <v>84.583333333333343</v>
      </c>
      <c r="D102" s="920">
        <f>DATA!D97/2.4</f>
        <v>91.25</v>
      </c>
      <c r="E102" s="920">
        <f>DATA!E97/2.4</f>
        <v>97.5</v>
      </c>
      <c r="F102" s="920">
        <f>DATA!F97/2.4</f>
        <v>101.25</v>
      </c>
      <c r="G102" s="920">
        <f>DATA!G97/2.4</f>
        <v>104.58333333333334</v>
      </c>
      <c r="H102" s="920">
        <f>DATA!H97/2.4</f>
        <v>107.08333333333334</v>
      </c>
      <c r="I102" s="920">
        <f>DATA!I97/2.4</f>
        <v>109.58333333333334</v>
      </c>
      <c r="J102" s="920">
        <f>DATA!J97/2.4</f>
        <v>111.66666666666667</v>
      </c>
      <c r="K102" s="920">
        <f>DATA!K97/2.4</f>
        <v>113.75</v>
      </c>
      <c r="L102" s="920">
        <f>DATA!L97/2.4</f>
        <v>115.41666666666667</v>
      </c>
      <c r="M102" s="920">
        <f>DATA!M97/2.4</f>
        <v>117.5</v>
      </c>
      <c r="N102" s="920">
        <f>DATA!N97/2.4</f>
        <v>118.75</v>
      </c>
      <c r="O102" s="920">
        <f>DATA!O97/2.4</f>
        <v>120.41666666666667</v>
      </c>
      <c r="P102" s="920">
        <f>DATA!P97/2.4</f>
        <v>121.66666666666667</v>
      </c>
      <c r="Q102" s="920">
        <f>DATA!Q97/2.4</f>
        <v>122.91666666666667</v>
      </c>
      <c r="R102" s="920">
        <f>DATA!R97/2.4</f>
        <v>124.16666666666667</v>
      </c>
      <c r="S102" s="920">
        <f>DATA!S97/2.4</f>
        <v>125.41666666666667</v>
      </c>
      <c r="T102" s="920">
        <f>DATA!T97/2.4</f>
        <v>126.66666666666667</v>
      </c>
      <c r="U102" s="920">
        <f>DATA!U97/2.4</f>
        <v>127.5</v>
      </c>
      <c r="V102" s="920">
        <f>DATA!V97/2.4</f>
        <v>129.58333333333334</v>
      </c>
      <c r="W102" s="920">
        <f>DATA!W97/2.4</f>
        <v>131.25</v>
      </c>
      <c r="X102" s="920">
        <f>DATA!X97/2.4</f>
        <v>132.91666666666669</v>
      </c>
      <c r="Y102" s="920">
        <f>DATA!Y97/2.4</f>
        <v>134.16666666666669</v>
      </c>
      <c r="Z102" s="920">
        <f>DATA!Z97/2.4</f>
        <v>135.41666666666669</v>
      </c>
      <c r="AA102" s="920">
        <f>DATA!AA97/2.4</f>
        <v>138.75</v>
      </c>
      <c r="AB102" s="920">
        <f>DATA!AB97/2.4</f>
        <v>141.25</v>
      </c>
      <c r="AC102" s="920">
        <f>DATA!AC97/2.4</f>
        <v>143.33333333333334</v>
      </c>
    </row>
    <row r="103" spans="1:29" ht="15.75">
      <c r="A103" s="918">
        <f>DATA!A98</f>
        <v>29.9</v>
      </c>
      <c r="B103" s="920">
        <f>DATA!B98/2.4</f>
        <v>83.75</v>
      </c>
      <c r="C103" s="920">
        <f>DATA!C98/2.4</f>
        <v>83.75</v>
      </c>
      <c r="D103" s="920">
        <f>DATA!D98/2.4</f>
        <v>90</v>
      </c>
      <c r="E103" s="920">
        <f>DATA!E98/2.4</f>
        <v>95.833333333333343</v>
      </c>
      <c r="F103" s="920">
        <f>DATA!F98/2.4</f>
        <v>100.41666666666667</v>
      </c>
      <c r="G103" s="920">
        <f>DATA!G98/2.4</f>
        <v>103.33333333333334</v>
      </c>
      <c r="H103" s="920">
        <f>DATA!H98/2.4</f>
        <v>106.25</v>
      </c>
      <c r="I103" s="920">
        <f>DATA!I98/2.4</f>
        <v>108.75</v>
      </c>
      <c r="J103" s="920">
        <f>DATA!J98/2.4</f>
        <v>110.83333333333334</v>
      </c>
      <c r="K103" s="920">
        <f>DATA!K98/2.4</f>
        <v>112.91666666666667</v>
      </c>
      <c r="L103" s="920">
        <f>DATA!L98/2.4</f>
        <v>114.58333333333334</v>
      </c>
      <c r="M103" s="920">
        <f>DATA!M98/2.4</f>
        <v>116.25</v>
      </c>
      <c r="N103" s="920">
        <f>DATA!N98/2.4</f>
        <v>117.91666666666667</v>
      </c>
      <c r="O103" s="920">
        <f>DATA!O98/2.4</f>
        <v>119.16666666666667</v>
      </c>
      <c r="P103" s="920">
        <f>DATA!P98/2.4</f>
        <v>120.83333333333334</v>
      </c>
      <c r="Q103" s="920">
        <f>DATA!Q98/2.4</f>
        <v>122.08333333333334</v>
      </c>
      <c r="R103" s="920">
        <f>DATA!R98/2.4</f>
        <v>123.33333333333334</v>
      </c>
      <c r="S103" s="920">
        <f>DATA!S98/2.4</f>
        <v>124.58333333333334</v>
      </c>
      <c r="T103" s="920">
        <f>DATA!T98/2.4</f>
        <v>125.41666666666667</v>
      </c>
      <c r="U103" s="920">
        <f>DATA!U98/2.4</f>
        <v>126.66666666666667</v>
      </c>
      <c r="V103" s="920">
        <f>DATA!V98/2.4</f>
        <v>128.33333333333334</v>
      </c>
      <c r="W103" s="920">
        <f>DATA!W98/2.4</f>
        <v>130</v>
      </c>
      <c r="X103" s="920">
        <f>DATA!X98/2.4</f>
        <v>131.66666666666669</v>
      </c>
      <c r="Y103" s="920">
        <f>DATA!Y98/2.4</f>
        <v>132.91666666666669</v>
      </c>
      <c r="Z103" s="920">
        <f>DATA!Z98/2.4</f>
        <v>134.58333333333334</v>
      </c>
      <c r="AA103" s="920">
        <f>DATA!AA98/2.4</f>
        <v>137.5</v>
      </c>
      <c r="AB103" s="920">
        <f>DATA!AB98/2.4</f>
        <v>140</v>
      </c>
      <c r="AC103" s="920">
        <f>DATA!AC98/2.4</f>
        <v>142.08333333333334</v>
      </c>
    </row>
    <row r="104" spans="1:29" ht="15.75">
      <c r="A104" s="918">
        <f>DATA!A99</f>
        <v>30</v>
      </c>
      <c r="B104" s="920">
        <f>DATA!B99/2.4</f>
        <v>82.5</v>
      </c>
      <c r="C104" s="920">
        <f>DATA!C99/2.4</f>
        <v>82.5</v>
      </c>
      <c r="D104" s="920">
        <f>DATA!D99/2.4</f>
        <v>88.75</v>
      </c>
      <c r="E104" s="920">
        <f>DATA!E99/2.4</f>
        <v>94.583333333333343</v>
      </c>
      <c r="F104" s="920">
        <f>DATA!F99/2.4</f>
        <v>100</v>
      </c>
      <c r="G104" s="920">
        <f>DATA!G99/2.4</f>
        <v>102.5</v>
      </c>
      <c r="H104" s="920">
        <f>DATA!H99/2.4</f>
        <v>105.41666666666667</v>
      </c>
      <c r="I104" s="920">
        <f>DATA!I99/2.4</f>
        <v>107.5</v>
      </c>
      <c r="J104" s="920">
        <f>DATA!J99/2.4</f>
        <v>110</v>
      </c>
      <c r="K104" s="920">
        <f>DATA!K99/2.4</f>
        <v>111.66666666666667</v>
      </c>
      <c r="L104" s="920">
        <f>DATA!L99/2.4</f>
        <v>113.75</v>
      </c>
      <c r="M104" s="920">
        <f>DATA!M99/2.4</f>
        <v>115.41666666666667</v>
      </c>
      <c r="N104" s="920">
        <f>DATA!N99/2.4</f>
        <v>117.08333333333334</v>
      </c>
      <c r="O104" s="920">
        <f>DATA!O99/2.4</f>
        <v>118.33333333333334</v>
      </c>
      <c r="P104" s="920">
        <f>DATA!P99/2.4</f>
        <v>119.58333333333334</v>
      </c>
      <c r="Q104" s="920">
        <f>DATA!Q99/2.4</f>
        <v>120.83333333333334</v>
      </c>
      <c r="R104" s="920">
        <f>DATA!R99/2.4</f>
        <v>122.08333333333334</v>
      </c>
      <c r="S104" s="920">
        <f>DATA!S99/2.4</f>
        <v>123.33333333333334</v>
      </c>
      <c r="T104" s="920">
        <f>DATA!T99/2.4</f>
        <v>124.16666666666667</v>
      </c>
      <c r="U104" s="920">
        <f>DATA!U99/2.4</f>
        <v>125.41666666666667</v>
      </c>
      <c r="V104" s="920">
        <f>DATA!V99/2.4</f>
        <v>127.08333333333334</v>
      </c>
      <c r="W104" s="920">
        <f>DATA!W99/2.4</f>
        <v>129.16666666666669</v>
      </c>
      <c r="X104" s="920">
        <f>DATA!X99/2.4</f>
        <v>130.41666666666669</v>
      </c>
      <c r="Y104" s="920">
        <f>DATA!Y99/2.4</f>
        <v>132.08333333333334</v>
      </c>
      <c r="Z104" s="920">
        <f>DATA!Z99/2.4</f>
        <v>133.33333333333334</v>
      </c>
      <c r="AA104" s="920">
        <f>DATA!AA99/2.4</f>
        <v>136.25</v>
      </c>
      <c r="AB104" s="920">
        <f>DATA!AB99/2.4</f>
        <v>138.75</v>
      </c>
      <c r="AC104" s="920">
        <f>DATA!AC99/2.4</f>
        <v>140.83333333333334</v>
      </c>
    </row>
    <row r="105" spans="1:29" ht="15.75">
      <c r="A105" s="918">
        <f>DATA!A100</f>
        <v>30.1</v>
      </c>
      <c r="B105" s="920">
        <f>DATA!B100/2.4</f>
        <v>81.25</v>
      </c>
      <c r="C105" s="920">
        <f>DATA!C100/2.4</f>
        <v>81.25</v>
      </c>
      <c r="D105" s="920">
        <f>DATA!D100/2.4</f>
        <v>87.5</v>
      </c>
      <c r="E105" s="920">
        <f>DATA!E100/2.4</f>
        <v>93.333333333333343</v>
      </c>
      <c r="F105" s="920">
        <f>DATA!F100/2.4</f>
        <v>98.75</v>
      </c>
      <c r="G105" s="920">
        <f>DATA!G100/2.4</f>
        <v>101.66666666666667</v>
      </c>
      <c r="H105" s="920">
        <f>DATA!H100/2.4</f>
        <v>104.16666666666667</v>
      </c>
      <c r="I105" s="920">
        <f>DATA!I100/2.4</f>
        <v>106.66666666666667</v>
      </c>
      <c r="J105" s="920">
        <f>DATA!J100/2.4</f>
        <v>108.75</v>
      </c>
      <c r="K105" s="920">
        <f>DATA!K100/2.4</f>
        <v>110.83333333333334</v>
      </c>
      <c r="L105" s="920">
        <f>DATA!L100/2.4</f>
        <v>112.5</v>
      </c>
      <c r="M105" s="920">
        <f>DATA!M100/2.4</f>
        <v>114.16666666666667</v>
      </c>
      <c r="N105" s="920">
        <f>DATA!N100/2.4</f>
        <v>115.83333333333334</v>
      </c>
      <c r="O105" s="920">
        <f>DATA!O100/2.4</f>
        <v>117.5</v>
      </c>
      <c r="P105" s="920">
        <f>DATA!P100/2.4</f>
        <v>118.75</v>
      </c>
      <c r="Q105" s="920">
        <f>DATA!Q100/2.4</f>
        <v>120</v>
      </c>
      <c r="R105" s="920">
        <f>DATA!R100/2.4</f>
        <v>121.25</v>
      </c>
      <c r="S105" s="920">
        <f>DATA!S100/2.4</f>
        <v>122.08333333333334</v>
      </c>
      <c r="T105" s="920">
        <f>DATA!T100/2.4</f>
        <v>123.33333333333334</v>
      </c>
      <c r="U105" s="920">
        <f>DATA!U100/2.4</f>
        <v>124.16666666666667</v>
      </c>
      <c r="V105" s="920">
        <f>DATA!V100/2.4</f>
        <v>126.25</v>
      </c>
      <c r="W105" s="920">
        <f>DATA!W100/2.4</f>
        <v>127.91666666666667</v>
      </c>
      <c r="X105" s="920">
        <f>DATA!X100/2.4</f>
        <v>129.58333333333334</v>
      </c>
      <c r="Y105" s="920">
        <f>DATA!Y100/2.4</f>
        <v>130.83333333333334</v>
      </c>
      <c r="Z105" s="920">
        <f>DATA!Z100/2.4</f>
        <v>132.08333333333334</v>
      </c>
      <c r="AA105" s="920">
        <f>DATA!AA100/2.4</f>
        <v>135</v>
      </c>
      <c r="AB105" s="920">
        <f>DATA!AB100/2.4</f>
        <v>137.5</v>
      </c>
      <c r="AC105" s="920">
        <f>DATA!AC100/2.4</f>
        <v>139.58333333333334</v>
      </c>
    </row>
    <row r="106" spans="1:29" ht="15.75">
      <c r="A106" s="918">
        <f>DATA!A101</f>
        <v>30.2</v>
      </c>
      <c r="B106" s="920">
        <f>DATA!B101/2.4</f>
        <v>80</v>
      </c>
      <c r="C106" s="920">
        <f>DATA!C101/2.4</f>
        <v>80</v>
      </c>
      <c r="D106" s="920">
        <f>DATA!D101/2.4</f>
        <v>86.25</v>
      </c>
      <c r="E106" s="920">
        <f>DATA!E101/2.4</f>
        <v>92.083333333333343</v>
      </c>
      <c r="F106" s="920">
        <f>DATA!F101/2.4</f>
        <v>97.083333333333343</v>
      </c>
      <c r="G106" s="920">
        <f>DATA!G101/2.4</f>
        <v>100.83333333333334</v>
      </c>
      <c r="H106" s="920">
        <f>DATA!H101/2.4</f>
        <v>103.33333333333334</v>
      </c>
      <c r="I106" s="920">
        <f>DATA!I101/2.4</f>
        <v>105.83333333333334</v>
      </c>
      <c r="J106" s="920">
        <f>DATA!J101/2.4</f>
        <v>107.91666666666667</v>
      </c>
      <c r="K106" s="920">
        <f>DATA!K101/2.4</f>
        <v>110</v>
      </c>
      <c r="L106" s="920">
        <f>DATA!L101/2.4</f>
        <v>111.66666666666667</v>
      </c>
      <c r="M106" s="920">
        <f>DATA!M101/2.4</f>
        <v>113.33333333333334</v>
      </c>
      <c r="N106" s="920">
        <f>DATA!N101/2.4</f>
        <v>115</v>
      </c>
      <c r="O106" s="920">
        <f>DATA!O101/2.4</f>
        <v>116.25</v>
      </c>
      <c r="P106" s="920">
        <f>DATA!P101/2.4</f>
        <v>117.5</v>
      </c>
      <c r="Q106" s="920">
        <f>DATA!Q101/2.4</f>
        <v>118.75</v>
      </c>
      <c r="R106" s="920">
        <f>DATA!R101/2.4</f>
        <v>120</v>
      </c>
      <c r="S106" s="920">
        <f>DATA!S101/2.4</f>
        <v>121.25</v>
      </c>
      <c r="T106" s="920">
        <f>DATA!T101/2.4</f>
        <v>122.08333333333334</v>
      </c>
      <c r="U106" s="920">
        <f>DATA!U101/2.4</f>
        <v>123.33333333333334</v>
      </c>
      <c r="V106" s="920">
        <f>DATA!V101/2.4</f>
        <v>125</v>
      </c>
      <c r="W106" s="920">
        <f>DATA!W101/2.4</f>
        <v>126.66666666666667</v>
      </c>
      <c r="X106" s="920">
        <f>DATA!X101/2.4</f>
        <v>128.33333333333334</v>
      </c>
      <c r="Y106" s="920">
        <f>DATA!Y101/2.4</f>
        <v>129.58333333333334</v>
      </c>
      <c r="Z106" s="920">
        <f>DATA!Z101/2.4</f>
        <v>130.83333333333334</v>
      </c>
      <c r="AA106" s="920">
        <f>DATA!AA101/2.4</f>
        <v>133.75</v>
      </c>
      <c r="AB106" s="920">
        <f>DATA!AB101/2.4</f>
        <v>136.25</v>
      </c>
      <c r="AC106" s="920">
        <f>DATA!AC101/2.4</f>
        <v>138.33333333333334</v>
      </c>
    </row>
    <row r="107" spans="1:29" ht="15.75">
      <c r="A107" s="918">
        <f>DATA!A102</f>
        <v>30.3</v>
      </c>
      <c r="B107" s="920">
        <f>DATA!B102/2.4</f>
        <v>78.75</v>
      </c>
      <c r="C107" s="920">
        <f>DATA!C102/2.4</f>
        <v>78.75</v>
      </c>
      <c r="D107" s="920">
        <f>DATA!D102/2.4</f>
        <v>85</v>
      </c>
      <c r="E107" s="920">
        <f>DATA!E102/2.4</f>
        <v>90.833333333333343</v>
      </c>
      <c r="F107" s="920">
        <f>DATA!F102/2.4</f>
        <v>95.833333333333343</v>
      </c>
      <c r="G107" s="920">
        <f>DATA!G102/2.4</f>
        <v>100</v>
      </c>
      <c r="H107" s="920">
        <f>DATA!H102/2.4</f>
        <v>102.5</v>
      </c>
      <c r="I107" s="920">
        <f>DATA!I102/2.4</f>
        <v>105</v>
      </c>
      <c r="J107" s="920">
        <f>DATA!J102/2.4</f>
        <v>107.08333333333334</v>
      </c>
      <c r="K107" s="920">
        <f>DATA!K102/2.4</f>
        <v>108.75</v>
      </c>
      <c r="L107" s="920">
        <f>DATA!L102/2.4</f>
        <v>110.41666666666667</v>
      </c>
      <c r="M107" s="920">
        <f>DATA!M102/2.4</f>
        <v>112.08333333333334</v>
      </c>
      <c r="N107" s="920">
        <f>DATA!N102/2.4</f>
        <v>113.75</v>
      </c>
      <c r="O107" s="920">
        <f>DATA!O102/2.4</f>
        <v>115</v>
      </c>
      <c r="P107" s="920">
        <f>DATA!P102/2.4</f>
        <v>116.66666666666667</v>
      </c>
      <c r="Q107" s="920">
        <f>DATA!Q102/2.4</f>
        <v>117.91666666666667</v>
      </c>
      <c r="R107" s="920">
        <f>DATA!R102/2.4</f>
        <v>118.75</v>
      </c>
      <c r="S107" s="920">
        <f>DATA!S102/2.4</f>
        <v>120</v>
      </c>
      <c r="T107" s="920">
        <f>DATA!T102/2.4</f>
        <v>121.25</v>
      </c>
      <c r="U107" s="920">
        <f>DATA!U102/2.4</f>
        <v>122.08333333333334</v>
      </c>
      <c r="V107" s="920">
        <f>DATA!V102/2.4</f>
        <v>123.75</v>
      </c>
      <c r="W107" s="920">
        <f>DATA!W102/2.4</f>
        <v>125.41666666666667</v>
      </c>
      <c r="X107" s="920">
        <f>DATA!X102/2.4</f>
        <v>127.08333333333334</v>
      </c>
      <c r="Y107" s="920">
        <f>DATA!Y102/2.4</f>
        <v>128.33333333333334</v>
      </c>
      <c r="Z107" s="920">
        <f>DATA!Z102/2.4</f>
        <v>129.58333333333334</v>
      </c>
      <c r="AA107" s="920">
        <f>DATA!AA102/2.4</f>
        <v>132.5</v>
      </c>
      <c r="AB107" s="920">
        <f>DATA!AB102/2.4</f>
        <v>135</v>
      </c>
      <c r="AC107" s="920">
        <f>DATA!AC102/2.4</f>
        <v>137.08333333333334</v>
      </c>
    </row>
    <row r="108" spans="1:29" ht="15.75">
      <c r="A108" s="918">
        <f>DATA!A103</f>
        <v>30.4</v>
      </c>
      <c r="B108" s="920">
        <f>DATA!B103/2.4</f>
        <v>77.916666666666671</v>
      </c>
      <c r="C108" s="920">
        <f>DATA!C103/2.4</f>
        <v>77.916666666666671</v>
      </c>
      <c r="D108" s="920">
        <f>DATA!D103/2.4</f>
        <v>83.75</v>
      </c>
      <c r="E108" s="920">
        <f>DATA!E103/2.4</f>
        <v>89.583333333333343</v>
      </c>
      <c r="F108" s="920">
        <f>DATA!F103/2.4</f>
        <v>95</v>
      </c>
      <c r="G108" s="920">
        <f>DATA!G103/2.4</f>
        <v>98.75</v>
      </c>
      <c r="H108" s="920">
        <f>DATA!H103/2.4</f>
        <v>101.66666666666667</v>
      </c>
      <c r="I108" s="920">
        <f>DATA!I103/2.4</f>
        <v>103.75</v>
      </c>
      <c r="J108" s="920">
        <f>DATA!J103/2.4</f>
        <v>105.83333333333334</v>
      </c>
      <c r="K108" s="920">
        <f>DATA!K103/2.4</f>
        <v>107.91666666666667</v>
      </c>
      <c r="L108" s="920">
        <f>DATA!L103/2.4</f>
        <v>109.58333333333334</v>
      </c>
      <c r="M108" s="920">
        <f>DATA!M103/2.4</f>
        <v>111.25</v>
      </c>
      <c r="N108" s="920">
        <f>DATA!N103/2.4</f>
        <v>112.91666666666667</v>
      </c>
      <c r="O108" s="920">
        <f>DATA!O103/2.4</f>
        <v>114.16666666666667</v>
      </c>
      <c r="P108" s="920">
        <f>DATA!P103/2.4</f>
        <v>115.41666666666667</v>
      </c>
      <c r="Q108" s="920">
        <f>DATA!Q103/2.4</f>
        <v>116.66666666666667</v>
      </c>
      <c r="R108" s="920">
        <f>DATA!R103/2.4</f>
        <v>117.91666666666667</v>
      </c>
      <c r="S108" s="920">
        <f>DATA!S103/2.4</f>
        <v>118.75</v>
      </c>
      <c r="T108" s="920">
        <f>DATA!T103/2.4</f>
        <v>120</v>
      </c>
      <c r="U108" s="920">
        <f>DATA!U103/2.4</f>
        <v>120.83333333333334</v>
      </c>
      <c r="V108" s="920">
        <f>DATA!V103/2.4</f>
        <v>122.91666666666667</v>
      </c>
      <c r="W108" s="920">
        <f>DATA!W103/2.4</f>
        <v>124.58333333333334</v>
      </c>
      <c r="X108" s="920">
        <f>DATA!X103/2.4</f>
        <v>125.83333333333334</v>
      </c>
      <c r="Y108" s="920">
        <f>DATA!Y103/2.4</f>
        <v>127.5</v>
      </c>
      <c r="Z108" s="920">
        <f>DATA!Z103/2.4</f>
        <v>128.75</v>
      </c>
      <c r="AA108" s="920">
        <f>DATA!AA103/2.4</f>
        <v>131.25</v>
      </c>
      <c r="AB108" s="920">
        <f>DATA!AB103/2.4</f>
        <v>133.75</v>
      </c>
      <c r="AC108" s="920">
        <f>DATA!AC103/2.4</f>
        <v>135.83333333333334</v>
      </c>
    </row>
    <row r="109" spans="1:29" ht="15.75">
      <c r="A109" s="918">
        <f>DATA!A104</f>
        <v>30.5</v>
      </c>
      <c r="B109" s="920">
        <f>DATA!B104/2.4</f>
        <v>76.666666666666671</v>
      </c>
      <c r="C109" s="920">
        <f>DATA!C104/2.4</f>
        <v>76.666666666666671</v>
      </c>
      <c r="D109" s="920">
        <f>DATA!D104/2.4</f>
        <v>81.666666666666671</v>
      </c>
      <c r="E109" s="920">
        <f>DATA!E104/2.4</f>
        <v>87.916666666666671</v>
      </c>
      <c r="F109" s="920">
        <f>DATA!F104/2.4</f>
        <v>92.916666666666671</v>
      </c>
      <c r="G109" s="920">
        <f>DATA!G104/2.4</f>
        <v>97.5</v>
      </c>
      <c r="H109" s="920">
        <f>DATA!H104/2.4</f>
        <v>100.41666666666667</v>
      </c>
      <c r="I109" s="920">
        <f>DATA!I104/2.4</f>
        <v>102.91666666666667</v>
      </c>
      <c r="J109" s="920">
        <f>DATA!J104/2.4</f>
        <v>105</v>
      </c>
      <c r="K109" s="920">
        <f>DATA!K104/2.4</f>
        <v>106.66666666666667</v>
      </c>
      <c r="L109" s="920">
        <f>DATA!L104/2.4</f>
        <v>108.75</v>
      </c>
      <c r="M109" s="920">
        <f>DATA!M104/2.4</f>
        <v>110</v>
      </c>
      <c r="N109" s="920">
        <f>DATA!N104/2.4</f>
        <v>111.66666666666667</v>
      </c>
      <c r="O109" s="920">
        <f>DATA!O104/2.4</f>
        <v>112.91666666666667</v>
      </c>
      <c r="P109" s="920">
        <f>DATA!P104/2.4</f>
        <v>114.58333333333334</v>
      </c>
      <c r="Q109" s="920">
        <f>DATA!Q104/2.4</f>
        <v>115.41666666666667</v>
      </c>
      <c r="R109" s="920">
        <f>DATA!R104/2.4</f>
        <v>116.66666666666667</v>
      </c>
      <c r="S109" s="920">
        <f>DATA!S104/2.4</f>
        <v>117.91666666666667</v>
      </c>
      <c r="T109" s="920">
        <f>DATA!T104/2.4</f>
        <v>118.75</v>
      </c>
      <c r="U109" s="920">
        <f>DATA!U104/2.4</f>
        <v>120</v>
      </c>
      <c r="V109" s="920">
        <f>DATA!V104/2.4</f>
        <v>121.66666666666667</v>
      </c>
      <c r="W109" s="920">
        <f>DATA!W104/2.4</f>
        <v>123.33333333333334</v>
      </c>
      <c r="X109" s="920">
        <f>DATA!X104/2.4</f>
        <v>124.58333333333334</v>
      </c>
      <c r="Y109" s="920">
        <f>DATA!Y104/2.4</f>
        <v>126.25</v>
      </c>
      <c r="Z109" s="920">
        <f>DATA!Z104/2.4</f>
        <v>127.5</v>
      </c>
      <c r="AA109" s="920">
        <f>DATA!AA104/2.4</f>
        <v>130</v>
      </c>
      <c r="AB109" s="920">
        <f>DATA!AB104/2.4</f>
        <v>132.5</v>
      </c>
      <c r="AC109" s="920">
        <f>DATA!AC104/2.4</f>
        <v>134.58333333333334</v>
      </c>
    </row>
    <row r="110" spans="1:29" ht="15.75">
      <c r="A110" s="918">
        <f>DATA!A105</f>
        <v>30.6</v>
      </c>
      <c r="B110" s="920">
        <f>DATA!B105/2.4</f>
        <v>75.416666666666671</v>
      </c>
      <c r="C110" s="920">
        <f>DATA!C105/2.4</f>
        <v>75.416666666666671</v>
      </c>
      <c r="D110" s="920">
        <f>DATA!D105/2.4</f>
        <v>81.25</v>
      </c>
      <c r="E110" s="920">
        <f>DATA!E105/2.4</f>
        <v>86.666666666666671</v>
      </c>
      <c r="F110" s="920">
        <f>DATA!F105/2.4</f>
        <v>91.666666666666671</v>
      </c>
      <c r="G110" s="920">
        <f>DATA!G105/2.4</f>
        <v>95.833333333333343</v>
      </c>
      <c r="H110" s="920">
        <f>DATA!H105/2.4</f>
        <v>100</v>
      </c>
      <c r="I110" s="920">
        <f>DATA!I105/2.4</f>
        <v>102.08333333333334</v>
      </c>
      <c r="J110" s="920">
        <f>DATA!J105/2.4</f>
        <v>103.75</v>
      </c>
      <c r="K110" s="920">
        <f>DATA!K105/2.4</f>
        <v>105.83333333333334</v>
      </c>
      <c r="L110" s="920">
        <f>DATA!L105/2.4</f>
        <v>107.5</v>
      </c>
      <c r="M110" s="920">
        <f>DATA!M105/2.4</f>
        <v>109.16666666666667</v>
      </c>
      <c r="N110" s="920">
        <f>DATA!N105/2.4</f>
        <v>110.83333333333334</v>
      </c>
      <c r="O110" s="920">
        <f>DATA!O105/2.4</f>
        <v>112.08333333333334</v>
      </c>
      <c r="P110" s="920">
        <f>DATA!P105/2.4</f>
        <v>113.33333333333334</v>
      </c>
      <c r="Q110" s="920">
        <f>DATA!Q105/2.4</f>
        <v>114.58333333333334</v>
      </c>
      <c r="R110" s="920">
        <f>DATA!R105/2.4</f>
        <v>115.83333333333334</v>
      </c>
      <c r="S110" s="920">
        <f>DATA!S105/2.4</f>
        <v>120</v>
      </c>
      <c r="T110" s="920">
        <f>DATA!T105/2.4</f>
        <v>117.91666666666667</v>
      </c>
      <c r="U110" s="920">
        <f>DATA!U105/2.4</f>
        <v>118.75</v>
      </c>
      <c r="V110" s="920">
        <f>DATA!V105/2.4</f>
        <v>120.41666666666667</v>
      </c>
      <c r="W110" s="920">
        <f>DATA!W105/2.4</f>
        <v>122.08333333333334</v>
      </c>
      <c r="X110" s="920">
        <f>DATA!X105/2.4</f>
        <v>123.75</v>
      </c>
      <c r="Y110" s="920">
        <f>DATA!Y105/2.4</f>
        <v>125</v>
      </c>
      <c r="Z110" s="920">
        <f>DATA!Z105/2.4</f>
        <v>126.25</v>
      </c>
      <c r="AA110" s="920">
        <f>DATA!AA105/2.4</f>
        <v>128.75</v>
      </c>
      <c r="AB110" s="920">
        <f>DATA!AB105/2.4</f>
        <v>131.25</v>
      </c>
      <c r="AC110" s="920">
        <f>DATA!AC105/2.4</f>
        <v>133.33333333333334</v>
      </c>
    </row>
    <row r="111" spans="1:29" ht="15.75">
      <c r="A111" s="918">
        <f>DATA!A106</f>
        <v>30.7</v>
      </c>
      <c r="B111" s="920">
        <f>DATA!B106/2.4</f>
        <v>74.166666666666671</v>
      </c>
      <c r="C111" s="920">
        <f>DATA!C106/2.4</f>
        <v>74.166666666666671</v>
      </c>
      <c r="D111" s="920">
        <f>DATA!D106/2.4</f>
        <v>80</v>
      </c>
      <c r="E111" s="920">
        <f>DATA!E106/2.4</f>
        <v>85.416666666666671</v>
      </c>
      <c r="F111" s="920">
        <f>DATA!F106/2.4</f>
        <v>90</v>
      </c>
      <c r="G111" s="920">
        <f>DATA!G106/2.4</f>
        <v>94.583333333333343</v>
      </c>
      <c r="H111" s="920">
        <f>DATA!H106/2.4</f>
        <v>98.333333333333343</v>
      </c>
      <c r="I111" s="920">
        <f>DATA!I106/2.4</f>
        <v>100.83333333333334</v>
      </c>
      <c r="J111" s="920">
        <f>DATA!J106/2.4</f>
        <v>102.91666666666667</v>
      </c>
      <c r="K111" s="920">
        <f>DATA!K106/2.4</f>
        <v>105</v>
      </c>
      <c r="L111" s="920">
        <f>DATA!L106/2.4</f>
        <v>106.66666666666667</v>
      </c>
      <c r="M111" s="920">
        <f>DATA!M106/2.4</f>
        <v>107.91666666666667</v>
      </c>
      <c r="N111" s="920">
        <f>DATA!N106/2.4</f>
        <v>109.58333333333334</v>
      </c>
      <c r="O111" s="920">
        <f>DATA!O106/2.4</f>
        <v>110.83333333333334</v>
      </c>
      <c r="P111" s="920">
        <f>DATA!P106/2.4</f>
        <v>112.08333333333334</v>
      </c>
      <c r="Q111" s="920">
        <f>DATA!Q106/2.4</f>
        <v>113.33333333333334</v>
      </c>
      <c r="R111" s="920">
        <f>DATA!R106/2.4</f>
        <v>114.58333333333334</v>
      </c>
      <c r="S111" s="920">
        <f>DATA!S106/2.4</f>
        <v>115.41666666666667</v>
      </c>
      <c r="T111" s="920">
        <f>DATA!T106/2.4</f>
        <v>116.66666666666667</v>
      </c>
      <c r="U111" s="920">
        <f>DATA!U106/2.4</f>
        <v>117.5</v>
      </c>
      <c r="V111" s="920">
        <f>DATA!V106/2.4</f>
        <v>119.16666666666667</v>
      </c>
      <c r="W111" s="920">
        <f>DATA!W106/2.4</f>
        <v>120.83333333333334</v>
      </c>
      <c r="X111" s="920">
        <f>DATA!X106/2.4</f>
        <v>122.5</v>
      </c>
      <c r="Y111" s="920">
        <f>DATA!Y106/2.4</f>
        <v>123.75</v>
      </c>
      <c r="Z111" s="920">
        <f>DATA!Z106/2.4</f>
        <v>125</v>
      </c>
      <c r="AA111" s="920">
        <f>DATA!AA106/2.4</f>
        <v>127.91666666666667</v>
      </c>
      <c r="AB111" s="920">
        <f>DATA!AB106/2.4</f>
        <v>130</v>
      </c>
      <c r="AC111" s="920">
        <f>DATA!AC106/2.4</f>
        <v>132.5</v>
      </c>
    </row>
    <row r="112" spans="1:29" ht="15.75">
      <c r="A112" s="918">
        <f>DATA!A107</f>
        <v>30.8</v>
      </c>
      <c r="B112" s="920">
        <f>DATA!B107/2.4</f>
        <v>72.916666666666671</v>
      </c>
      <c r="C112" s="920">
        <f>DATA!C107/2.4</f>
        <v>72.916666666666671</v>
      </c>
      <c r="D112" s="920">
        <f>DATA!D107/2.4</f>
        <v>78.75</v>
      </c>
      <c r="E112" s="920">
        <f>DATA!E107/2.4</f>
        <v>84.166666666666671</v>
      </c>
      <c r="F112" s="920">
        <f>DATA!F107/2.4</f>
        <v>88.75</v>
      </c>
      <c r="G112" s="920">
        <f>DATA!G107/2.4</f>
        <v>92.916666666666671</v>
      </c>
      <c r="H112" s="920">
        <f>DATA!H107/2.4</f>
        <v>97.083333333333343</v>
      </c>
      <c r="I112" s="920">
        <f>DATA!I107/2.4</f>
        <v>100</v>
      </c>
      <c r="J112" s="920">
        <f>DATA!J107/2.4</f>
        <v>102.08333333333334</v>
      </c>
      <c r="K112" s="920">
        <f>DATA!K107/2.4</f>
        <v>103.75</v>
      </c>
      <c r="L112" s="920">
        <f>DATA!L107/2.4</f>
        <v>105.41666666666667</v>
      </c>
      <c r="M112" s="920">
        <f>DATA!M107/2.4</f>
        <v>107.08333333333334</v>
      </c>
      <c r="N112" s="920">
        <f>DATA!N107/2.4</f>
        <v>108.33333333333334</v>
      </c>
      <c r="O112" s="920">
        <f>DATA!O107/2.4</f>
        <v>110</v>
      </c>
      <c r="P112" s="920">
        <f>DATA!P107/2.4</f>
        <v>111.25</v>
      </c>
      <c r="Q112" s="920">
        <f>DATA!Q107/2.4</f>
        <v>112.5</v>
      </c>
      <c r="R112" s="920">
        <f>DATA!R107/2.4</f>
        <v>113.33333333333334</v>
      </c>
      <c r="S112" s="920">
        <f>DATA!S107/2.4</f>
        <v>114.58333333333334</v>
      </c>
      <c r="T112" s="920">
        <f>DATA!T107/2.4</f>
        <v>115.41666666666667</v>
      </c>
      <c r="U112" s="920">
        <f>DATA!U107/2.4</f>
        <v>116.25</v>
      </c>
      <c r="V112" s="920">
        <f>DATA!V107/2.4</f>
        <v>118.33333333333334</v>
      </c>
      <c r="W112" s="920">
        <f>DATA!W107/2.4</f>
        <v>119.58333333333334</v>
      </c>
      <c r="X112" s="920">
        <f>DATA!X107/2.4</f>
        <v>121.25</v>
      </c>
      <c r="Y112" s="920">
        <f>DATA!Y107/2.4</f>
        <v>122.5</v>
      </c>
      <c r="Z112" s="920">
        <f>DATA!Z107/2.4</f>
        <v>123.75</v>
      </c>
      <c r="AA112" s="920">
        <f>DATA!AA107/2.4</f>
        <v>126.66666666666667</v>
      </c>
      <c r="AB112" s="920">
        <f>DATA!AB107/2.4</f>
        <v>128.33333333333334</v>
      </c>
      <c r="AC112" s="920">
        <f>DATA!AC107/2.4</f>
        <v>130.83333333333334</v>
      </c>
    </row>
    <row r="113" spans="1:29" ht="15.75">
      <c r="A113" s="918">
        <f>DATA!A108</f>
        <v>30.9</v>
      </c>
      <c r="B113" s="920">
        <f>DATA!B108/2.4</f>
        <v>71.666666666666671</v>
      </c>
      <c r="C113" s="920">
        <f>DATA!C108/2.4</f>
        <v>71.666666666666671</v>
      </c>
      <c r="D113" s="920">
        <f>DATA!D108/2.4</f>
        <v>77.5</v>
      </c>
      <c r="E113" s="920">
        <f>DATA!E108/2.4</f>
        <v>82.5</v>
      </c>
      <c r="F113" s="920">
        <f>DATA!F108/2.4</f>
        <v>87.083333333333343</v>
      </c>
      <c r="G113" s="920">
        <f>DATA!G108/2.4</f>
        <v>91.666666666666671</v>
      </c>
      <c r="H113" s="920">
        <f>DATA!H108/2.4</f>
        <v>95.416666666666671</v>
      </c>
      <c r="I113" s="920">
        <f>DATA!I108/2.4</f>
        <v>98.75</v>
      </c>
      <c r="J113" s="920">
        <f>DATA!J108/2.4</f>
        <v>100.83333333333334</v>
      </c>
      <c r="K113" s="920">
        <f>DATA!K108/2.4</f>
        <v>102.91666666666667</v>
      </c>
      <c r="L113" s="920">
        <f>DATA!L108/2.4</f>
        <v>104.58333333333334</v>
      </c>
      <c r="M113" s="920">
        <f>DATA!M108/2.4</f>
        <v>105.83333333333334</v>
      </c>
      <c r="N113" s="920">
        <f>DATA!N108/2.4</f>
        <v>107.5</v>
      </c>
      <c r="O113" s="920">
        <f>DATA!O108/2.4</f>
        <v>108.75</v>
      </c>
      <c r="P113" s="920">
        <f>DATA!P108/2.4</f>
        <v>110</v>
      </c>
      <c r="Q113" s="920">
        <f>DATA!Q108/2.4</f>
        <v>111.25</v>
      </c>
      <c r="R113" s="920">
        <f>DATA!R108/2.4</f>
        <v>112.5</v>
      </c>
      <c r="S113" s="920">
        <f>DATA!S108/2.4</f>
        <v>113.33333333333334</v>
      </c>
      <c r="T113" s="920">
        <f>DATA!T108/2.4</f>
        <v>114.16666666666667</v>
      </c>
      <c r="U113" s="920">
        <f>DATA!U108/2.4</f>
        <v>115.41666666666667</v>
      </c>
      <c r="V113" s="920">
        <f>DATA!V108/2.4</f>
        <v>117.08333333333334</v>
      </c>
      <c r="W113" s="920">
        <f>DATA!W108/2.4</f>
        <v>118.75</v>
      </c>
      <c r="X113" s="920">
        <f>DATA!X108/2.4</f>
        <v>120</v>
      </c>
      <c r="Y113" s="920">
        <f>DATA!Y108/2.4</f>
        <v>121.25</v>
      </c>
      <c r="Z113" s="920">
        <f>DATA!Z108/2.4</f>
        <v>122.5</v>
      </c>
      <c r="AA113" s="920">
        <f>DATA!AA108/2.4</f>
        <v>125.41666666666667</v>
      </c>
      <c r="AB113" s="920">
        <f>DATA!AB108/2.4</f>
        <v>127.5</v>
      </c>
      <c r="AC113" s="920">
        <f>DATA!AC108/2.4</f>
        <v>129.16666666666669</v>
      </c>
    </row>
    <row r="114" spans="1:29" ht="15.75">
      <c r="A114" s="918">
        <f>DATA!A109</f>
        <v>31</v>
      </c>
      <c r="B114" s="920">
        <f>DATA!B109/2.4</f>
        <v>70.833333333333343</v>
      </c>
      <c r="C114" s="920">
        <f>DATA!C109/2.4</f>
        <v>70.833333333333343</v>
      </c>
      <c r="D114" s="920">
        <f>DATA!D109/2.4</f>
        <v>76.25</v>
      </c>
      <c r="E114" s="920">
        <f>DATA!E109/2.4</f>
        <v>81.25</v>
      </c>
      <c r="F114" s="920">
        <f>DATA!F109/2.4</f>
        <v>85.833333333333343</v>
      </c>
      <c r="G114" s="920">
        <f>DATA!G109/2.4</f>
        <v>90</v>
      </c>
      <c r="H114" s="920">
        <f>DATA!H109/2.4</f>
        <v>93.75</v>
      </c>
      <c r="I114" s="920">
        <f>DATA!I109/2.4</f>
        <v>97.083333333333343</v>
      </c>
      <c r="J114" s="920">
        <f>DATA!J109/2.4</f>
        <v>100</v>
      </c>
      <c r="K114" s="920">
        <f>DATA!K109/2.4</f>
        <v>101.66666666666667</v>
      </c>
      <c r="L114" s="920">
        <f>DATA!L109/2.4</f>
        <v>103.33333333333334</v>
      </c>
      <c r="M114" s="920">
        <f>DATA!M109/2.4</f>
        <v>105</v>
      </c>
      <c r="N114" s="920">
        <f>DATA!N109/2.4</f>
        <v>106.25</v>
      </c>
      <c r="O114" s="920">
        <f>DATA!O109/2.4</f>
        <v>107.91666666666667</v>
      </c>
      <c r="P114" s="920">
        <f>DATA!P109/2.4</f>
        <v>109.16666666666667</v>
      </c>
      <c r="Q114" s="920">
        <f>DATA!Q109/2.4</f>
        <v>110</v>
      </c>
      <c r="R114" s="920">
        <f>DATA!R109/2.4</f>
        <v>111.25</v>
      </c>
      <c r="S114" s="920">
        <f>DATA!S109/2.4</f>
        <v>112.08333333333334</v>
      </c>
      <c r="T114" s="920">
        <f>DATA!T109/2.4</f>
        <v>113.33333333333334</v>
      </c>
      <c r="U114" s="920">
        <f>DATA!U109/2.4</f>
        <v>114.16666666666667</v>
      </c>
      <c r="V114" s="920">
        <f>DATA!V109/2.4</f>
        <v>115.83333333333334</v>
      </c>
      <c r="W114" s="920">
        <f>DATA!W109/2.4</f>
        <v>117.5</v>
      </c>
      <c r="X114" s="920">
        <f>DATA!X109/2.4</f>
        <v>118.75</v>
      </c>
      <c r="Y114" s="920">
        <f>DATA!Y109/2.4</f>
        <v>120.83333333333334</v>
      </c>
      <c r="Z114" s="920">
        <f>DATA!Z109/2.4</f>
        <v>121.25</v>
      </c>
      <c r="AA114" s="920">
        <f>DATA!AA109/2.4</f>
        <v>124.16666666666667</v>
      </c>
      <c r="AB114" s="920">
        <f>DATA!AB109/2.4</f>
        <v>126.25</v>
      </c>
      <c r="AC114" s="920">
        <f>DATA!AC109/2.4</f>
        <v>128.33333333333334</v>
      </c>
    </row>
    <row r="115" spans="1:29" ht="15.75">
      <c r="A115" s="918">
        <f>DATA!A110</f>
        <v>31.1</v>
      </c>
      <c r="B115" s="920">
        <f>DATA!B110/2.4</f>
        <v>69.583333333333343</v>
      </c>
      <c r="C115" s="920">
        <f>DATA!C110/2.4</f>
        <v>69.583333333333343</v>
      </c>
      <c r="D115" s="920">
        <f>DATA!D110/2.4</f>
        <v>75</v>
      </c>
      <c r="E115" s="920">
        <f>DATA!E110/2.4</f>
        <v>80</v>
      </c>
      <c r="F115" s="920">
        <f>DATA!F110/2.4</f>
        <v>84.583333333333343</v>
      </c>
      <c r="G115" s="920">
        <f>DATA!G110/2.4</f>
        <v>88.333333333333343</v>
      </c>
      <c r="H115" s="920">
        <f>DATA!H110/2.4</f>
        <v>92.083333333333343</v>
      </c>
      <c r="I115" s="920">
        <f>DATA!I110/2.4</f>
        <v>95.833333333333343</v>
      </c>
      <c r="J115" s="920">
        <f>DATA!J110/2.4</f>
        <v>98.75</v>
      </c>
      <c r="K115" s="920">
        <f>DATA!K110/2.4</f>
        <v>100.83333333333334</v>
      </c>
      <c r="L115" s="920">
        <f>DATA!L110/2.4</f>
        <v>102.5</v>
      </c>
      <c r="M115" s="920">
        <f>DATA!M110/2.4</f>
        <v>103.75</v>
      </c>
      <c r="N115" s="920">
        <f>DATA!N110/2.4</f>
        <v>105.41666666666667</v>
      </c>
      <c r="O115" s="920">
        <f>DATA!O110/2.4</f>
        <v>106.66666666666667</v>
      </c>
      <c r="P115" s="920">
        <f>DATA!P110/2.4</f>
        <v>107.91666666666667</v>
      </c>
      <c r="Q115" s="920">
        <f>DATA!Q110/2.4</f>
        <v>109.16666666666667</v>
      </c>
      <c r="R115" s="920">
        <f>DATA!R110/2.4</f>
        <v>110</v>
      </c>
      <c r="S115" s="920">
        <f>DATA!S110/2.4</f>
        <v>111.25</v>
      </c>
      <c r="T115" s="920">
        <f>DATA!T110/2.4</f>
        <v>112.08333333333334</v>
      </c>
      <c r="U115" s="920">
        <f>DATA!U110/2.4</f>
        <v>112.91666666666667</v>
      </c>
      <c r="V115" s="920">
        <f>DATA!V110/2.4</f>
        <v>114.58333333333334</v>
      </c>
      <c r="W115" s="920">
        <f>DATA!W110/2.4</f>
        <v>116.25</v>
      </c>
      <c r="X115" s="920">
        <f>DATA!X110/2.4</f>
        <v>117.5</v>
      </c>
      <c r="Y115" s="920">
        <f>DATA!Y110/2.4</f>
        <v>118.75</v>
      </c>
      <c r="Z115" s="920">
        <f>DATA!Z110/2.4</f>
        <v>120</v>
      </c>
      <c r="AA115" s="920">
        <f>DATA!AA110/2.4</f>
        <v>122.91666666666667</v>
      </c>
      <c r="AB115" s="920">
        <f>DATA!AB110/2.4</f>
        <v>125</v>
      </c>
      <c r="AC115" s="920">
        <f>DATA!AC110/2.4</f>
        <v>127.08333333333334</v>
      </c>
    </row>
    <row r="116" spans="1:29" ht="15.75">
      <c r="A116" s="918">
        <f>DATA!A111</f>
        <v>31.2</v>
      </c>
      <c r="B116" s="920">
        <f>DATA!B111/2.4</f>
        <v>68.333333333333343</v>
      </c>
      <c r="C116" s="920">
        <f>DATA!C111/2.4</f>
        <v>68.333333333333343</v>
      </c>
      <c r="D116" s="920">
        <f>DATA!D111/2.4</f>
        <v>73.75</v>
      </c>
      <c r="E116" s="920">
        <f>DATA!E111/2.4</f>
        <v>78.75</v>
      </c>
      <c r="F116" s="920">
        <f>DATA!F111/2.4</f>
        <v>82.916666666666671</v>
      </c>
      <c r="G116" s="920">
        <f>DATA!G111/2.4</f>
        <v>87.083333333333343</v>
      </c>
      <c r="H116" s="920">
        <f>DATA!H111/2.4</f>
        <v>90.416666666666671</v>
      </c>
      <c r="I116" s="920">
        <f>DATA!I111/2.4</f>
        <v>94.166666666666671</v>
      </c>
      <c r="J116" s="920">
        <f>DATA!J111/2.4</f>
        <v>97.083333333333343</v>
      </c>
      <c r="K116" s="920">
        <f>DATA!K111/2.4</f>
        <v>99.583333333333343</v>
      </c>
      <c r="L116" s="920">
        <f>DATA!L111/2.4</f>
        <v>101.25</v>
      </c>
      <c r="M116" s="920">
        <f>DATA!M111/2.4</f>
        <v>102.91666666666667</v>
      </c>
      <c r="N116" s="920">
        <f>DATA!N111/2.4</f>
        <v>104.16666666666667</v>
      </c>
      <c r="O116" s="920">
        <f>DATA!O111/2.4</f>
        <v>105.41666666666667</v>
      </c>
      <c r="P116" s="920">
        <f>DATA!P111/2.4</f>
        <v>106.66666666666667</v>
      </c>
      <c r="Q116" s="920">
        <f>DATA!Q111/2.4</f>
        <v>107.91666666666667</v>
      </c>
      <c r="R116" s="920">
        <f>DATA!R111/2.4</f>
        <v>109.16666666666667</v>
      </c>
      <c r="S116" s="920">
        <f>DATA!S111/2.4</f>
        <v>110</v>
      </c>
      <c r="T116" s="920">
        <f>DATA!T111/2.4</f>
        <v>110.83333333333334</v>
      </c>
      <c r="U116" s="920">
        <f>DATA!U111/2.4</f>
        <v>111.66666666666667</v>
      </c>
      <c r="V116" s="920">
        <f>DATA!V111/2.4</f>
        <v>113.75</v>
      </c>
      <c r="W116" s="920">
        <f>DATA!W111/2.4</f>
        <v>115</v>
      </c>
      <c r="X116" s="920">
        <f>DATA!X111/2.4</f>
        <v>116.66666666666667</v>
      </c>
      <c r="Y116" s="920">
        <f>DATA!Y111/2.4</f>
        <v>117.91666666666667</v>
      </c>
      <c r="Z116" s="920">
        <f>DATA!Z111/2.4</f>
        <v>118.75</v>
      </c>
      <c r="AA116" s="920">
        <f>DATA!AA111/2.4</f>
        <v>121.66666666666667</v>
      </c>
      <c r="AB116" s="920">
        <f>DATA!AB111/2.4</f>
        <v>123.75</v>
      </c>
      <c r="AC116" s="920">
        <f>DATA!AC111/2.4</f>
        <v>125.41666666666667</v>
      </c>
    </row>
    <row r="117" spans="1:29" ht="15.75">
      <c r="A117" s="918">
        <f>DATA!A112</f>
        <v>31.3</v>
      </c>
      <c r="B117" s="920">
        <f>DATA!B112/2.4</f>
        <v>67.083333333333343</v>
      </c>
      <c r="C117" s="920">
        <f>DATA!C112/2.4</f>
        <v>67.083333333333343</v>
      </c>
      <c r="D117" s="920">
        <f>DATA!D112/2.4</f>
        <v>72.5</v>
      </c>
      <c r="E117" s="920">
        <f>DATA!E112/2.4</f>
        <v>77.083333333333343</v>
      </c>
      <c r="F117" s="920">
        <f>DATA!F112/2.4</f>
        <v>81.666666666666671</v>
      </c>
      <c r="G117" s="920">
        <f>DATA!G112/2.4</f>
        <v>85.416666666666671</v>
      </c>
      <c r="H117" s="920">
        <f>DATA!H112/2.4</f>
        <v>89.166666666666671</v>
      </c>
      <c r="I117" s="920">
        <f>DATA!I112/2.4</f>
        <v>92.5</v>
      </c>
      <c r="J117" s="920">
        <f>DATA!J112/2.4</f>
        <v>95.416666666666671</v>
      </c>
      <c r="K117" s="920">
        <f>DATA!K112/2.4</f>
        <v>99.166666666666671</v>
      </c>
      <c r="L117" s="920">
        <f>DATA!L112/2.4</f>
        <v>100.41666666666667</v>
      </c>
      <c r="M117" s="920">
        <f>DATA!M112/2.4</f>
        <v>101.66666666666667</v>
      </c>
      <c r="N117" s="920">
        <f>DATA!N112/2.4</f>
        <v>103.33333333333334</v>
      </c>
      <c r="O117" s="920">
        <f>DATA!O112/2.4</f>
        <v>104.58333333333334</v>
      </c>
      <c r="P117" s="920">
        <f>DATA!P112/2.4</f>
        <v>105.83333333333334</v>
      </c>
      <c r="Q117" s="920">
        <f>DATA!Q112/2.4</f>
        <v>106.66666666666667</v>
      </c>
      <c r="R117" s="920">
        <f>DATA!R112/2.4</f>
        <v>107.91666666666667</v>
      </c>
      <c r="S117" s="920">
        <f>DATA!S112/2.4</f>
        <v>108.75</v>
      </c>
      <c r="T117" s="920">
        <f>DATA!T112/2.4</f>
        <v>110</v>
      </c>
      <c r="U117" s="920">
        <f>DATA!U112/2.4</f>
        <v>110.83333333333334</v>
      </c>
      <c r="V117" s="920">
        <f>DATA!V112/2.4</f>
        <v>112.5</v>
      </c>
      <c r="W117" s="920">
        <f>DATA!W112/2.4</f>
        <v>113.75</v>
      </c>
      <c r="X117" s="920">
        <f>DATA!X112/2.4</f>
        <v>115.41666666666667</v>
      </c>
      <c r="Y117" s="920">
        <f>DATA!Y112/2.4</f>
        <v>116.66666666666667</v>
      </c>
      <c r="Z117" s="920">
        <f>DATA!Z112/2.4</f>
        <v>117.5</v>
      </c>
      <c r="AA117" s="920">
        <f>DATA!AA112/2.4</f>
        <v>120.41666666666667</v>
      </c>
      <c r="AB117" s="920">
        <f>DATA!AB112/2.4</f>
        <v>122.5</v>
      </c>
      <c r="AC117" s="920">
        <f>DATA!AC112/2.4</f>
        <v>124.16666666666667</v>
      </c>
    </row>
    <row r="118" spans="1:29" ht="15.75">
      <c r="A118" s="918">
        <f>DATA!A113</f>
        <v>31.4</v>
      </c>
      <c r="B118" s="920">
        <f>DATA!B113/2.4</f>
        <v>65.833333333333343</v>
      </c>
      <c r="C118" s="920">
        <f>DATA!C113/2.4</f>
        <v>65.833333333333343</v>
      </c>
      <c r="D118" s="920">
        <f>DATA!D113/2.4</f>
        <v>71.25</v>
      </c>
      <c r="E118" s="920">
        <f>DATA!E113/2.4</f>
        <v>75.833333333333343</v>
      </c>
      <c r="F118" s="920">
        <f>DATA!F113/2.4</f>
        <v>80</v>
      </c>
      <c r="G118" s="920">
        <f>DATA!G113/2.4</f>
        <v>83.75</v>
      </c>
      <c r="H118" s="920">
        <f>DATA!H113/2.4</f>
        <v>87.5</v>
      </c>
      <c r="I118" s="920">
        <f>DATA!I113/2.4</f>
        <v>90.833333333333343</v>
      </c>
      <c r="J118" s="920">
        <f>DATA!J113/2.4</f>
        <v>93.75</v>
      </c>
      <c r="K118" s="920">
        <f>DATA!K113/2.4</f>
        <v>96.666666666666671</v>
      </c>
      <c r="L118" s="920">
        <f>DATA!L113/2.4</f>
        <v>99.166666666666671</v>
      </c>
      <c r="M118" s="920">
        <f>DATA!M113/2.4</f>
        <v>100.83333333333334</v>
      </c>
      <c r="N118" s="920">
        <f>DATA!N113/2.4</f>
        <v>102.08333333333334</v>
      </c>
      <c r="O118" s="920">
        <f>DATA!O113/2.4</f>
        <v>103.33333333333334</v>
      </c>
      <c r="P118" s="920">
        <f>DATA!P113/2.4</f>
        <v>104.58333333333334</v>
      </c>
      <c r="Q118" s="920">
        <f>DATA!Q113/2.4</f>
        <v>105.83333333333334</v>
      </c>
      <c r="R118" s="920">
        <f>DATA!R113/2.4</f>
        <v>106.66666666666667</v>
      </c>
      <c r="S118" s="920">
        <f>DATA!S113/2.4</f>
        <v>107.91666666666667</v>
      </c>
      <c r="T118" s="920">
        <f>DATA!T113/2.4</f>
        <v>108.75</v>
      </c>
      <c r="U118" s="920">
        <f>DATA!U113/2.4</f>
        <v>109.58333333333334</v>
      </c>
      <c r="V118" s="920">
        <f>DATA!V113/2.4</f>
        <v>111.25</v>
      </c>
      <c r="W118" s="920">
        <f>DATA!W113/2.4</f>
        <v>112.5</v>
      </c>
      <c r="X118" s="920">
        <f>DATA!X113/2.4</f>
        <v>114.16666666666667</v>
      </c>
      <c r="Y118" s="920">
        <f>DATA!Y113/2.4</f>
        <v>115.41666666666667</v>
      </c>
      <c r="Z118" s="920">
        <f>DATA!Z113/2.4</f>
        <v>116.66666666666667</v>
      </c>
      <c r="AA118" s="920">
        <f>DATA!AA113/2.4</f>
        <v>119.16666666666667</v>
      </c>
      <c r="AB118" s="920">
        <f>DATA!AB113/2.4</f>
        <v>121.25</v>
      </c>
      <c r="AC118" s="920">
        <f>DATA!AC113/2.4</f>
        <v>122.91666666666667</v>
      </c>
    </row>
    <row r="119" spans="1:29" ht="15.75">
      <c r="A119" s="918">
        <f>DATA!A114</f>
        <v>31.5</v>
      </c>
      <c r="B119" s="920">
        <f>DATA!B114/2.4</f>
        <v>64.583333333333343</v>
      </c>
      <c r="C119" s="920">
        <f>DATA!C114/2.4</f>
        <v>64.583333333333343</v>
      </c>
      <c r="D119" s="920">
        <f>DATA!D114/2.4</f>
        <v>69.583333333333343</v>
      </c>
      <c r="E119" s="920">
        <f>DATA!E114/2.4</f>
        <v>74.583333333333343</v>
      </c>
      <c r="F119" s="920">
        <f>DATA!F114/2.4</f>
        <v>78.75</v>
      </c>
      <c r="G119" s="920">
        <f>DATA!G114/2.4</f>
        <v>81.666666666666671</v>
      </c>
      <c r="H119" s="920">
        <f>DATA!H114/2.4</f>
        <v>85.833333333333343</v>
      </c>
      <c r="I119" s="920">
        <f>DATA!I114/2.4</f>
        <v>89.166666666666671</v>
      </c>
      <c r="J119" s="920">
        <f>DATA!J114/2.4</f>
        <v>92.083333333333343</v>
      </c>
      <c r="K119" s="920">
        <f>DATA!K114/2.4</f>
        <v>95</v>
      </c>
      <c r="L119" s="920">
        <f>DATA!L114/2.4</f>
        <v>97.5</v>
      </c>
      <c r="M119" s="920">
        <f>DATA!M114/2.4</f>
        <v>99.583333333333343</v>
      </c>
      <c r="N119" s="920">
        <f>DATA!N114/2.4</f>
        <v>100.83333333333334</v>
      </c>
      <c r="O119" s="920">
        <f>DATA!O114/2.4</f>
        <v>102.08333333333334</v>
      </c>
      <c r="P119" s="920">
        <f>DATA!P114/2.4</f>
        <v>103.33333333333334</v>
      </c>
      <c r="Q119" s="920">
        <f>DATA!Q114/2.4</f>
        <v>104.58333333333334</v>
      </c>
      <c r="R119" s="920">
        <f>DATA!R114/2.4</f>
        <v>105.41666666666667</v>
      </c>
      <c r="S119" s="920">
        <f>DATA!S114/2.4</f>
        <v>106.66666666666667</v>
      </c>
      <c r="T119" s="920">
        <f>DATA!T114/2.4</f>
        <v>107.5</v>
      </c>
      <c r="U119" s="920">
        <f>DATA!U114/2.4</f>
        <v>108.33333333333334</v>
      </c>
      <c r="V119" s="920">
        <f>DATA!V114/2.4</f>
        <v>110</v>
      </c>
      <c r="W119" s="920">
        <f>DATA!W114/2.4</f>
        <v>111.66666666666667</v>
      </c>
      <c r="X119" s="920">
        <f>DATA!X114/2.4</f>
        <v>112.91666666666667</v>
      </c>
      <c r="Y119" s="920">
        <f>DATA!Y114/2.4</f>
        <v>114.16666666666667</v>
      </c>
      <c r="Z119" s="920">
        <f>DATA!Z114/2.4</f>
        <v>115.41666666666667</v>
      </c>
      <c r="AA119" s="920">
        <f>DATA!AA114/2.4</f>
        <v>117.91666666666667</v>
      </c>
      <c r="AB119" s="920">
        <f>DATA!AB114/2.4</f>
        <v>120</v>
      </c>
      <c r="AC119" s="920">
        <f>DATA!AC114/2.4</f>
        <v>121.66666666666667</v>
      </c>
    </row>
    <row r="120" spans="1:29" ht="15.75">
      <c r="A120" s="918">
        <f>DATA!A115</f>
        <v>31.6</v>
      </c>
      <c r="B120" s="920">
        <f>DATA!B115/2.4</f>
        <v>63.333333333333336</v>
      </c>
      <c r="C120" s="920">
        <f>DATA!C115/2.4</f>
        <v>63.333333333333336</v>
      </c>
      <c r="D120" s="920">
        <f>DATA!D115/2.4</f>
        <v>68.333333333333343</v>
      </c>
      <c r="E120" s="920">
        <f>DATA!E115/2.4</f>
        <v>72.916666666666671</v>
      </c>
      <c r="F120" s="920">
        <f>DATA!F115/2.4</f>
        <v>77.083333333333343</v>
      </c>
      <c r="G120" s="920">
        <f>DATA!G115/2.4</f>
        <v>80.833333333333343</v>
      </c>
      <c r="H120" s="920">
        <f>DATA!H115/2.4</f>
        <v>84.166666666666671</v>
      </c>
      <c r="I120" s="920">
        <f>DATA!I115/2.4</f>
        <v>87.5</v>
      </c>
      <c r="J120" s="920">
        <f>DATA!J115/2.4</f>
        <v>90.416666666666671</v>
      </c>
      <c r="K120" s="920">
        <f>DATA!K115/2.4</f>
        <v>93.333333333333343</v>
      </c>
      <c r="L120" s="920">
        <f>DATA!L115/2.4</f>
        <v>95.833333333333343</v>
      </c>
      <c r="M120" s="920">
        <f>DATA!M115/2.4</f>
        <v>98.333333333333343</v>
      </c>
      <c r="N120" s="920">
        <f>DATA!N115/2.4</f>
        <v>100</v>
      </c>
      <c r="O120" s="920">
        <f>DATA!O115/2.4</f>
        <v>101.25</v>
      </c>
      <c r="P120" s="920">
        <f>DATA!P115/2.4</f>
        <v>102.5</v>
      </c>
      <c r="Q120" s="920">
        <f>DATA!Q115/2.4</f>
        <v>103.33333333333334</v>
      </c>
      <c r="R120" s="920">
        <f>DATA!R115/2.4</f>
        <v>104.58333333333334</v>
      </c>
      <c r="S120" s="920">
        <f>DATA!S115/2.4</f>
        <v>105.41666666666667</v>
      </c>
      <c r="T120" s="920">
        <f>DATA!T115/2.4</f>
        <v>106.25</v>
      </c>
      <c r="U120" s="920">
        <f>DATA!U115/2.4</f>
        <v>107.08333333333334</v>
      </c>
      <c r="V120" s="920">
        <f>DATA!V115/2.4</f>
        <v>108.75</v>
      </c>
      <c r="W120" s="920">
        <f>DATA!W115/2.4</f>
        <v>110.41666666666667</v>
      </c>
      <c r="X120" s="920">
        <f>DATA!X115/2.4</f>
        <v>111.66666666666667</v>
      </c>
      <c r="Y120" s="920">
        <f>DATA!Y115/2.4</f>
        <v>112.91666666666667</v>
      </c>
      <c r="Z120" s="920">
        <f>DATA!Z115/2.4</f>
        <v>114.16666666666667</v>
      </c>
      <c r="AA120" s="920">
        <f>DATA!AA115/2.4</f>
        <v>116.66666666666667</v>
      </c>
      <c r="AB120" s="920">
        <f>DATA!AB115/2.4</f>
        <v>118.75</v>
      </c>
      <c r="AC120" s="920">
        <f>DATA!AC115/2.4</f>
        <v>120.41666666666667</v>
      </c>
    </row>
    <row r="121" spans="1:29" ht="15.75">
      <c r="A121" s="918">
        <f>DATA!A116</f>
        <v>31.7</v>
      </c>
      <c r="B121" s="920">
        <f>DATA!B116/2.4</f>
        <v>62.083333333333336</v>
      </c>
      <c r="C121" s="920">
        <f>DATA!C116/2.4</f>
        <v>62.083333333333336</v>
      </c>
      <c r="D121" s="920">
        <f>DATA!D116/2.4</f>
        <v>67.083333333333343</v>
      </c>
      <c r="E121" s="920">
        <f>DATA!E116/2.4</f>
        <v>71.666666666666671</v>
      </c>
      <c r="F121" s="920">
        <f>DATA!F116/2.4</f>
        <v>75.416666666666671</v>
      </c>
      <c r="G121" s="920">
        <f>DATA!G116/2.4</f>
        <v>79.166666666666671</v>
      </c>
      <c r="H121" s="920">
        <f>DATA!H116/2.4</f>
        <v>82.5</v>
      </c>
      <c r="I121" s="920">
        <f>DATA!I116/2.4</f>
        <v>85.833333333333343</v>
      </c>
      <c r="J121" s="920">
        <f>DATA!J116/2.4</f>
        <v>88.75</v>
      </c>
      <c r="K121" s="920">
        <f>DATA!K116/2.4</f>
        <v>91.25</v>
      </c>
      <c r="L121" s="920">
        <f>DATA!L116/2.4</f>
        <v>93.75</v>
      </c>
      <c r="M121" s="920">
        <f>DATA!M116/2.4</f>
        <v>96.25</v>
      </c>
      <c r="N121" s="920">
        <f>DATA!N116/2.4</f>
        <v>98.75</v>
      </c>
      <c r="O121" s="920">
        <f>DATA!O116/2.4</f>
        <v>100</v>
      </c>
      <c r="P121" s="920">
        <f>DATA!P116/2.4</f>
        <v>101.25</v>
      </c>
      <c r="Q121" s="920">
        <f>DATA!Q116/2.4</f>
        <v>102.08333333333334</v>
      </c>
      <c r="R121" s="920">
        <f>DATA!R116/2.4</f>
        <v>102.5</v>
      </c>
      <c r="S121" s="920">
        <f>DATA!S116/2.4</f>
        <v>104.16666666666667</v>
      </c>
      <c r="T121" s="920">
        <f>DATA!T116/2.4</f>
        <v>105</v>
      </c>
      <c r="U121" s="920">
        <f>DATA!U116/2.4</f>
        <v>105.83333333333334</v>
      </c>
      <c r="V121" s="920">
        <f>DATA!V116/2.4</f>
        <v>107.5</v>
      </c>
      <c r="W121" s="920">
        <f>DATA!W116/2.4</f>
        <v>109.16666666666667</v>
      </c>
      <c r="X121" s="920">
        <f>DATA!X116/2.4</f>
        <v>110.41666666666667</v>
      </c>
      <c r="Y121" s="920">
        <f>DATA!Y116/2.4</f>
        <v>111.66666666666667</v>
      </c>
      <c r="Z121" s="920">
        <f>DATA!Z116/2.4</f>
        <v>112.91666666666667</v>
      </c>
      <c r="AA121" s="920">
        <f>DATA!AA116/2.4</f>
        <v>115</v>
      </c>
      <c r="AB121" s="920">
        <f>DATA!AB116/2.4</f>
        <v>117.08333333333334</v>
      </c>
      <c r="AC121" s="920">
        <f>DATA!AC116/2.4</f>
        <v>118.75</v>
      </c>
    </row>
    <row r="122" spans="1:29" ht="15.75">
      <c r="A122" s="918">
        <f>DATA!A117</f>
        <v>31.8</v>
      </c>
      <c r="B122" s="920">
        <f>DATA!B117/2.4</f>
        <v>60.833333333333336</v>
      </c>
      <c r="C122" s="920">
        <f>DATA!C117/2.4</f>
        <v>60.833333333333336</v>
      </c>
      <c r="D122" s="920">
        <f>DATA!D117/2.4</f>
        <v>65.833333333333343</v>
      </c>
      <c r="E122" s="920">
        <f>DATA!E117/2.4</f>
        <v>70</v>
      </c>
      <c r="F122" s="920">
        <f>DATA!F117/2.4</f>
        <v>74.166666666666671</v>
      </c>
      <c r="G122" s="920">
        <f>DATA!G117/2.4</f>
        <v>77.916666666666671</v>
      </c>
      <c r="H122" s="920">
        <f>DATA!H117/2.4</f>
        <v>80.833333333333343</v>
      </c>
      <c r="I122" s="920">
        <f>DATA!I117/2.4</f>
        <v>84.166666666666671</v>
      </c>
      <c r="J122" s="920">
        <f>DATA!J117/2.4</f>
        <v>87.083333333333343</v>
      </c>
      <c r="K122" s="920">
        <f>DATA!K117/2.4</f>
        <v>89.583333333333343</v>
      </c>
      <c r="L122" s="920">
        <f>DATA!L117/2.4</f>
        <v>92.083333333333343</v>
      </c>
      <c r="M122" s="920">
        <f>DATA!M117/2.4</f>
        <v>94.583333333333343</v>
      </c>
      <c r="N122" s="920">
        <f>DATA!N117/2.4</f>
        <v>96.666666666666671</v>
      </c>
      <c r="O122" s="920">
        <f>DATA!O117/2.4</f>
        <v>98.75</v>
      </c>
      <c r="P122" s="920">
        <f>DATA!P117/2.4</f>
        <v>100</v>
      </c>
      <c r="Q122" s="920">
        <f>DATA!Q117/2.4</f>
        <v>101.25</v>
      </c>
      <c r="R122" s="920">
        <f>DATA!R117/2.4</f>
        <v>102.08333333333334</v>
      </c>
      <c r="S122" s="920">
        <f>DATA!S117/2.4</f>
        <v>102.91666666666667</v>
      </c>
      <c r="T122" s="920">
        <f>DATA!T117/2.4</f>
        <v>104.16666666666667</v>
      </c>
      <c r="U122" s="920">
        <f>DATA!U117/2.4</f>
        <v>105</v>
      </c>
      <c r="V122" s="920">
        <f>DATA!V117/2.4</f>
        <v>106.25</v>
      </c>
      <c r="W122" s="920">
        <f>DATA!W117/2.4</f>
        <v>107.91666666666667</v>
      </c>
      <c r="X122" s="920">
        <f>DATA!X117/2.4</f>
        <v>109.16666666666667</v>
      </c>
      <c r="Y122" s="920">
        <f>DATA!Y117/2.4</f>
        <v>110.41666666666667</v>
      </c>
      <c r="Z122" s="920">
        <f>DATA!Z117/2.4</f>
        <v>111.66666666666667</v>
      </c>
      <c r="AA122" s="920">
        <f>DATA!AA117/2.4</f>
        <v>113.75</v>
      </c>
      <c r="AB122" s="920">
        <f>DATA!AB117/2.4</f>
        <v>115.83333333333334</v>
      </c>
      <c r="AC122" s="920">
        <f>DATA!AC117/2.4</f>
        <v>117.91666666666667</v>
      </c>
    </row>
    <row r="123" spans="1:29" ht="15.75">
      <c r="A123" s="918">
        <f>DATA!A118</f>
        <v>31.9</v>
      </c>
      <c r="B123" s="920">
        <f>DATA!B118/2.4</f>
        <v>59.583333333333336</v>
      </c>
      <c r="C123" s="920">
        <f>DATA!C118/2.4</f>
        <v>59.583333333333336</v>
      </c>
      <c r="D123" s="920">
        <f>DATA!D118/2.4</f>
        <v>64.583333333333343</v>
      </c>
      <c r="E123" s="920">
        <f>DATA!E118/2.4</f>
        <v>68.75</v>
      </c>
      <c r="F123" s="920">
        <f>DATA!F118/2.4</f>
        <v>72.5</v>
      </c>
      <c r="G123" s="920">
        <f>DATA!G118/2.4</f>
        <v>76.25</v>
      </c>
      <c r="H123" s="920">
        <f>DATA!H118/2.4</f>
        <v>79.583333333333343</v>
      </c>
      <c r="I123" s="920">
        <f>DATA!I118/2.4</f>
        <v>82.5</v>
      </c>
      <c r="J123" s="920">
        <f>DATA!J118/2.4</f>
        <v>85</v>
      </c>
      <c r="K123" s="920">
        <f>DATA!K118/2.4</f>
        <v>87.916666666666671</v>
      </c>
      <c r="L123" s="920">
        <f>DATA!L118/2.4</f>
        <v>90.416666666666671</v>
      </c>
      <c r="M123" s="920">
        <f>DATA!M118/2.4</f>
        <v>92.5</v>
      </c>
      <c r="N123" s="920">
        <f>DATA!N118/2.4</f>
        <v>94.583333333333343</v>
      </c>
      <c r="O123" s="920">
        <f>DATA!O118/2.4</f>
        <v>96.666666666666671</v>
      </c>
      <c r="P123" s="920">
        <f>DATA!P118/2.4</f>
        <v>98.75</v>
      </c>
      <c r="Q123" s="920">
        <f>DATA!Q118/2.4</f>
        <v>100</v>
      </c>
      <c r="R123" s="920">
        <f>DATA!R118/2.4</f>
        <v>100.83333333333334</v>
      </c>
      <c r="S123" s="920">
        <f>DATA!S118/2.4</f>
        <v>102.08333333333334</v>
      </c>
      <c r="T123" s="920">
        <f>DATA!T118/2.4</f>
        <v>102.91666666666667</v>
      </c>
      <c r="U123" s="920">
        <f>DATA!U118/2.4</f>
        <v>103.75</v>
      </c>
      <c r="V123" s="920">
        <f>DATA!V118/2.4</f>
        <v>105.41666666666667</v>
      </c>
      <c r="W123" s="920">
        <f>DATA!W118/2.4</f>
        <v>106.66666666666667</v>
      </c>
      <c r="X123" s="920">
        <f>DATA!X118/2.4</f>
        <v>107.91666666666667</v>
      </c>
      <c r="Y123" s="920">
        <f>DATA!Y118/2.4</f>
        <v>109.16666666666667</v>
      </c>
      <c r="Z123" s="920">
        <f>DATA!Z118/2.4</f>
        <v>110.41666666666667</v>
      </c>
      <c r="AA123" s="920">
        <f>DATA!AA118/2.4</f>
        <v>112.91666666666667</v>
      </c>
      <c r="AB123" s="920">
        <f>DATA!AB118/2.4</f>
        <v>114.58333333333334</v>
      </c>
      <c r="AC123" s="920">
        <f>DATA!AC118/2.4</f>
        <v>116.25</v>
      </c>
    </row>
    <row r="124" spans="1:29" ht="15.75">
      <c r="A124" s="918">
        <f>DATA!A119</f>
        <v>32</v>
      </c>
      <c r="B124" s="920">
        <f>DATA!B119/2.4</f>
        <v>58.333333333333336</v>
      </c>
      <c r="C124" s="920">
        <f>DATA!C119/2.4</f>
        <v>58.333333333333336</v>
      </c>
      <c r="D124" s="920">
        <f>DATA!D119/2.4</f>
        <v>63.333333333333336</v>
      </c>
      <c r="E124" s="920">
        <f>DATA!E119/2.4</f>
        <v>67.5</v>
      </c>
      <c r="F124" s="920">
        <f>DATA!F119/2.4</f>
        <v>71.25</v>
      </c>
      <c r="G124" s="920">
        <f>DATA!G119/2.4</f>
        <v>74.583333333333343</v>
      </c>
      <c r="H124" s="920">
        <f>DATA!H119/2.4</f>
        <v>77.916666666666671</v>
      </c>
      <c r="I124" s="920">
        <f>DATA!I119/2.4</f>
        <v>80.833333333333343</v>
      </c>
      <c r="J124" s="920">
        <f>DATA!J119/2.4</f>
        <v>83.333333333333343</v>
      </c>
      <c r="K124" s="920">
        <f>DATA!K119/2.4</f>
        <v>85.833333333333343</v>
      </c>
      <c r="L124" s="920">
        <f>DATA!L119/2.4</f>
        <v>88.333333333333343</v>
      </c>
      <c r="M124" s="920">
        <f>DATA!M119/2.4</f>
        <v>90.833333333333343</v>
      </c>
      <c r="N124" s="920">
        <f>DATA!N119/2.4</f>
        <v>92.916666666666671</v>
      </c>
      <c r="O124" s="920">
        <f>DATA!O119/2.4</f>
        <v>95</v>
      </c>
      <c r="P124" s="920">
        <f>DATA!P119/2.4</f>
        <v>96.666666666666671</v>
      </c>
      <c r="Q124" s="920">
        <f>DATA!Q119/2.4</f>
        <v>98.75</v>
      </c>
      <c r="R124" s="920">
        <f>DATA!R119/2.4</f>
        <v>100</v>
      </c>
      <c r="S124" s="920">
        <f>DATA!S119/2.4</f>
        <v>100.83333333333334</v>
      </c>
      <c r="T124" s="920">
        <f>DATA!T119/2.4</f>
        <v>101.66666666666667</v>
      </c>
      <c r="U124" s="920">
        <f>DATA!U119/2.4</f>
        <v>102.5</v>
      </c>
      <c r="V124" s="920">
        <f>DATA!V119/2.4</f>
        <v>104.16666666666667</v>
      </c>
      <c r="W124" s="920">
        <f>DATA!W119/2.4</f>
        <v>105.41666666666667</v>
      </c>
      <c r="X124" s="920">
        <f>DATA!X119/2.4</f>
        <v>106.66666666666667</v>
      </c>
      <c r="Y124" s="920">
        <f>DATA!Y119/2.4</f>
        <v>107.91666666666667</v>
      </c>
      <c r="Z124" s="920">
        <f>DATA!Z119/2.4</f>
        <v>108.75</v>
      </c>
      <c r="AA124" s="920">
        <f>DATA!AA119/2.4</f>
        <v>111.25</v>
      </c>
      <c r="AB124" s="920">
        <f>DATA!AB119/2.4</f>
        <v>113.33333333333334</v>
      </c>
      <c r="AC124" s="920">
        <f>DATA!AC119/2.4</f>
        <v>115</v>
      </c>
    </row>
    <row r="125" spans="1:29" ht="15.75">
      <c r="A125" s="918">
        <f>DATA!A120</f>
        <v>32.1</v>
      </c>
      <c r="B125" s="920">
        <f>DATA!B120/2.4</f>
        <v>57.083333333333336</v>
      </c>
      <c r="C125" s="920">
        <f>DATA!C120/2.4</f>
        <v>57.083333333333336</v>
      </c>
      <c r="D125" s="920">
        <f>DATA!D120/2.4</f>
        <v>61.666666666666671</v>
      </c>
      <c r="E125" s="920">
        <f>DATA!E120/2.4</f>
        <v>65.833333333333343</v>
      </c>
      <c r="F125" s="920">
        <f>DATA!F120/2.4</f>
        <v>69.583333333333343</v>
      </c>
      <c r="G125" s="920">
        <f>DATA!G120/2.4</f>
        <v>72.916666666666671</v>
      </c>
      <c r="H125" s="920">
        <f>DATA!H120/2.4</f>
        <v>76.25</v>
      </c>
      <c r="I125" s="920">
        <f>DATA!I120/2.4</f>
        <v>79.166666666666671</v>
      </c>
      <c r="J125" s="920">
        <f>DATA!J120/2.4</f>
        <v>81.666666666666671</v>
      </c>
      <c r="K125" s="920">
        <f>DATA!K120/2.4</f>
        <v>84.166666666666671</v>
      </c>
      <c r="L125" s="920">
        <f>DATA!L120/2.4</f>
        <v>86.666666666666671</v>
      </c>
      <c r="M125" s="920">
        <f>DATA!M120/2.4</f>
        <v>88.75</v>
      </c>
      <c r="N125" s="920">
        <f>DATA!N120/2.4</f>
        <v>90.833333333333343</v>
      </c>
      <c r="O125" s="920">
        <f>DATA!O120/2.4</f>
        <v>92.916666666666671</v>
      </c>
      <c r="P125" s="920">
        <f>DATA!P120/2.4</f>
        <v>95</v>
      </c>
      <c r="Q125" s="920">
        <f>DATA!Q120/2.4</f>
        <v>96.666666666666671</v>
      </c>
      <c r="R125" s="920">
        <f>DATA!R120/2.4</f>
        <v>98.333333333333343</v>
      </c>
      <c r="S125" s="920">
        <f>DATA!S120/2.4</f>
        <v>99.583333333333343</v>
      </c>
      <c r="T125" s="920">
        <f>DATA!T120/2.4</f>
        <v>100.41666666666667</v>
      </c>
      <c r="U125" s="920">
        <f>DATA!U120/2.4</f>
        <v>101.25</v>
      </c>
      <c r="V125" s="920">
        <f>DATA!V120/2.4</f>
        <v>102.91666666666667</v>
      </c>
      <c r="W125" s="920">
        <f>DATA!W120/2.4</f>
        <v>104.16666666666667</v>
      </c>
      <c r="X125" s="920">
        <f>DATA!X120/2.4</f>
        <v>105.41666666666667</v>
      </c>
      <c r="Y125" s="920">
        <f>DATA!Y120/2.4</f>
        <v>106.66666666666667</v>
      </c>
      <c r="Z125" s="920">
        <f>DATA!Z120/2.4</f>
        <v>107.5</v>
      </c>
      <c r="AA125" s="920">
        <f>DATA!AA120/2.4</f>
        <v>110</v>
      </c>
      <c r="AB125" s="920">
        <f>DATA!AB120/2.4</f>
        <v>112.08333333333334</v>
      </c>
      <c r="AC125" s="920">
        <f>DATA!AC120/2.4</f>
        <v>113.75</v>
      </c>
    </row>
    <row r="126" spans="1:29" ht="15.75">
      <c r="A126" s="918">
        <f>DATA!A121</f>
        <v>32.200000000000003</v>
      </c>
      <c r="B126" s="920">
        <f>DATA!B121/2.4</f>
        <v>55.833333333333336</v>
      </c>
      <c r="C126" s="920">
        <f>DATA!C121/2.4</f>
        <v>55.833333333333336</v>
      </c>
      <c r="D126" s="920">
        <f>DATA!D121/2.4</f>
        <v>60.416666666666671</v>
      </c>
      <c r="E126" s="920">
        <f>DATA!E121/2.4</f>
        <v>64.583333333333343</v>
      </c>
      <c r="F126" s="920">
        <f>DATA!F121/2.4</f>
        <v>67.916666666666671</v>
      </c>
      <c r="G126" s="920">
        <f>DATA!G121/2.4</f>
        <v>71.25</v>
      </c>
      <c r="H126" s="920">
        <f>DATA!H121/2.4</f>
        <v>74.583333333333343</v>
      </c>
      <c r="I126" s="920">
        <f>DATA!I121/2.4</f>
        <v>77.5</v>
      </c>
      <c r="J126" s="920">
        <f>DATA!J121/2.4</f>
        <v>80</v>
      </c>
      <c r="K126" s="920">
        <f>DATA!K121/2.4</f>
        <v>82.5</v>
      </c>
      <c r="L126" s="920">
        <f>DATA!L121/2.4</f>
        <v>84.583333333333343</v>
      </c>
      <c r="M126" s="920">
        <f>DATA!M121/2.4</f>
        <v>87.083333333333343</v>
      </c>
      <c r="N126" s="920">
        <f>DATA!N121/2.4</f>
        <v>89.166666666666671</v>
      </c>
      <c r="O126" s="920">
        <f>DATA!O121/2.4</f>
        <v>90.833333333333343</v>
      </c>
      <c r="P126" s="920">
        <f>DATA!P121/2.4</f>
        <v>92.916666666666671</v>
      </c>
      <c r="Q126" s="920">
        <f>DATA!Q121/2.4</f>
        <v>94.583333333333343</v>
      </c>
      <c r="R126" s="920">
        <f>DATA!R121/2.4</f>
        <v>96.25</v>
      </c>
      <c r="S126" s="920">
        <f>DATA!S121/2.4</f>
        <v>97.916666666666671</v>
      </c>
      <c r="T126" s="920">
        <f>DATA!T121/2.4</f>
        <v>99.583333333333343</v>
      </c>
      <c r="U126" s="920">
        <f>DATA!U121/2.4</f>
        <v>100</v>
      </c>
      <c r="V126" s="920">
        <f>DATA!V121/2.4</f>
        <v>101.66666666666667</v>
      </c>
      <c r="W126" s="920">
        <f>DATA!W121/2.4</f>
        <v>102.91666666666667</v>
      </c>
      <c r="X126" s="920">
        <f>DATA!X121/2.4</f>
        <v>104.16666666666667</v>
      </c>
      <c r="Y126" s="920">
        <f>DATA!Y121/2.4</f>
        <v>105.41666666666667</v>
      </c>
      <c r="Z126" s="920">
        <f>DATA!Z121/2.4</f>
        <v>106.25</v>
      </c>
      <c r="AA126" s="920">
        <f>DATA!AA121/2.4</f>
        <v>108.75</v>
      </c>
      <c r="AB126" s="920">
        <f>DATA!AB121/2.4</f>
        <v>110.83333333333334</v>
      </c>
      <c r="AC126" s="920">
        <f>DATA!AC121/2.4</f>
        <v>112.5</v>
      </c>
    </row>
    <row r="127" spans="1:29" ht="15.75">
      <c r="A127" s="918">
        <f>DATA!A122</f>
        <v>32.299999999999997</v>
      </c>
      <c r="B127" s="920">
        <f>DATA!B122/2.4</f>
        <v>54.583333333333336</v>
      </c>
      <c r="C127" s="920">
        <f>DATA!C122/2.4</f>
        <v>54.583333333333336</v>
      </c>
      <c r="D127" s="920">
        <f>DATA!D122/2.4</f>
        <v>59.166666666666671</v>
      </c>
      <c r="E127" s="920">
        <f>DATA!E122/2.4</f>
        <v>62.916666666666671</v>
      </c>
      <c r="F127" s="920">
        <f>DATA!F122/2.4</f>
        <v>66.666666666666671</v>
      </c>
      <c r="G127" s="920">
        <f>DATA!G122/2.4</f>
        <v>70</v>
      </c>
      <c r="H127" s="920">
        <f>DATA!H122/2.4</f>
        <v>72.916666666666671</v>
      </c>
      <c r="I127" s="920">
        <f>DATA!I122/2.4</f>
        <v>75.416666666666671</v>
      </c>
      <c r="J127" s="920">
        <f>DATA!J122/2.4</f>
        <v>78.333333333333343</v>
      </c>
      <c r="K127" s="920">
        <f>DATA!K122/2.4</f>
        <v>80.416666666666671</v>
      </c>
      <c r="L127" s="920">
        <f>DATA!L122/2.4</f>
        <v>81.666666666666671</v>
      </c>
      <c r="M127" s="920">
        <f>DATA!M122/2.4</f>
        <v>85</v>
      </c>
      <c r="N127" s="920">
        <f>DATA!N122/2.4</f>
        <v>87.083333333333343</v>
      </c>
      <c r="O127" s="920">
        <f>DATA!O122/2.4</f>
        <v>88.75</v>
      </c>
      <c r="P127" s="920">
        <f>DATA!P122/2.4</f>
        <v>90.833333333333343</v>
      </c>
      <c r="Q127" s="920">
        <f>DATA!Q122/2.4</f>
        <v>92.5</v>
      </c>
      <c r="R127" s="920">
        <f>DATA!R122/2.4</f>
        <v>94.166666666666671</v>
      </c>
      <c r="S127" s="920">
        <f>DATA!S122/2.4</f>
        <v>95.833333333333343</v>
      </c>
      <c r="T127" s="920">
        <f>DATA!T122/2.4</f>
        <v>97.083333333333343</v>
      </c>
      <c r="U127" s="920">
        <f>DATA!U122/2.4</f>
        <v>98.75</v>
      </c>
      <c r="V127" s="920">
        <f>DATA!V122/2.4</f>
        <v>100.41666666666667</v>
      </c>
      <c r="W127" s="920">
        <f>DATA!W122/2.4</f>
        <v>101.66666666666667</v>
      </c>
      <c r="X127" s="920">
        <f>DATA!X122/2.4</f>
        <v>102.91666666666667</v>
      </c>
      <c r="Y127" s="920">
        <f>DATA!Y122/2.4</f>
        <v>104.16666666666667</v>
      </c>
      <c r="Z127" s="920">
        <f>DATA!Z122/2.4</f>
        <v>105</v>
      </c>
      <c r="AA127" s="920">
        <f>DATA!AA122/2.4</f>
        <v>107.5</v>
      </c>
      <c r="AB127" s="920">
        <f>DATA!AB122/2.4</f>
        <v>109.16666666666667</v>
      </c>
      <c r="AC127" s="920">
        <f>DATA!AC122/2.4</f>
        <v>111.25</v>
      </c>
    </row>
    <row r="128" spans="1:29" ht="15.75">
      <c r="A128" s="918">
        <f>DATA!A123</f>
        <v>32.4</v>
      </c>
      <c r="B128" s="920">
        <f>DATA!B123/2.4</f>
        <v>53.333333333333336</v>
      </c>
      <c r="C128" s="920">
        <f>DATA!C123/2.4</f>
        <v>53.75</v>
      </c>
      <c r="D128" s="920">
        <f>DATA!D123/2.4</f>
        <v>57.916666666666671</v>
      </c>
      <c r="E128" s="920">
        <f>DATA!E123/2.4</f>
        <v>61.666666666666671</v>
      </c>
      <c r="F128" s="920">
        <f>DATA!F123/2.4</f>
        <v>65.833333333333343</v>
      </c>
      <c r="G128" s="920">
        <f>DATA!G123/2.4</f>
        <v>68.333333333333343</v>
      </c>
      <c r="H128" s="920">
        <f>DATA!H123/2.4</f>
        <v>71.25</v>
      </c>
      <c r="I128" s="920">
        <f>DATA!I123/2.4</f>
        <v>73.75</v>
      </c>
      <c r="J128" s="920">
        <f>DATA!J123/2.4</f>
        <v>76.25</v>
      </c>
      <c r="K128" s="920">
        <f>DATA!K123/2.4</f>
        <v>78.75</v>
      </c>
      <c r="L128" s="920">
        <f>DATA!L123/2.4</f>
        <v>80.833333333333343</v>
      </c>
      <c r="M128" s="920">
        <f>DATA!M123/2.4</f>
        <v>82.916666666666671</v>
      </c>
      <c r="N128" s="920">
        <f>DATA!N123/2.4</f>
        <v>85</v>
      </c>
      <c r="O128" s="920">
        <f>DATA!O123/2.4</f>
        <v>87.083333333333343</v>
      </c>
      <c r="P128" s="920">
        <f>DATA!P123/2.4</f>
        <v>88.75</v>
      </c>
      <c r="Q128" s="920">
        <f>DATA!Q123/2.4</f>
        <v>90.416666666666671</v>
      </c>
      <c r="R128" s="920">
        <f>DATA!R123/2.4</f>
        <v>92.083333333333343</v>
      </c>
      <c r="S128" s="920">
        <f>DATA!S123/2.4</f>
        <v>93.75</v>
      </c>
      <c r="T128" s="920">
        <f>DATA!T123/2.4</f>
        <v>95</v>
      </c>
      <c r="U128" s="920">
        <f>DATA!U123/2.4</f>
        <v>96.666666666666671</v>
      </c>
      <c r="V128" s="920">
        <f>DATA!V123/2.4</f>
        <v>99.166666666666671</v>
      </c>
      <c r="W128" s="920">
        <f>DATA!W123/2.4</f>
        <v>100.41666666666667</v>
      </c>
      <c r="X128" s="920">
        <f>DATA!X123/2.4</f>
        <v>101.66666666666667</v>
      </c>
      <c r="Y128" s="920">
        <f>DATA!Y123/2.4</f>
        <v>102.91666666666667</v>
      </c>
      <c r="Z128" s="920">
        <f>DATA!Z123/2.4</f>
        <v>103.75</v>
      </c>
      <c r="AA128" s="920">
        <f>DATA!AA123/2.4</f>
        <v>106.25</v>
      </c>
      <c r="AB128" s="920">
        <f>DATA!AB123/2.4</f>
        <v>107.91666666666667</v>
      </c>
      <c r="AC128" s="920">
        <f>DATA!AC123/2.4</f>
        <v>109.58333333333334</v>
      </c>
    </row>
    <row r="129" spans="1:29" ht="15.75">
      <c r="A129" s="918">
        <f>DATA!A124</f>
        <v>32.5</v>
      </c>
      <c r="B129" s="920">
        <f>DATA!B124/2.4</f>
        <v>52.083333333333336</v>
      </c>
      <c r="C129" s="920">
        <f>DATA!C124/2.4</f>
        <v>52.083333333333336</v>
      </c>
      <c r="D129" s="920">
        <f>DATA!D124/2.4</f>
        <v>56.25</v>
      </c>
      <c r="E129" s="920">
        <f>DATA!E124/2.4</f>
        <v>60</v>
      </c>
      <c r="F129" s="920">
        <f>DATA!F124/2.4</f>
        <v>63.75</v>
      </c>
      <c r="G129" s="920">
        <f>DATA!G124/2.4</f>
        <v>66.666666666666671</v>
      </c>
      <c r="H129" s="920">
        <f>DATA!H124/2.4</f>
        <v>69.583333333333343</v>
      </c>
      <c r="I129" s="920">
        <f>DATA!I124/2.4</f>
        <v>72.083333333333343</v>
      </c>
      <c r="J129" s="920">
        <f>DATA!J124/2.4</f>
        <v>74.583333333333343</v>
      </c>
      <c r="K129" s="920">
        <f>DATA!K124/2.4</f>
        <v>77.083333333333343</v>
      </c>
      <c r="L129" s="920">
        <f>DATA!L124/2.4</f>
        <v>79.166666666666671</v>
      </c>
      <c r="M129" s="920">
        <f>DATA!M124/2.4</f>
        <v>81.25</v>
      </c>
      <c r="N129" s="920">
        <f>DATA!N124/2.4</f>
        <v>82.916666666666671</v>
      </c>
      <c r="O129" s="920">
        <f>DATA!O124/2.4</f>
        <v>85</v>
      </c>
      <c r="P129" s="920">
        <f>DATA!P124/2.4</f>
        <v>86.666666666666671</v>
      </c>
      <c r="Q129" s="920">
        <f>DATA!Q124/2.4</f>
        <v>88.333333333333343</v>
      </c>
      <c r="R129" s="920">
        <f>DATA!R124/2.4</f>
        <v>90</v>
      </c>
      <c r="S129" s="920">
        <f>DATA!S124/2.4</f>
        <v>91.25</v>
      </c>
      <c r="T129" s="920">
        <f>DATA!T124/2.4</f>
        <v>92.916666666666671</v>
      </c>
      <c r="U129" s="920">
        <f>DATA!U124/2.4</f>
        <v>95</v>
      </c>
      <c r="V129" s="920">
        <f>DATA!V124/2.4</f>
        <v>97.083333333333343</v>
      </c>
      <c r="W129" s="920">
        <f>DATA!W124/2.4</f>
        <v>99.166666666666671</v>
      </c>
      <c r="X129" s="920">
        <f>DATA!X124/2.4</f>
        <v>100.41666666666667</v>
      </c>
      <c r="Y129" s="920">
        <f>DATA!Y124/2.4</f>
        <v>101.66666666666667</v>
      </c>
      <c r="Z129" s="920">
        <f>DATA!Z124/2.4</f>
        <v>102.5</v>
      </c>
      <c r="AA129" s="920">
        <f>DATA!AA124/2.4</f>
        <v>105</v>
      </c>
      <c r="AB129" s="920">
        <f>DATA!AB124/2.4</f>
        <v>107.5</v>
      </c>
      <c r="AC129" s="920">
        <f>DATA!AC124/2.4</f>
        <v>108.33333333333334</v>
      </c>
    </row>
    <row r="130" spans="1:29" ht="15.75">
      <c r="A130" s="918">
        <f>DATA!A125</f>
        <v>32.6</v>
      </c>
      <c r="B130" s="920">
        <f>DATA!B125/2.4</f>
        <v>50.833333333333336</v>
      </c>
      <c r="C130" s="920">
        <f>DATA!C125/2.4</f>
        <v>50.833333333333336</v>
      </c>
      <c r="D130" s="920">
        <f>DATA!D125/2.4</f>
        <v>55</v>
      </c>
      <c r="E130" s="920">
        <f>DATA!E125/2.4</f>
        <v>58.75</v>
      </c>
      <c r="F130" s="920">
        <f>DATA!F125/2.4</f>
        <v>62.083333333333336</v>
      </c>
      <c r="G130" s="920">
        <f>DATA!G125/2.4</f>
        <v>65</v>
      </c>
      <c r="H130" s="920">
        <f>DATA!H125/2.4</f>
        <v>67.916666666666671</v>
      </c>
      <c r="I130" s="920">
        <f>DATA!I125/2.4</f>
        <v>70.416666666666671</v>
      </c>
      <c r="J130" s="920">
        <f>DATA!J125/2.4</f>
        <v>72.916666666666671</v>
      </c>
      <c r="K130" s="920">
        <f>DATA!K125/2.4</f>
        <v>75</v>
      </c>
      <c r="L130" s="920">
        <f>DATA!L125/2.4</f>
        <v>77.083333333333343</v>
      </c>
      <c r="M130" s="920">
        <f>DATA!M125/2.4</f>
        <v>79.166666666666671</v>
      </c>
      <c r="N130" s="920">
        <f>DATA!N125/2.4</f>
        <v>81.25</v>
      </c>
      <c r="O130" s="920">
        <f>DATA!O125/2.4</f>
        <v>82.916666666666671</v>
      </c>
      <c r="P130" s="920">
        <f>DATA!P125/2.4</f>
        <v>84.583333333333343</v>
      </c>
      <c r="Q130" s="920">
        <f>DATA!Q125/2.4</f>
        <v>86.25</v>
      </c>
      <c r="R130" s="920">
        <f>DATA!R125/2.4</f>
        <v>87.916666666666671</v>
      </c>
      <c r="S130" s="920">
        <f>DATA!S125/2.4</f>
        <v>89.166666666666671</v>
      </c>
      <c r="T130" s="920">
        <f>DATA!T125/2.4</f>
        <v>90.833333333333343</v>
      </c>
      <c r="U130" s="920">
        <f>DATA!U125/2.4</f>
        <v>92.083333333333343</v>
      </c>
      <c r="V130" s="920">
        <f>DATA!V125/2.4</f>
        <v>94.583333333333343</v>
      </c>
      <c r="W130" s="920">
        <f>DATA!W125/2.4</f>
        <v>97.083333333333343</v>
      </c>
      <c r="X130" s="920">
        <f>DATA!X125/2.4</f>
        <v>99.166666666666671</v>
      </c>
      <c r="Y130" s="920">
        <f>DATA!Y125/2.4</f>
        <v>100.41666666666667</v>
      </c>
      <c r="Z130" s="920">
        <f>DATA!Z125/2.4</f>
        <v>101.25</v>
      </c>
      <c r="AA130" s="920">
        <f>DATA!AA125/2.4</f>
        <v>103.33333333333334</v>
      </c>
      <c r="AB130" s="920">
        <f>DATA!AB125/2.4</f>
        <v>105.41666666666667</v>
      </c>
      <c r="AC130" s="920">
        <f>DATA!AC125/2.4</f>
        <v>107.08333333333334</v>
      </c>
    </row>
    <row r="131" spans="1:29" ht="15.75">
      <c r="A131" s="918">
        <f>DATA!A126</f>
        <v>32.700000000000003</v>
      </c>
      <c r="B131" s="920">
        <f>DATA!B126/2.4</f>
        <v>49.583333333333336</v>
      </c>
      <c r="C131" s="920">
        <f>DATA!C126/2.4</f>
        <v>49.583333333333336</v>
      </c>
      <c r="D131" s="920">
        <f>DATA!D126/2.4</f>
        <v>53.75</v>
      </c>
      <c r="E131" s="920">
        <f>DATA!E126/2.4</f>
        <v>57.083333333333336</v>
      </c>
      <c r="F131" s="920">
        <f>DATA!F126/2.4</f>
        <v>60.416666666666671</v>
      </c>
      <c r="G131" s="920">
        <f>DATA!G126/2.4</f>
        <v>63.333333333333336</v>
      </c>
      <c r="H131" s="920">
        <f>DATA!H126/2.4</f>
        <v>66.25</v>
      </c>
      <c r="I131" s="920">
        <f>DATA!I126/2.4</f>
        <v>68.333333333333343</v>
      </c>
      <c r="J131" s="920">
        <f>DATA!J126/2.4</f>
        <v>70.833333333333343</v>
      </c>
      <c r="K131" s="920">
        <f>DATA!K126/2.4</f>
        <v>73.333333333333343</v>
      </c>
      <c r="L131" s="920">
        <f>DATA!L126/2.4</f>
        <v>75.416666666666671</v>
      </c>
      <c r="M131" s="920">
        <f>DATA!M126/2.4</f>
        <v>77.083333333333343</v>
      </c>
      <c r="N131" s="920">
        <f>DATA!N126/2.4</f>
        <v>79.166666666666671</v>
      </c>
      <c r="O131" s="920">
        <f>DATA!O126/2.4</f>
        <v>80.833333333333343</v>
      </c>
      <c r="P131" s="920">
        <f>DATA!P126/2.4</f>
        <v>82.5</v>
      </c>
      <c r="Q131" s="920">
        <f>DATA!Q126/2.4</f>
        <v>84.166666666666671</v>
      </c>
      <c r="R131" s="920">
        <f>DATA!R126/2.4</f>
        <v>85.416666666666671</v>
      </c>
      <c r="S131" s="920">
        <f>DATA!S126/2.4</f>
        <v>87.083333333333343</v>
      </c>
      <c r="T131" s="920">
        <f>DATA!T126/2.4</f>
        <v>88.333333333333343</v>
      </c>
      <c r="U131" s="920">
        <f>DATA!U126/2.4</f>
        <v>90</v>
      </c>
      <c r="V131" s="920">
        <f>DATA!V126/2.4</f>
        <v>92.5</v>
      </c>
      <c r="W131" s="920">
        <f>DATA!W126/2.4</f>
        <v>94.583333333333343</v>
      </c>
      <c r="X131" s="920">
        <f>DATA!X126/2.4</f>
        <v>96.666666666666671</v>
      </c>
      <c r="Y131" s="920">
        <f>DATA!Y126/2.4</f>
        <v>98.75</v>
      </c>
      <c r="Z131" s="920">
        <f>DATA!Z126/2.4</f>
        <v>100</v>
      </c>
      <c r="AA131" s="920">
        <f>DATA!AA126/2.4</f>
        <v>102.08333333333334</v>
      </c>
      <c r="AB131" s="920">
        <f>DATA!AB126/2.4</f>
        <v>104.16666666666667</v>
      </c>
      <c r="AC131" s="920">
        <f>DATA!AC126/2.4</f>
        <v>105.41666666666667</v>
      </c>
    </row>
    <row r="132" spans="1:29" ht="15.75">
      <c r="A132" s="918">
        <f>DATA!A127</f>
        <v>32.799999999999997</v>
      </c>
      <c r="B132" s="920">
        <f>DATA!B127/2.4</f>
        <v>48.333333333333336</v>
      </c>
      <c r="C132" s="920">
        <f>DATA!C127/2.4</f>
        <v>48.333333333333336</v>
      </c>
      <c r="D132" s="920">
        <f>DATA!D127/2.4</f>
        <v>52.083333333333336</v>
      </c>
      <c r="E132" s="920">
        <f>DATA!E127/2.4</f>
        <v>55.833333333333336</v>
      </c>
      <c r="F132" s="920">
        <f>DATA!F127/2.4</f>
        <v>58.75</v>
      </c>
      <c r="G132" s="920">
        <f>DATA!G127/2.4</f>
        <v>61.666666666666671</v>
      </c>
      <c r="H132" s="920">
        <f>DATA!H127/2.4</f>
        <v>64.583333333333343</v>
      </c>
      <c r="I132" s="920">
        <f>DATA!I127/2.4</f>
        <v>67.083333333333343</v>
      </c>
      <c r="J132" s="920">
        <f>DATA!J127/2.4</f>
        <v>69.166666666666671</v>
      </c>
      <c r="K132" s="920">
        <f>DATA!K127/2.4</f>
        <v>71.25</v>
      </c>
      <c r="L132" s="920">
        <f>DATA!L127/2.4</f>
        <v>73.333333333333343</v>
      </c>
      <c r="M132" s="920">
        <f>DATA!M127/2.4</f>
        <v>75.416666666666671</v>
      </c>
      <c r="N132" s="920">
        <f>DATA!N127/2.4</f>
        <v>77.083333333333343</v>
      </c>
      <c r="O132" s="920">
        <f>DATA!O127/2.4</f>
        <v>78.75</v>
      </c>
      <c r="P132" s="920">
        <f>DATA!P127/2.4</f>
        <v>80.416666666666671</v>
      </c>
      <c r="Q132" s="920">
        <f>DATA!Q127/2.4</f>
        <v>82.083333333333343</v>
      </c>
      <c r="R132" s="920">
        <f>DATA!R127/2.4</f>
        <v>83.333333333333343</v>
      </c>
      <c r="S132" s="920">
        <f>DATA!S127/2.4</f>
        <v>85</v>
      </c>
      <c r="T132" s="920">
        <f>DATA!T127/2.4</f>
        <v>86.25</v>
      </c>
      <c r="U132" s="920">
        <f>DATA!U127/2.4</f>
        <v>87.5</v>
      </c>
      <c r="V132" s="920">
        <f>DATA!V127/2.4</f>
        <v>90</v>
      </c>
      <c r="W132" s="920">
        <f>DATA!W127/2.4</f>
        <v>92.083333333333343</v>
      </c>
      <c r="X132" s="920">
        <f>DATA!X127/2.4</f>
        <v>94.583333333333343</v>
      </c>
      <c r="Y132" s="920">
        <f>DATA!Y127/2.4</f>
        <v>96.25</v>
      </c>
      <c r="Z132" s="920">
        <f>DATA!Z127/2.4</f>
        <v>98.333333333333343</v>
      </c>
      <c r="AA132" s="920">
        <f>DATA!AA127/2.4</f>
        <v>100.83333333333334</v>
      </c>
      <c r="AB132" s="920">
        <f>DATA!AB127/2.4</f>
        <v>102.5</v>
      </c>
      <c r="AC132" s="920">
        <f>DATA!AC127/2.4</f>
        <v>104.16666666666667</v>
      </c>
    </row>
    <row r="133" spans="1:29" ht="15.75">
      <c r="A133" s="918">
        <f>DATA!A128</f>
        <v>32.9</v>
      </c>
      <c r="B133" s="920">
        <f>DATA!B128/2.4</f>
        <v>47.083333333333336</v>
      </c>
      <c r="C133" s="920">
        <f>DATA!C128/2.4</f>
        <v>47.083333333333336</v>
      </c>
      <c r="D133" s="920">
        <f>DATA!D128/2.4</f>
        <v>50.833333333333336</v>
      </c>
      <c r="E133" s="920">
        <f>DATA!E128/2.4</f>
        <v>54.166666666666671</v>
      </c>
      <c r="F133" s="920">
        <f>DATA!F128/2.4</f>
        <v>57.5</v>
      </c>
      <c r="G133" s="920">
        <f>DATA!G128/2.4</f>
        <v>60</v>
      </c>
      <c r="H133" s="920">
        <f>DATA!H128/2.4</f>
        <v>62.916666666666671</v>
      </c>
      <c r="I133" s="920">
        <f>DATA!I128/2.4</f>
        <v>65</v>
      </c>
      <c r="J133" s="920">
        <f>DATA!J128/2.4</f>
        <v>67.5</v>
      </c>
      <c r="K133" s="920">
        <f>DATA!K128/2.4</f>
        <v>69.583333333333343</v>
      </c>
      <c r="L133" s="920">
        <f>DATA!L128/2.4</f>
        <v>71.666666666666671</v>
      </c>
      <c r="M133" s="920">
        <f>DATA!M128/2.4</f>
        <v>73.333333333333343</v>
      </c>
      <c r="N133" s="920">
        <f>DATA!N128/2.4</f>
        <v>75</v>
      </c>
      <c r="O133" s="920">
        <f>DATA!O128/2.4</f>
        <v>76.666666666666671</v>
      </c>
      <c r="P133" s="920">
        <f>DATA!P128/2.4</f>
        <v>78.333333333333343</v>
      </c>
      <c r="Q133" s="920">
        <f>DATA!Q128/2.4</f>
        <v>80</v>
      </c>
      <c r="R133" s="920">
        <f>DATA!R128/2.4</f>
        <v>81.25</v>
      </c>
      <c r="S133" s="920">
        <f>DATA!S128/2.4</f>
        <v>82.5</v>
      </c>
      <c r="T133" s="920">
        <f>DATA!T128/2.4</f>
        <v>84.166666666666671</v>
      </c>
      <c r="U133" s="920">
        <f>DATA!U128/2.4</f>
        <v>85.416666666666671</v>
      </c>
      <c r="V133" s="920">
        <f>DATA!V128/2.4</f>
        <v>87.5</v>
      </c>
      <c r="W133" s="920">
        <f>DATA!W128/2.4</f>
        <v>90</v>
      </c>
      <c r="X133" s="920">
        <f>DATA!X128/2.4</f>
        <v>92.083333333333343</v>
      </c>
      <c r="Y133" s="920">
        <f>DATA!Y128/2.4</f>
        <v>93.75</v>
      </c>
      <c r="Z133" s="920">
        <f>DATA!Z128/2.4</f>
        <v>99.166666666666671</v>
      </c>
      <c r="AA133" s="920">
        <f>DATA!AA128/2.4</f>
        <v>100</v>
      </c>
      <c r="AB133" s="920">
        <f>DATA!AB128/2.4</f>
        <v>101.25</v>
      </c>
      <c r="AC133" s="920">
        <f>DATA!AC128/2.4</f>
        <v>102.91666666666667</v>
      </c>
    </row>
    <row r="134" spans="1:29" ht="15.75">
      <c r="A134" s="918">
        <f>DATA!A129</f>
        <v>33</v>
      </c>
      <c r="B134" s="920">
        <f>DATA!B129/2.4</f>
        <v>45.833333333333336</v>
      </c>
      <c r="C134" s="920">
        <f>DATA!C129/2.4</f>
        <v>45.833333333333336</v>
      </c>
      <c r="D134" s="920">
        <f>DATA!D129/2.4</f>
        <v>49.583333333333336</v>
      </c>
      <c r="E134" s="920">
        <f>DATA!E129/2.4</f>
        <v>52.916666666666671</v>
      </c>
      <c r="F134" s="920">
        <f>DATA!F129/2.4</f>
        <v>55.833333333333336</v>
      </c>
      <c r="G134" s="920">
        <f>DATA!G129/2.4</f>
        <v>58.333333333333336</v>
      </c>
      <c r="H134" s="920">
        <f>DATA!H129/2.4</f>
        <v>61.25</v>
      </c>
      <c r="I134" s="920">
        <f>DATA!I129/2.4</f>
        <v>63.333333333333336</v>
      </c>
      <c r="J134" s="920">
        <f>DATA!J129/2.4</f>
        <v>65.416666666666671</v>
      </c>
      <c r="K134" s="920">
        <f>DATA!K129/2.4</f>
        <v>67.5</v>
      </c>
      <c r="L134" s="920">
        <f>DATA!L129/2.4</f>
        <v>69.583333333333343</v>
      </c>
      <c r="M134" s="920">
        <f>DATA!M129/2.4</f>
        <v>71.25</v>
      </c>
      <c r="N134" s="920">
        <f>DATA!N129/2.4</f>
        <v>72.916666666666671</v>
      </c>
      <c r="O134" s="920">
        <f>DATA!O129/2.4</f>
        <v>74.583333333333343</v>
      </c>
      <c r="P134" s="920">
        <f>DATA!P129/2.4</f>
        <v>76.25</v>
      </c>
      <c r="Q134" s="920">
        <f>DATA!Q129/2.4</f>
        <v>77.916666666666671</v>
      </c>
      <c r="R134" s="920">
        <f>DATA!R129/2.4</f>
        <v>79.166666666666671</v>
      </c>
      <c r="S134" s="920">
        <f>DATA!S129/2.4</f>
        <v>80.416666666666671</v>
      </c>
      <c r="T134" s="920">
        <f>DATA!T129/2.4</f>
        <v>81.666666666666671</v>
      </c>
      <c r="U134" s="920">
        <f>DATA!U129/2.4</f>
        <v>82.916666666666671</v>
      </c>
      <c r="V134" s="920">
        <f>DATA!V129/2.4</f>
        <v>85.416666666666671</v>
      </c>
      <c r="W134" s="920">
        <f>DATA!W129/2.4</f>
        <v>87.5</v>
      </c>
      <c r="X134" s="920">
        <f>DATA!X129/2.4</f>
        <v>89.583333333333343</v>
      </c>
      <c r="Y134" s="920">
        <f>DATA!Y129/2.4</f>
        <v>91.25</v>
      </c>
      <c r="Z134" s="920">
        <f>DATA!Z129/2.4</f>
        <v>93.333333333333343</v>
      </c>
      <c r="AA134" s="920">
        <f>DATA!AA129/2.4</f>
        <v>97.083333333333343</v>
      </c>
      <c r="AB134" s="920">
        <f>DATA!AB129/2.4</f>
        <v>100</v>
      </c>
      <c r="AC134" s="920">
        <f>DATA!AC129/2.4</f>
        <v>101.25</v>
      </c>
    </row>
    <row r="135" spans="1:29" ht="15.75">
      <c r="A135" s="918">
        <f>DATA!A130</f>
        <v>33.1</v>
      </c>
      <c r="B135" s="920">
        <f>DATA!B130/2.4</f>
        <v>44.166666666666671</v>
      </c>
      <c r="C135" s="920">
        <f>DATA!C130/2.4</f>
        <v>44.166666666666671</v>
      </c>
      <c r="D135" s="920">
        <f>DATA!D130/2.4</f>
        <v>47.916666666666671</v>
      </c>
      <c r="E135" s="920">
        <f>DATA!E130/2.4</f>
        <v>51.25</v>
      </c>
      <c r="F135" s="920">
        <f>DATA!F130/2.4</f>
        <v>54.166666666666671</v>
      </c>
      <c r="G135" s="920">
        <f>DATA!G130/2.4</f>
        <v>57.083333333333336</v>
      </c>
      <c r="H135" s="920">
        <f>DATA!H130/2.4</f>
        <v>59.166666666666671</v>
      </c>
      <c r="I135" s="920">
        <f>DATA!I130/2.4</f>
        <v>61.666666666666671</v>
      </c>
      <c r="J135" s="920">
        <f>DATA!J130/2.4</f>
        <v>63.75</v>
      </c>
      <c r="K135" s="920">
        <f>DATA!K130/2.4</f>
        <v>65.833333333333343</v>
      </c>
      <c r="L135" s="920">
        <f>DATA!L130/2.4</f>
        <v>67.5</v>
      </c>
      <c r="M135" s="920">
        <f>DATA!M130/2.4</f>
        <v>69.583333333333343</v>
      </c>
      <c r="N135" s="920">
        <f>DATA!N130/2.4</f>
        <v>71.25</v>
      </c>
      <c r="O135" s="920">
        <f>DATA!O130/2.4</f>
        <v>72.5</v>
      </c>
      <c r="P135" s="920">
        <f>DATA!P130/2.4</f>
        <v>74.583333333333343</v>
      </c>
      <c r="Q135" s="920">
        <f>DATA!Q130/2.4</f>
        <v>75.416666666666671</v>
      </c>
      <c r="R135" s="920">
        <f>DATA!R130/2.4</f>
        <v>77.083333333333343</v>
      </c>
      <c r="S135" s="920">
        <f>DATA!S130/2.4</f>
        <v>78.333333333333343</v>
      </c>
      <c r="T135" s="920">
        <f>DATA!T130/2.4</f>
        <v>79.583333333333343</v>
      </c>
      <c r="U135" s="920">
        <f>DATA!U130/2.4</f>
        <v>80.833333333333343</v>
      </c>
      <c r="V135" s="920">
        <f>DATA!V130/2.4</f>
        <v>82.916666666666671</v>
      </c>
      <c r="W135" s="920">
        <f>DATA!W130/2.4</f>
        <v>85</v>
      </c>
      <c r="X135" s="920">
        <f>DATA!X130/2.4</f>
        <v>87.083333333333343</v>
      </c>
      <c r="Y135" s="920">
        <f>DATA!Y130/2.4</f>
        <v>88.75</v>
      </c>
      <c r="Z135" s="920">
        <f>DATA!Z130/2.4</f>
        <v>91.25</v>
      </c>
      <c r="AA135" s="920">
        <f>DATA!AA130/2.4</f>
        <v>94.583333333333343</v>
      </c>
      <c r="AB135" s="920">
        <f>DATA!AB130/2.4</f>
        <v>97.916666666666671</v>
      </c>
      <c r="AC135" s="920">
        <f>DATA!AC130/2.4</f>
        <v>100</v>
      </c>
    </row>
    <row r="136" spans="1:29" ht="15.75">
      <c r="A136" s="918">
        <f>DATA!A131</f>
        <v>33.200000000000003</v>
      </c>
      <c r="B136" s="920">
        <f>DATA!B131/2.4</f>
        <v>42.916666666666671</v>
      </c>
      <c r="C136" s="920">
        <f>DATA!C131/2.4</f>
        <v>42.916666666666671</v>
      </c>
      <c r="D136" s="920">
        <f>DATA!D131/2.4</f>
        <v>46.666666666666671</v>
      </c>
      <c r="E136" s="920">
        <f>DATA!E131/2.4</f>
        <v>49.583333333333336</v>
      </c>
      <c r="F136" s="920">
        <f>DATA!F131/2.4</f>
        <v>52.5</v>
      </c>
      <c r="G136" s="920">
        <f>DATA!G131/2.4</f>
        <v>55.416666666666671</v>
      </c>
      <c r="H136" s="920">
        <f>DATA!H131/2.4</f>
        <v>57.5</v>
      </c>
      <c r="I136" s="920">
        <f>DATA!I131/2.4</f>
        <v>60</v>
      </c>
      <c r="J136" s="920">
        <f>DATA!J131/2.4</f>
        <v>62.083333333333336</v>
      </c>
      <c r="K136" s="920">
        <f>DATA!K131/2.4</f>
        <v>63.75</v>
      </c>
      <c r="L136" s="920">
        <f>DATA!L131/2.4</f>
        <v>65.833333333333343</v>
      </c>
      <c r="M136" s="920">
        <f>DATA!M131/2.4</f>
        <v>67.5</v>
      </c>
      <c r="N136" s="920">
        <f>DATA!N131/2.4</f>
        <v>69.166666666666671</v>
      </c>
      <c r="O136" s="920">
        <f>DATA!O131/2.4</f>
        <v>70.416666666666671</v>
      </c>
      <c r="P136" s="920">
        <f>DATA!P131/2.4</f>
        <v>72.083333333333343</v>
      </c>
      <c r="Q136" s="920">
        <f>DATA!Q131/2.4</f>
        <v>73.333333333333343</v>
      </c>
      <c r="R136" s="920">
        <f>DATA!R131/2.4</f>
        <v>74.583333333333343</v>
      </c>
      <c r="S136" s="920">
        <f>DATA!S131/2.4</f>
        <v>75.833333333333343</v>
      </c>
      <c r="T136" s="920">
        <f>DATA!T131/2.4</f>
        <v>77.083333333333343</v>
      </c>
      <c r="U136" s="920">
        <f>DATA!U131/2.4</f>
        <v>78.333333333333343</v>
      </c>
      <c r="V136" s="920">
        <f>DATA!V131/2.4</f>
        <v>80.416666666666671</v>
      </c>
      <c r="W136" s="920">
        <f>DATA!W131/2.4</f>
        <v>81.666666666666671</v>
      </c>
      <c r="X136" s="920">
        <f>DATA!X131/2.4</f>
        <v>84.583333333333343</v>
      </c>
      <c r="Y136" s="920">
        <f>DATA!Y131/2.4</f>
        <v>86.25</v>
      </c>
      <c r="Z136" s="920">
        <f>DATA!Z131/2.4</f>
        <v>87.916666666666671</v>
      </c>
      <c r="AA136" s="920">
        <f>DATA!AA131/2.4</f>
        <v>92.083333333333343</v>
      </c>
      <c r="AB136" s="920">
        <f>DATA!AB131/2.4</f>
        <v>95.416666666666671</v>
      </c>
      <c r="AC136" s="920">
        <f>DATA!AC131/2.4</f>
        <v>98.333333333333343</v>
      </c>
    </row>
    <row r="137" spans="1:29" ht="15.75">
      <c r="A137" s="918">
        <f>DATA!A132</f>
        <v>33.299999999999997</v>
      </c>
      <c r="B137" s="920">
        <f>DATA!B132/2.4</f>
        <v>41.666666666666671</v>
      </c>
      <c r="C137" s="920">
        <f>DATA!C132/2.4</f>
        <v>41.666666666666671</v>
      </c>
      <c r="D137" s="920">
        <f>DATA!D132/2.4</f>
        <v>45</v>
      </c>
      <c r="E137" s="920">
        <f>DATA!E132/2.4</f>
        <v>48.333333333333336</v>
      </c>
      <c r="F137" s="920">
        <f>DATA!F132/2.4</f>
        <v>51.25</v>
      </c>
      <c r="G137" s="920">
        <f>DATA!G132/2.4</f>
        <v>53.75</v>
      </c>
      <c r="H137" s="920">
        <f>DATA!H132/2.4</f>
        <v>55.833333333333336</v>
      </c>
      <c r="I137" s="920">
        <f>DATA!I132/2.4</f>
        <v>57.916666666666671</v>
      </c>
      <c r="J137" s="920">
        <f>DATA!J132/2.4</f>
        <v>60</v>
      </c>
      <c r="K137" s="920">
        <f>DATA!K132/2.4</f>
        <v>62.083333333333336</v>
      </c>
      <c r="L137" s="920">
        <f>DATA!L132/2.4</f>
        <v>63.75</v>
      </c>
      <c r="M137" s="920">
        <f>DATA!M132/2.4</f>
        <v>65.416666666666671</v>
      </c>
      <c r="N137" s="920">
        <f>DATA!N132/2.4</f>
        <v>67.083333333333343</v>
      </c>
      <c r="O137" s="920">
        <f>DATA!O132/2.4</f>
        <v>68.333333333333343</v>
      </c>
      <c r="P137" s="920">
        <f>DATA!P132/2.4</f>
        <v>70</v>
      </c>
      <c r="Q137" s="920">
        <f>DATA!Q132/2.4</f>
        <v>71.25</v>
      </c>
      <c r="R137" s="920">
        <f>DATA!R132/2.4</f>
        <v>72.5</v>
      </c>
      <c r="S137" s="920">
        <f>DATA!S132/2.4</f>
        <v>73.75</v>
      </c>
      <c r="T137" s="920">
        <f>DATA!T132/2.4</f>
        <v>75</v>
      </c>
      <c r="U137" s="920">
        <f>DATA!U132/2.4</f>
        <v>76.25</v>
      </c>
      <c r="V137" s="920">
        <f>DATA!V132/2.4</f>
        <v>78.333333333333343</v>
      </c>
      <c r="W137" s="920">
        <f>DATA!W132/2.4</f>
        <v>80.416666666666671</v>
      </c>
      <c r="X137" s="920">
        <f>DATA!X132/2.4</f>
        <v>82.083333333333343</v>
      </c>
      <c r="Y137" s="920">
        <f>DATA!Y132/2.4</f>
        <v>83.75</v>
      </c>
      <c r="Z137" s="920">
        <f>DATA!Z132/2.4</f>
        <v>85.416666666666671</v>
      </c>
      <c r="AA137" s="920">
        <f>DATA!AA132/2.4</f>
        <v>89.166666666666671</v>
      </c>
      <c r="AB137" s="920">
        <f>DATA!AB132/2.4</f>
        <v>92.5</v>
      </c>
      <c r="AC137" s="920">
        <f>DATA!AC132/2.4</f>
        <v>95.416666666666671</v>
      </c>
    </row>
    <row r="138" spans="1:29" ht="15.75">
      <c r="A138" s="918">
        <f>DATA!A133</f>
        <v>33.4</v>
      </c>
      <c r="B138" s="920">
        <f>DATA!B133/2.4</f>
        <v>40.416666666666671</v>
      </c>
      <c r="C138" s="920">
        <f>DATA!C133/2.4</f>
        <v>40.416666666666671</v>
      </c>
      <c r="D138" s="920">
        <f>DATA!D133/2.4</f>
        <v>43.75</v>
      </c>
      <c r="E138" s="920">
        <f>DATA!E133/2.4</f>
        <v>46.666666666666671</v>
      </c>
      <c r="F138" s="920">
        <f>DATA!F133/2.4</f>
        <v>49.583333333333336</v>
      </c>
      <c r="G138" s="920">
        <f>DATA!G133/2.4</f>
        <v>52.083333333333336</v>
      </c>
      <c r="H138" s="920">
        <f>DATA!H133/2.4</f>
        <v>54.166666666666671</v>
      </c>
      <c r="I138" s="920">
        <f>DATA!I133/2.4</f>
        <v>56.25</v>
      </c>
      <c r="J138" s="920">
        <f>DATA!J133/2.4</f>
        <v>58.333333333333336</v>
      </c>
      <c r="K138" s="920">
        <f>DATA!K133/2.4</f>
        <v>60</v>
      </c>
      <c r="L138" s="920">
        <f>DATA!L133/2.4</f>
        <v>61.666666666666671</v>
      </c>
      <c r="M138" s="920">
        <f>DATA!M133/2.4</f>
        <v>63.333333333333336</v>
      </c>
      <c r="N138" s="920">
        <f>DATA!N133/2.4</f>
        <v>65</v>
      </c>
      <c r="O138" s="920">
        <f>DATA!O133/2.4</f>
        <v>66.25</v>
      </c>
      <c r="P138" s="920">
        <f>DATA!P133/2.4</f>
        <v>67.916666666666671</v>
      </c>
      <c r="Q138" s="920">
        <f>DATA!Q133/2.4</f>
        <v>69.166666666666671</v>
      </c>
      <c r="R138" s="920">
        <f>DATA!R133/2.4</f>
        <v>70.416666666666671</v>
      </c>
      <c r="S138" s="920">
        <f>DATA!S133/2.4</f>
        <v>71.666666666666671</v>
      </c>
      <c r="T138" s="920">
        <f>DATA!T133/2.4</f>
        <v>72.5</v>
      </c>
      <c r="U138" s="920">
        <f>DATA!U133/2.4</f>
        <v>73.75</v>
      </c>
      <c r="V138" s="920">
        <f>DATA!V133/2.4</f>
        <v>75.833333333333343</v>
      </c>
      <c r="W138" s="920">
        <f>DATA!W133/2.4</f>
        <v>77.916666666666671</v>
      </c>
      <c r="X138" s="920">
        <f>DATA!X133/2.4</f>
        <v>79.583333333333343</v>
      </c>
      <c r="Y138" s="920">
        <f>DATA!Y133/2.4</f>
        <v>81.25</v>
      </c>
      <c r="Z138" s="920">
        <f>DATA!Z133/2.4</f>
        <v>82.916666666666671</v>
      </c>
      <c r="AA138" s="920">
        <f>DATA!AA133/2.4</f>
        <v>86.666666666666671</v>
      </c>
      <c r="AB138" s="920">
        <f>DATA!AB133/2.4</f>
        <v>89.583333333333343</v>
      </c>
      <c r="AC138" s="920">
        <f>DATA!AC133/2.4</f>
        <v>92.5</v>
      </c>
    </row>
    <row r="139" spans="1:29" ht="15.75">
      <c r="A139" s="918">
        <f>DATA!A134</f>
        <v>33.5</v>
      </c>
      <c r="B139" s="920">
        <f>DATA!B134/2.4</f>
        <v>39.166666666666671</v>
      </c>
      <c r="C139" s="920">
        <f>DATA!C134/2.4</f>
        <v>39.166666666666671</v>
      </c>
      <c r="D139" s="920">
        <f>DATA!D134/2.4</f>
        <v>42.5</v>
      </c>
      <c r="E139" s="920">
        <f>DATA!E134/2.4</f>
        <v>45.416666666666671</v>
      </c>
      <c r="F139" s="920">
        <f>DATA!F134/2.4</f>
        <v>47.916666666666671</v>
      </c>
      <c r="G139" s="920">
        <f>DATA!G134/2.4</f>
        <v>50.416666666666671</v>
      </c>
      <c r="H139" s="920">
        <f>DATA!H134/2.4</f>
        <v>53.333333333333336</v>
      </c>
      <c r="I139" s="920">
        <f>DATA!I134/2.4</f>
        <v>54.583333333333336</v>
      </c>
      <c r="J139" s="920">
        <f>DATA!J134/2.4</f>
        <v>56.25</v>
      </c>
      <c r="K139" s="920">
        <f>DATA!K134/2.4</f>
        <v>58.333333333333336</v>
      </c>
      <c r="L139" s="920">
        <f>DATA!L134/2.4</f>
        <v>60</v>
      </c>
      <c r="M139" s="920">
        <f>DATA!M134/2.4</f>
        <v>61.25</v>
      </c>
      <c r="N139" s="920">
        <f>DATA!N134/2.4</f>
        <v>62.916666666666671</v>
      </c>
      <c r="O139" s="920">
        <f>DATA!O134/2.4</f>
        <v>64.166666666666671</v>
      </c>
      <c r="P139" s="920">
        <f>DATA!P134/2.4</f>
        <v>65.416666666666671</v>
      </c>
      <c r="Q139" s="920">
        <f>DATA!Q134/2.4</f>
        <v>67.083333333333343</v>
      </c>
      <c r="R139" s="920">
        <f>DATA!R134/2.4</f>
        <v>67.916666666666671</v>
      </c>
      <c r="S139" s="920">
        <f>DATA!S134/2.4</f>
        <v>69.166666666666671</v>
      </c>
      <c r="T139" s="920">
        <f>DATA!T134/2.4</f>
        <v>70.416666666666671</v>
      </c>
      <c r="U139" s="920">
        <f>DATA!U134/2.4</f>
        <v>71.25</v>
      </c>
      <c r="V139" s="920">
        <f>DATA!V134/2.4</f>
        <v>73.333333333333343</v>
      </c>
      <c r="W139" s="920">
        <f>DATA!W134/2.4</f>
        <v>75.416666666666671</v>
      </c>
      <c r="X139" s="920">
        <f>DATA!X134/2.4</f>
        <v>77.083333333333343</v>
      </c>
      <c r="Y139" s="920">
        <f>DATA!Y134/2.4</f>
        <v>78.75</v>
      </c>
      <c r="Z139" s="920">
        <f>DATA!Z134/2.4</f>
        <v>80.416666666666671</v>
      </c>
      <c r="AA139" s="920">
        <f>DATA!AA134/2.4</f>
        <v>83.75</v>
      </c>
      <c r="AB139" s="920">
        <f>DATA!AB134/2.4</f>
        <v>86.666666666666671</v>
      </c>
      <c r="AC139" s="920">
        <f>DATA!AC134/2.4</f>
        <v>89.583333333333343</v>
      </c>
    </row>
    <row r="140" spans="1:29" ht="15.75">
      <c r="A140" s="918">
        <f>DATA!A135</f>
        <v>33.6</v>
      </c>
      <c r="B140" s="920">
        <f>DATA!B135/2.4</f>
        <v>37.916666666666671</v>
      </c>
      <c r="C140" s="920">
        <f>DATA!C135/2.4</f>
        <v>37.916666666666671</v>
      </c>
      <c r="D140" s="920">
        <f>DATA!D135/2.4</f>
        <v>40.833333333333336</v>
      </c>
      <c r="E140" s="920">
        <f>DATA!E135/2.4</f>
        <v>43.75</v>
      </c>
      <c r="F140" s="920">
        <f>DATA!F135/2.4</f>
        <v>46.25</v>
      </c>
      <c r="G140" s="920">
        <f>DATA!G135/2.4</f>
        <v>48.75</v>
      </c>
      <c r="H140" s="920">
        <f>DATA!H135/2.4</f>
        <v>50.833333333333336</v>
      </c>
      <c r="I140" s="920">
        <f>DATA!I135/2.4</f>
        <v>52.5</v>
      </c>
      <c r="J140" s="920">
        <f>DATA!J135/2.4</f>
        <v>54.583333333333336</v>
      </c>
      <c r="K140" s="920">
        <f>DATA!K135/2.4</f>
        <v>56.25</v>
      </c>
      <c r="L140" s="920">
        <f>DATA!L135/2.4</f>
        <v>57.916666666666671</v>
      </c>
      <c r="M140" s="920">
        <f>DATA!M135/2.4</f>
        <v>59.166666666666671</v>
      </c>
      <c r="N140" s="920">
        <f>DATA!N135/2.4</f>
        <v>60.833333333333336</v>
      </c>
      <c r="O140" s="920">
        <f>DATA!O135/2.4</f>
        <v>62.083333333333336</v>
      </c>
      <c r="P140" s="920">
        <f>DATA!P135/2.4</f>
        <v>63.333333333333336</v>
      </c>
      <c r="Q140" s="920">
        <f>DATA!Q135/2.4</f>
        <v>64.583333333333343</v>
      </c>
      <c r="R140" s="920">
        <f>DATA!R135/2.4</f>
        <v>65.833333333333343</v>
      </c>
      <c r="S140" s="920">
        <f>DATA!S135/2.4</f>
        <v>67.083333333333343</v>
      </c>
      <c r="T140" s="920">
        <f>DATA!T135/2.4</f>
        <v>67.916666666666671</v>
      </c>
      <c r="U140" s="920">
        <f>DATA!U135/2.4</f>
        <v>69.166666666666671</v>
      </c>
      <c r="V140" s="920">
        <f>DATA!V135/2.4</f>
        <v>71.25</v>
      </c>
      <c r="W140" s="920">
        <f>DATA!W135/2.4</f>
        <v>72.916666666666671</v>
      </c>
      <c r="X140" s="920">
        <f>DATA!X135/2.4</f>
        <v>74.583333333333343</v>
      </c>
      <c r="Y140" s="920">
        <f>DATA!Y135/2.4</f>
        <v>76.25</v>
      </c>
      <c r="Z140" s="920">
        <f>DATA!Z135/2.4</f>
        <v>77.5</v>
      </c>
      <c r="AA140" s="920">
        <f>DATA!AA135/2.4</f>
        <v>80.416666666666671</v>
      </c>
      <c r="AB140" s="920">
        <f>DATA!AB135/2.4</f>
        <v>84.166666666666671</v>
      </c>
      <c r="AC140" s="920">
        <f>DATA!AC135/2.4</f>
        <v>85.833333333333343</v>
      </c>
    </row>
    <row r="141" spans="1:29" ht="15.75">
      <c r="A141" s="918">
        <f>DATA!A136</f>
        <v>33.700000000000003</v>
      </c>
      <c r="B141" s="920">
        <f>DATA!B136/2.4</f>
        <v>36.25</v>
      </c>
      <c r="C141" s="920">
        <f>DATA!C136/2.4</f>
        <v>36.25</v>
      </c>
      <c r="D141" s="920">
        <f>DATA!D136/2.4</f>
        <v>39.583333333333336</v>
      </c>
      <c r="E141" s="920">
        <f>DATA!E136/2.4</f>
        <v>42.083333333333336</v>
      </c>
      <c r="F141" s="920">
        <f>DATA!F136/2.4</f>
        <v>44.583333333333336</v>
      </c>
      <c r="G141" s="920">
        <f>DATA!G136/2.4</f>
        <v>47.083333333333336</v>
      </c>
      <c r="H141" s="920">
        <f>DATA!H136/2.4</f>
        <v>48.75</v>
      </c>
      <c r="I141" s="920">
        <f>DATA!I136/2.4</f>
        <v>50.833333333333336</v>
      </c>
      <c r="J141" s="920">
        <f>DATA!J136/2.4</f>
        <v>52.5</v>
      </c>
      <c r="K141" s="920">
        <f>DATA!K136/2.4</f>
        <v>54.166666666666671</v>
      </c>
      <c r="L141" s="920">
        <f>DATA!L136/2.4</f>
        <v>56.25</v>
      </c>
      <c r="M141" s="920">
        <f>DATA!M136/2.4</f>
        <v>57.5</v>
      </c>
      <c r="N141" s="920">
        <f>DATA!N136/2.4</f>
        <v>58.75</v>
      </c>
      <c r="O141" s="920">
        <f>DATA!O136/2.4</f>
        <v>60</v>
      </c>
      <c r="P141" s="920">
        <f>DATA!P136/2.4</f>
        <v>61.25</v>
      </c>
      <c r="Q141" s="920">
        <f>DATA!Q136/2.4</f>
        <v>62.5</v>
      </c>
      <c r="R141" s="920">
        <f>DATA!R136/2.4</f>
        <v>63.75</v>
      </c>
      <c r="S141" s="920">
        <f>DATA!S136/2.4</f>
        <v>64.583333333333343</v>
      </c>
      <c r="T141" s="920">
        <f>DATA!T136/2.4</f>
        <v>65.833333333333343</v>
      </c>
      <c r="U141" s="920">
        <f>DATA!U136/2.4</f>
        <v>66.666666666666671</v>
      </c>
      <c r="V141" s="920">
        <f>DATA!V136/2.4</f>
        <v>68.75</v>
      </c>
      <c r="W141" s="920">
        <f>DATA!W136/2.4</f>
        <v>70.416666666666671</v>
      </c>
      <c r="X141" s="920">
        <f>DATA!X136/2.4</f>
        <v>72.083333333333343</v>
      </c>
      <c r="Y141" s="920">
        <f>DATA!Y136/2.4</f>
        <v>73.75</v>
      </c>
      <c r="Z141" s="920">
        <f>DATA!Z136/2.4</f>
        <v>75</v>
      </c>
      <c r="AA141" s="920">
        <f>DATA!AA136/2.4</f>
        <v>78.333333333333343</v>
      </c>
      <c r="AB141" s="920">
        <f>DATA!AB136/2.4</f>
        <v>81.25</v>
      </c>
      <c r="AC141" s="920">
        <f>DATA!AC136/2.4</f>
        <v>83.75</v>
      </c>
    </row>
    <row r="142" spans="1:29" ht="15.75">
      <c r="A142" s="918">
        <f>DATA!A137</f>
        <v>33.799999999999997</v>
      </c>
      <c r="B142" s="920">
        <f>DATA!B137/2.4</f>
        <v>35</v>
      </c>
      <c r="C142" s="920">
        <f>DATA!C137/2.4</f>
        <v>35</v>
      </c>
      <c r="D142" s="920">
        <f>DATA!D137/2.4</f>
        <v>37.916666666666671</v>
      </c>
      <c r="E142" s="920">
        <f>DATA!E137/2.4</f>
        <v>40.833333333333336</v>
      </c>
      <c r="F142" s="920">
        <f>DATA!F137/2.4</f>
        <v>42.916666666666671</v>
      </c>
      <c r="G142" s="920">
        <f>DATA!G137/2.4</f>
        <v>45</v>
      </c>
      <c r="H142" s="920">
        <f>DATA!H137/2.4</f>
        <v>47.083333333333336</v>
      </c>
      <c r="I142" s="920">
        <f>DATA!I137/2.4</f>
        <v>49.166666666666671</v>
      </c>
      <c r="J142" s="920">
        <f>DATA!J137/2.4</f>
        <v>50.833333333333336</v>
      </c>
      <c r="K142" s="920">
        <f>DATA!K137/2.4</f>
        <v>53.333333333333336</v>
      </c>
      <c r="L142" s="920">
        <f>DATA!L137/2.4</f>
        <v>53.75</v>
      </c>
      <c r="M142" s="920">
        <f>DATA!M137/2.4</f>
        <v>55.416666666666671</v>
      </c>
      <c r="N142" s="920">
        <f>DATA!N137/2.4</f>
        <v>56.666666666666671</v>
      </c>
      <c r="O142" s="920">
        <f>DATA!O137/2.4</f>
        <v>57.916666666666671</v>
      </c>
      <c r="P142" s="920">
        <f>DATA!P137/2.4</f>
        <v>59.166666666666671</v>
      </c>
      <c r="Q142" s="920">
        <f>DATA!Q137/2.4</f>
        <v>60.416666666666671</v>
      </c>
      <c r="R142" s="920">
        <f>DATA!R137/2.4</f>
        <v>61.25</v>
      </c>
      <c r="S142" s="920">
        <f>DATA!S137/2.4</f>
        <v>62.5</v>
      </c>
      <c r="T142" s="920">
        <f>DATA!T137/2.4</f>
        <v>63.333333333333336</v>
      </c>
      <c r="U142" s="920">
        <f>DATA!U137/2.4</f>
        <v>64.583333333333343</v>
      </c>
      <c r="V142" s="920">
        <f>DATA!V137/2.4</f>
        <v>66.25</v>
      </c>
      <c r="W142" s="920">
        <f>DATA!W137/2.4</f>
        <v>67.916666666666671</v>
      </c>
      <c r="X142" s="920">
        <f>DATA!X137/2.4</f>
        <v>69.583333333333343</v>
      </c>
      <c r="Y142" s="920">
        <f>DATA!Y137/2.4</f>
        <v>70.833333333333343</v>
      </c>
      <c r="Z142" s="920">
        <f>DATA!Z137/2.4</f>
        <v>72.5</v>
      </c>
      <c r="AA142" s="920">
        <f>DATA!AA137/2.4</f>
        <v>75.416666666666671</v>
      </c>
      <c r="AB142" s="920">
        <f>DATA!AB137/2.4</f>
        <v>78.333333333333343</v>
      </c>
      <c r="AC142" s="920">
        <f>DATA!AC137/2.4</f>
        <v>80.833333333333343</v>
      </c>
    </row>
    <row r="143" spans="1:29" ht="15.75">
      <c r="A143" s="918">
        <f>DATA!A138</f>
        <v>33.9</v>
      </c>
      <c r="B143" s="920">
        <f>DATA!B138/2.4</f>
        <v>33.75</v>
      </c>
      <c r="C143" s="920">
        <f>DATA!C138/2.4</f>
        <v>33.75</v>
      </c>
      <c r="D143" s="920">
        <f>DATA!D138/2.4</f>
        <v>36.666666666666671</v>
      </c>
      <c r="E143" s="920">
        <f>DATA!E138/2.4</f>
        <v>39.166666666666671</v>
      </c>
      <c r="F143" s="920">
        <f>DATA!F138/2.4</f>
        <v>41.25</v>
      </c>
      <c r="G143" s="920">
        <f>DATA!G138/2.4</f>
        <v>43.333333333333336</v>
      </c>
      <c r="H143" s="920">
        <f>DATA!H138/2.4</f>
        <v>45.416666666666671</v>
      </c>
      <c r="I143" s="920">
        <f>DATA!I138/2.4</f>
        <v>47.083333333333336</v>
      </c>
      <c r="J143" s="920">
        <f>DATA!J138/2.4</f>
        <v>48.75</v>
      </c>
      <c r="K143" s="920">
        <f>DATA!K138/2.4</f>
        <v>50.416666666666671</v>
      </c>
      <c r="L143" s="920">
        <f>DATA!L138/2.4</f>
        <v>51.666666666666671</v>
      </c>
      <c r="M143" s="920">
        <f>DATA!M138/2.4</f>
        <v>53.333333333333336</v>
      </c>
      <c r="N143" s="920">
        <f>DATA!N138/2.4</f>
        <v>54.583333333333336</v>
      </c>
      <c r="O143" s="920">
        <f>DATA!O138/2.4</f>
        <v>55.833333333333336</v>
      </c>
      <c r="P143" s="920">
        <f>DATA!P138/2.4</f>
        <v>57.083333333333336</v>
      </c>
      <c r="Q143" s="920">
        <f>DATA!Q138/2.4</f>
        <v>57.916666666666671</v>
      </c>
      <c r="R143" s="920">
        <f>DATA!R138/2.4</f>
        <v>59.166666666666671</v>
      </c>
      <c r="S143" s="920">
        <f>DATA!S138/2.4</f>
        <v>60</v>
      </c>
      <c r="T143" s="920">
        <f>DATA!T138/2.4</f>
        <v>61.25</v>
      </c>
      <c r="U143" s="920">
        <f>DATA!U138/2.4</f>
        <v>62.083333333333336</v>
      </c>
      <c r="V143" s="920">
        <f>DATA!V138/2.4</f>
        <v>63.75</v>
      </c>
      <c r="W143" s="920">
        <f>DATA!W138/2.4</f>
        <v>65.416666666666671</v>
      </c>
      <c r="X143" s="920">
        <f>DATA!X138/2.4</f>
        <v>67.083333333333343</v>
      </c>
      <c r="Y143" s="920">
        <f>DATA!Y138/2.4</f>
        <v>68.333333333333343</v>
      </c>
      <c r="Z143" s="920">
        <f>DATA!Z138/2.4</f>
        <v>69.583333333333343</v>
      </c>
      <c r="AA143" s="920">
        <f>DATA!AA138/2.4</f>
        <v>72.083333333333343</v>
      </c>
      <c r="AB143" s="920">
        <f>DATA!AB138/2.4</f>
        <v>75.416666666666671</v>
      </c>
      <c r="AC143" s="920">
        <f>DATA!AC138/2.4</f>
        <v>77.916666666666671</v>
      </c>
    </row>
    <row r="144" spans="1:29" ht="15.75">
      <c r="A144" s="918">
        <f>DATA!A139</f>
        <v>34</v>
      </c>
      <c r="B144" s="920">
        <f>DATA!B139/2.4</f>
        <v>32.5</v>
      </c>
      <c r="C144" s="920">
        <f>DATA!C139/2.4</f>
        <v>32.5</v>
      </c>
      <c r="D144" s="920">
        <f>DATA!D139/2.4</f>
        <v>35</v>
      </c>
      <c r="E144" s="920">
        <f>DATA!E139/2.4</f>
        <v>37.5</v>
      </c>
      <c r="F144" s="920">
        <f>DATA!F139/2.4</f>
        <v>39.583333333333336</v>
      </c>
      <c r="G144" s="920">
        <f>DATA!G139/2.4</f>
        <v>41.666666666666671</v>
      </c>
      <c r="H144" s="920">
        <f>DATA!H139/2.4</f>
        <v>43.75</v>
      </c>
      <c r="I144" s="920">
        <f>DATA!I139/2.4</f>
        <v>45.416666666666671</v>
      </c>
      <c r="J144" s="920">
        <f>DATA!J139/2.4</f>
        <v>47.083333333333336</v>
      </c>
      <c r="K144" s="920">
        <f>DATA!K139/2.4</f>
        <v>47.916666666666671</v>
      </c>
      <c r="L144" s="920">
        <f>DATA!L139/2.4</f>
        <v>50</v>
      </c>
      <c r="M144" s="920">
        <f>DATA!M139/2.4</f>
        <v>51.25</v>
      </c>
      <c r="N144" s="920">
        <f>DATA!N139/2.4</f>
        <v>52.5</v>
      </c>
      <c r="O144" s="920">
        <f>DATA!O139/2.4</f>
        <v>53.75</v>
      </c>
      <c r="P144" s="920">
        <f>DATA!P139/2.4</f>
        <v>54.583333333333336</v>
      </c>
      <c r="Q144" s="920">
        <f>DATA!Q139/2.4</f>
        <v>55.833333333333336</v>
      </c>
      <c r="R144" s="920">
        <f>DATA!R139/2.4</f>
        <v>56.666666666666671</v>
      </c>
      <c r="S144" s="920">
        <f>DATA!S139/2.4</f>
        <v>57.916666666666671</v>
      </c>
      <c r="T144" s="920">
        <f>DATA!T139/2.4</f>
        <v>58.75</v>
      </c>
      <c r="U144" s="920">
        <f>DATA!U139/2.4</f>
        <v>59.583333333333336</v>
      </c>
      <c r="V144" s="920">
        <f>DATA!V139/2.4</f>
        <v>61.25</v>
      </c>
      <c r="W144" s="920">
        <f>DATA!W139/2.4</f>
        <v>62.916666666666671</v>
      </c>
      <c r="X144" s="920">
        <f>DATA!X139/2.4</f>
        <v>64.583333333333343</v>
      </c>
      <c r="Y144" s="920">
        <f>DATA!Y139/2.4</f>
        <v>65.833333333333343</v>
      </c>
      <c r="Z144" s="920">
        <f>DATA!Z139/2.4</f>
        <v>67.083333333333343</v>
      </c>
      <c r="AA144" s="920">
        <f>DATA!AA139/2.4</f>
        <v>69.166666666666671</v>
      </c>
      <c r="AB144" s="920">
        <f>DATA!AB139/2.4</f>
        <v>72.5</v>
      </c>
      <c r="AC144" s="920">
        <f>DATA!AC139/2.4</f>
        <v>75</v>
      </c>
    </row>
    <row r="145" spans="1:29" ht="15.75">
      <c r="A145" s="918">
        <f>DATA!A140</f>
        <v>34.1</v>
      </c>
      <c r="B145" s="920">
        <f>DATA!B140/2.4</f>
        <v>30.833333333333336</v>
      </c>
      <c r="C145" s="920">
        <f>DATA!C140/2.4</f>
        <v>30.833333333333336</v>
      </c>
      <c r="D145" s="920">
        <f>DATA!D140/2.4</f>
        <v>33.75</v>
      </c>
      <c r="E145" s="920">
        <f>DATA!E140/2.4</f>
        <v>35.833333333333336</v>
      </c>
      <c r="F145" s="920">
        <f>DATA!F140/2.4</f>
        <v>37.916666666666671</v>
      </c>
      <c r="G145" s="920">
        <f>DATA!G140/2.4</f>
        <v>40</v>
      </c>
      <c r="H145" s="920">
        <f>DATA!H140/2.4</f>
        <v>41.666666666666671</v>
      </c>
      <c r="I145" s="920">
        <f>DATA!I140/2.4</f>
        <v>43.333333333333336</v>
      </c>
      <c r="J145" s="920">
        <f>DATA!J140/2.4</f>
        <v>45.416666666666671</v>
      </c>
      <c r="K145" s="920">
        <f>DATA!K140/2.4</f>
        <v>46.666666666666671</v>
      </c>
      <c r="L145" s="920">
        <f>DATA!L140/2.4</f>
        <v>47.916666666666671</v>
      </c>
      <c r="M145" s="920">
        <f>DATA!M140/2.4</f>
        <v>49.166666666666671</v>
      </c>
      <c r="N145" s="920">
        <f>DATA!N140/2.4</f>
        <v>50.416666666666671</v>
      </c>
      <c r="O145" s="920">
        <f>DATA!O140/2.4</f>
        <v>51.25</v>
      </c>
      <c r="P145" s="920">
        <f>DATA!P140/2.4</f>
        <v>52.5</v>
      </c>
      <c r="Q145" s="920">
        <f>DATA!Q140/2.4</f>
        <v>53.75</v>
      </c>
      <c r="R145" s="920">
        <f>DATA!R140/2.4</f>
        <v>54.583333333333336</v>
      </c>
      <c r="S145" s="920">
        <f>DATA!S140/2.4</f>
        <v>55.416666666666671</v>
      </c>
      <c r="T145" s="920">
        <f>DATA!T140/2.4</f>
        <v>56.25</v>
      </c>
      <c r="U145" s="920">
        <f>DATA!U140/2.4</f>
        <v>57.083333333333336</v>
      </c>
      <c r="V145" s="920">
        <f>DATA!V140/2.4</f>
        <v>58.75</v>
      </c>
      <c r="W145" s="920">
        <f>DATA!W140/2.4</f>
        <v>60.416666666666671</v>
      </c>
      <c r="X145" s="920">
        <f>DATA!X140/2.4</f>
        <v>61.666666666666671</v>
      </c>
      <c r="Y145" s="920">
        <f>DATA!Y140/2.4</f>
        <v>63.333333333333336</v>
      </c>
      <c r="Z145" s="920">
        <f>DATA!Z140/2.4</f>
        <v>64.583333333333343</v>
      </c>
      <c r="AA145" s="920">
        <f>DATA!AA140/2.4</f>
        <v>67.083333333333343</v>
      </c>
      <c r="AB145" s="920">
        <f>DATA!AB140/2.4</f>
        <v>69.583333333333343</v>
      </c>
      <c r="AC145" s="920">
        <f>DATA!AC140/2.4</f>
        <v>72.083333333333343</v>
      </c>
    </row>
    <row r="146" spans="1:29" ht="15.75">
      <c r="A146" s="918">
        <f>DATA!A141</f>
        <v>34.200000000000003</v>
      </c>
      <c r="B146" s="920">
        <f>DATA!B141/2.4</f>
        <v>29.583333333333336</v>
      </c>
      <c r="C146" s="920">
        <f>DATA!C141/2.4</f>
        <v>29.583333333333336</v>
      </c>
      <c r="D146" s="920">
        <f>DATA!D141/2.4</f>
        <v>32.083333333333336</v>
      </c>
      <c r="E146" s="920">
        <f>DATA!E141/2.4</f>
        <v>34.583333333333336</v>
      </c>
      <c r="F146" s="920">
        <f>DATA!F141/2.4</f>
        <v>36.666666666666671</v>
      </c>
      <c r="G146" s="920">
        <f>DATA!G141/2.4</f>
        <v>38.333333333333336</v>
      </c>
      <c r="H146" s="920">
        <f>DATA!H141/2.4</f>
        <v>40</v>
      </c>
      <c r="I146" s="920">
        <f>DATA!I141/2.4</f>
        <v>41.666666666666671</v>
      </c>
      <c r="J146" s="920">
        <f>DATA!J141/2.4</f>
        <v>42.916666666666671</v>
      </c>
      <c r="K146" s="920">
        <f>DATA!K141/2.4</f>
        <v>44.583333333333336</v>
      </c>
      <c r="L146" s="920">
        <f>DATA!L141/2.4</f>
        <v>45.833333333333336</v>
      </c>
      <c r="M146" s="920">
        <f>DATA!M141/2.4</f>
        <v>47.083333333333336</v>
      </c>
      <c r="N146" s="920">
        <f>DATA!N141/2.4</f>
        <v>49.166666666666671</v>
      </c>
      <c r="O146" s="920">
        <f>DATA!O141/2.4</f>
        <v>49.166666666666671</v>
      </c>
      <c r="P146" s="920">
        <f>DATA!P141/2.4</f>
        <v>50.416666666666671</v>
      </c>
      <c r="Q146" s="920">
        <f>DATA!Q141/2.4</f>
        <v>51.25</v>
      </c>
      <c r="R146" s="920">
        <f>DATA!R141/2.4</f>
        <v>52.083333333333336</v>
      </c>
      <c r="S146" s="920">
        <f>DATA!S141/2.4</f>
        <v>53.333333333333336</v>
      </c>
      <c r="T146" s="920">
        <f>DATA!T141/2.4</f>
        <v>54.166666666666671</v>
      </c>
      <c r="U146" s="920">
        <f>DATA!U141/2.4</f>
        <v>55</v>
      </c>
      <c r="V146" s="920">
        <f>DATA!V141/2.4</f>
        <v>56.25</v>
      </c>
      <c r="W146" s="920">
        <f>DATA!W141/2.4</f>
        <v>57.916666666666671</v>
      </c>
      <c r="X146" s="920">
        <f>DATA!X141/2.4</f>
        <v>59.166666666666671</v>
      </c>
      <c r="Y146" s="920">
        <f>DATA!Y141/2.4</f>
        <v>60.416666666666671</v>
      </c>
      <c r="Z146" s="920">
        <f>DATA!Z141/2.4</f>
        <v>61.666666666666671</v>
      </c>
      <c r="AA146" s="920">
        <f>DATA!AA141/2.4</f>
        <v>64.583333333333343</v>
      </c>
      <c r="AB146" s="920">
        <f>DATA!AB141/2.4</f>
        <v>66.666666666666671</v>
      </c>
      <c r="AC146" s="920">
        <f>DATA!AC141/2.4</f>
        <v>69.166666666666671</v>
      </c>
    </row>
    <row r="147" spans="1:29" ht="15.75">
      <c r="A147" s="918">
        <f>DATA!A142</f>
        <v>34.299999999999997</v>
      </c>
      <c r="B147" s="920">
        <f>DATA!B142/2.4</f>
        <v>28.333333333333336</v>
      </c>
      <c r="C147" s="920">
        <f>DATA!C142/2.4</f>
        <v>28.333333333333336</v>
      </c>
      <c r="D147" s="920">
        <f>DATA!D142/2.4</f>
        <v>30.833333333333336</v>
      </c>
      <c r="E147" s="920">
        <f>DATA!E142/2.4</f>
        <v>32.916666666666671</v>
      </c>
      <c r="F147" s="920">
        <f>DATA!F142/2.4</f>
        <v>35</v>
      </c>
      <c r="G147" s="920">
        <f>DATA!G142/2.4</f>
        <v>36.666666666666671</v>
      </c>
      <c r="H147" s="920">
        <f>DATA!H142/2.4</f>
        <v>38.333333333333336</v>
      </c>
      <c r="I147" s="920">
        <f>DATA!I142/2.4</f>
        <v>39.583333333333336</v>
      </c>
      <c r="J147" s="920">
        <f>DATA!J142/2.4</f>
        <v>41.25</v>
      </c>
      <c r="K147" s="920">
        <f>DATA!K142/2.4</f>
        <v>42.5</v>
      </c>
      <c r="L147" s="920">
        <f>DATA!L142/2.4</f>
        <v>43.75</v>
      </c>
      <c r="M147" s="920">
        <f>DATA!M142/2.4</f>
        <v>45</v>
      </c>
      <c r="N147" s="920">
        <f>DATA!N142/2.4</f>
        <v>45.833333333333336</v>
      </c>
      <c r="O147" s="920">
        <f>DATA!O142/2.4</f>
        <v>47.083333333333336</v>
      </c>
      <c r="P147" s="920">
        <f>DATA!P142/2.4</f>
        <v>47.916666666666671</v>
      </c>
      <c r="Q147" s="920">
        <f>DATA!Q142/2.4</f>
        <v>49.166666666666671</v>
      </c>
      <c r="R147" s="920">
        <f>DATA!R142/2.4</f>
        <v>50</v>
      </c>
      <c r="S147" s="920">
        <f>DATA!S142/2.4</f>
        <v>50.833333333333336</v>
      </c>
      <c r="T147" s="920">
        <f>DATA!T142/2.4</f>
        <v>51.666666666666671</v>
      </c>
      <c r="U147" s="920">
        <f>DATA!U142/2.4</f>
        <v>52.5</v>
      </c>
      <c r="V147" s="920">
        <f>DATA!V142/2.4</f>
        <v>54.166666666666671</v>
      </c>
      <c r="W147" s="920">
        <f>DATA!W142/2.4</f>
        <v>55.416666666666671</v>
      </c>
      <c r="X147" s="920">
        <f>DATA!X142/2.4</f>
        <v>56.666666666666671</v>
      </c>
      <c r="Y147" s="920">
        <f>DATA!Y142/2.4</f>
        <v>57.916666666666671</v>
      </c>
      <c r="Z147" s="920">
        <f>DATA!Z142/2.4</f>
        <v>59.166666666666671</v>
      </c>
      <c r="AA147" s="920">
        <f>DATA!AA142/2.4</f>
        <v>60.833333333333336</v>
      </c>
      <c r="AB147" s="920">
        <f>DATA!AB142/2.4</f>
        <v>63.75</v>
      </c>
      <c r="AC147" s="920">
        <f>DATA!AC142/2.4</f>
        <v>65.833333333333343</v>
      </c>
    </row>
    <row r="148" spans="1:29" ht="15.75">
      <c r="A148" s="918">
        <f>DATA!A143</f>
        <v>34.4</v>
      </c>
      <c r="B148" s="920">
        <f>DATA!B143/2.4</f>
        <v>26.666666666666668</v>
      </c>
      <c r="C148" s="920">
        <f>DATA!C143/2.4</f>
        <v>26.666666666666668</v>
      </c>
      <c r="D148" s="920">
        <f>DATA!D143/2.4</f>
        <v>29.166666666666668</v>
      </c>
      <c r="E148" s="920">
        <f>DATA!E143/2.4</f>
        <v>31.25</v>
      </c>
      <c r="F148" s="920">
        <f>DATA!F143/2.4</f>
        <v>33.333333333333336</v>
      </c>
      <c r="G148" s="920">
        <f>DATA!G143/2.4</f>
        <v>35</v>
      </c>
      <c r="H148" s="920">
        <f>DATA!H143/2.4</f>
        <v>36.25</v>
      </c>
      <c r="I148" s="920">
        <f>DATA!I143/2.4</f>
        <v>37.916666666666671</v>
      </c>
      <c r="J148" s="920">
        <f>DATA!J143/2.4</f>
        <v>39.166666666666671</v>
      </c>
      <c r="K148" s="920">
        <f>DATA!K143/2.4</f>
        <v>40.416666666666671</v>
      </c>
      <c r="L148" s="920">
        <f>DATA!L143/2.4</f>
        <v>41.666666666666671</v>
      </c>
      <c r="M148" s="920">
        <f>DATA!M143/2.4</f>
        <v>42.916666666666671</v>
      </c>
      <c r="N148" s="920">
        <f>DATA!N143/2.4</f>
        <v>43.75</v>
      </c>
      <c r="O148" s="920">
        <f>DATA!O143/2.4</f>
        <v>45</v>
      </c>
      <c r="P148" s="920">
        <f>DATA!P143/2.4</f>
        <v>45.833333333333336</v>
      </c>
      <c r="Q148" s="920">
        <f>DATA!Q143/2.4</f>
        <v>46.666666666666671</v>
      </c>
      <c r="R148" s="920">
        <f>DATA!R143/2.4</f>
        <v>47.5</v>
      </c>
      <c r="S148" s="920">
        <f>DATA!S143/2.4</f>
        <v>48.333333333333336</v>
      </c>
      <c r="T148" s="920">
        <f>DATA!T143/2.4</f>
        <v>49.166666666666671</v>
      </c>
      <c r="U148" s="920">
        <f>DATA!U143/2.4</f>
        <v>50</v>
      </c>
      <c r="V148" s="920">
        <f>DATA!V143/2.4</f>
        <v>51.666666666666671</v>
      </c>
      <c r="W148" s="920">
        <f>DATA!W143/2.4</f>
        <v>52.916666666666671</v>
      </c>
      <c r="X148" s="920">
        <f>DATA!X143/2.4</f>
        <v>54.166666666666671</v>
      </c>
      <c r="Y148" s="920">
        <f>DATA!Y143/2.4</f>
        <v>55.416666666666671</v>
      </c>
      <c r="Z148" s="920">
        <f>DATA!Z143/2.4</f>
        <v>56.25</v>
      </c>
      <c r="AA148" s="920">
        <f>DATA!AA143/2.4</f>
        <v>58.75</v>
      </c>
      <c r="AB148" s="920">
        <f>DATA!AB143/2.4</f>
        <v>60.833333333333336</v>
      </c>
      <c r="AC148" s="920">
        <f>DATA!AC143/2.4</f>
        <v>62.916666666666671</v>
      </c>
    </row>
    <row r="149" spans="1:29" ht="15.75">
      <c r="A149" s="918">
        <f>DATA!A144</f>
        <v>34.5</v>
      </c>
      <c r="B149" s="920">
        <f>DATA!B144/2.4</f>
        <v>25.416666666666668</v>
      </c>
      <c r="C149" s="920">
        <f>DATA!C144/2.4</f>
        <v>25.416666666666668</v>
      </c>
      <c r="D149" s="920">
        <f>DATA!D144/2.4</f>
        <v>27.916666666666668</v>
      </c>
      <c r="E149" s="920">
        <f>DATA!E144/2.4</f>
        <v>29.583333333333336</v>
      </c>
      <c r="F149" s="920">
        <f>DATA!F144/2.4</f>
        <v>32.5</v>
      </c>
      <c r="G149" s="920">
        <f>DATA!G144/2.4</f>
        <v>32.916666666666671</v>
      </c>
      <c r="H149" s="920">
        <f>DATA!H144/2.4</f>
        <v>34.583333333333336</v>
      </c>
      <c r="I149" s="920">
        <f>DATA!I144/2.4</f>
        <v>35.833333333333336</v>
      </c>
      <c r="J149" s="920">
        <f>DATA!J144/2.4</f>
        <v>37.5</v>
      </c>
      <c r="K149" s="920">
        <f>DATA!K144/2.4</f>
        <v>38.333333333333336</v>
      </c>
      <c r="L149" s="920">
        <f>DATA!L144/2.4</f>
        <v>39.583333333333336</v>
      </c>
      <c r="M149" s="920">
        <f>DATA!M144/2.4</f>
        <v>40.833333333333336</v>
      </c>
      <c r="N149" s="920">
        <f>DATA!N144/2.4</f>
        <v>41.666666666666671</v>
      </c>
      <c r="O149" s="920">
        <f>DATA!O144/2.4</f>
        <v>42.5</v>
      </c>
      <c r="P149" s="920">
        <f>DATA!P144/2.4</f>
        <v>43.75</v>
      </c>
      <c r="Q149" s="920">
        <f>DATA!Q144/2.4</f>
        <v>44.583333333333336</v>
      </c>
      <c r="R149" s="920">
        <f>DATA!R144/2.4</f>
        <v>45.416666666666671</v>
      </c>
      <c r="S149" s="920">
        <f>DATA!S144/2.4</f>
        <v>46.25</v>
      </c>
      <c r="T149" s="920">
        <f>DATA!T144/2.4</f>
        <v>46.666666666666671</v>
      </c>
      <c r="U149" s="920">
        <f>DATA!U144/2.4</f>
        <v>47.5</v>
      </c>
      <c r="V149" s="920">
        <f>DATA!V144/2.4</f>
        <v>49.166666666666671</v>
      </c>
      <c r="W149" s="920">
        <f>DATA!W144/2.4</f>
        <v>50.416666666666671</v>
      </c>
      <c r="X149" s="920">
        <f>DATA!X144/2.4</f>
        <v>51.25</v>
      </c>
      <c r="Y149" s="920">
        <f>DATA!Y144/2.4</f>
        <v>52.5</v>
      </c>
      <c r="Z149" s="920">
        <f>DATA!Z144/2.4</f>
        <v>53.75</v>
      </c>
      <c r="AA149" s="920">
        <f>DATA!AA144/2.4</f>
        <v>55.833333333333336</v>
      </c>
      <c r="AB149" s="920">
        <f>DATA!AB144/2.4</f>
        <v>57.916666666666671</v>
      </c>
      <c r="AC149" s="920">
        <f>DATA!AC144/2.4</f>
        <v>60</v>
      </c>
    </row>
    <row r="150" spans="1:29" ht="15.75">
      <c r="A150" s="918">
        <f>DATA!A145</f>
        <v>34.6</v>
      </c>
      <c r="B150" s="920">
        <f>DATA!B145/2.4</f>
        <v>24.166666666666668</v>
      </c>
      <c r="C150" s="920">
        <f>DATA!C145/2.4</f>
        <v>24.166666666666668</v>
      </c>
      <c r="D150" s="920">
        <f>DATA!D145/2.4</f>
        <v>26.25</v>
      </c>
      <c r="E150" s="920">
        <f>DATA!E145/2.4</f>
        <v>27.916666666666668</v>
      </c>
      <c r="F150" s="920">
        <f>DATA!F145/2.4</f>
        <v>30</v>
      </c>
      <c r="G150" s="920">
        <f>DATA!G145/2.4</f>
        <v>31.25</v>
      </c>
      <c r="H150" s="920">
        <f>DATA!H145/2.4</f>
        <v>32.916666666666671</v>
      </c>
      <c r="I150" s="920">
        <f>DATA!I145/2.4</f>
        <v>34.166666666666671</v>
      </c>
      <c r="J150" s="920">
        <f>DATA!J145/2.4</f>
        <v>35.416666666666671</v>
      </c>
      <c r="K150" s="920">
        <f>DATA!K145/2.4</f>
        <v>36.666666666666671</v>
      </c>
      <c r="L150" s="920">
        <f>DATA!L145/2.4</f>
        <v>37.5</v>
      </c>
      <c r="M150" s="920">
        <f>DATA!M145/2.4</f>
        <v>38.75</v>
      </c>
      <c r="N150" s="920">
        <f>DATA!N145/2.4</f>
        <v>39.583333333333336</v>
      </c>
      <c r="O150" s="920">
        <f>DATA!O145/2.4</f>
        <v>40.416666666666671</v>
      </c>
      <c r="P150" s="920">
        <f>DATA!P145/2.4</f>
        <v>41.25</v>
      </c>
      <c r="Q150" s="920">
        <f>DATA!Q145/2.4</f>
        <v>42.083333333333336</v>
      </c>
      <c r="R150" s="920">
        <f>DATA!R145/2.4</f>
        <v>42.916666666666671</v>
      </c>
      <c r="S150" s="920">
        <f>DATA!S145/2.4</f>
        <v>43.75</v>
      </c>
      <c r="T150" s="920">
        <f>DATA!T145/2.4</f>
        <v>44.583333333333336</v>
      </c>
      <c r="U150" s="920">
        <f>DATA!U145/2.4</f>
        <v>44.166666666666671</v>
      </c>
      <c r="V150" s="920">
        <f>DATA!V145/2.4</f>
        <v>46.666666666666671</v>
      </c>
      <c r="W150" s="920">
        <f>DATA!W145/2.4</f>
        <v>47.5</v>
      </c>
      <c r="X150" s="920">
        <f>DATA!X145/2.4</f>
        <v>48.75</v>
      </c>
      <c r="Y150" s="920">
        <f>DATA!Y145/2.4</f>
        <v>50</v>
      </c>
      <c r="Z150" s="920">
        <f>DATA!Z145/2.4</f>
        <v>50.833333333333336</v>
      </c>
      <c r="AA150" s="920">
        <f>DATA!AA145/2.4</f>
        <v>53.333333333333336</v>
      </c>
      <c r="AB150" s="920">
        <f>DATA!AB145/2.4</f>
        <v>55</v>
      </c>
      <c r="AC150" s="920">
        <f>DATA!AC145/2.4</f>
        <v>57.083333333333336</v>
      </c>
    </row>
    <row r="151" spans="1:29" ht="15.75">
      <c r="A151" s="918">
        <f>DATA!A146</f>
        <v>34.700000000000003</v>
      </c>
      <c r="B151" s="920">
        <f>DATA!B146/2.4</f>
        <v>22.5</v>
      </c>
      <c r="C151" s="920">
        <f>DATA!C146/2.4</f>
        <v>22.5</v>
      </c>
      <c r="D151" s="920">
        <f>DATA!D146/2.4</f>
        <v>24.583333333333336</v>
      </c>
      <c r="E151" s="920">
        <f>DATA!E146/2.4</f>
        <v>26.666666666666668</v>
      </c>
      <c r="F151" s="920">
        <f>DATA!F146/2.4</f>
        <v>27.916666666666668</v>
      </c>
      <c r="G151" s="920">
        <f>DATA!G146/2.4</f>
        <v>29.583333333333336</v>
      </c>
      <c r="H151" s="920">
        <f>DATA!H146/2.4</f>
        <v>30.833333333333336</v>
      </c>
      <c r="I151" s="920">
        <f>DATA!I146/2.4</f>
        <v>32.083333333333336</v>
      </c>
      <c r="J151" s="920">
        <f>DATA!J146/2.4</f>
        <v>33.333333333333336</v>
      </c>
      <c r="K151" s="920">
        <f>DATA!K146/2.4</f>
        <v>34.583333333333336</v>
      </c>
      <c r="L151" s="920">
        <f>DATA!L146/2.4</f>
        <v>35.416666666666671</v>
      </c>
      <c r="M151" s="920">
        <f>DATA!M146/2.4</f>
        <v>36.666666666666671</v>
      </c>
      <c r="N151" s="920">
        <f>DATA!N146/2.4</f>
        <v>37.5</v>
      </c>
      <c r="O151" s="920">
        <f>DATA!O146/2.4</f>
        <v>38.333333333333336</v>
      </c>
      <c r="P151" s="920">
        <f>DATA!P146/2.4</f>
        <v>39.166666666666671</v>
      </c>
      <c r="Q151" s="920">
        <f>DATA!Q146/2.4</f>
        <v>40</v>
      </c>
      <c r="R151" s="920">
        <f>DATA!R146/2.4</f>
        <v>40.833333333333336</v>
      </c>
      <c r="S151" s="920">
        <f>DATA!S146/2.4</f>
        <v>41.25</v>
      </c>
      <c r="T151" s="920">
        <f>DATA!T146/2.4</f>
        <v>42.083333333333336</v>
      </c>
      <c r="U151" s="920">
        <f>DATA!U146/2.4</f>
        <v>42.5</v>
      </c>
      <c r="V151" s="920">
        <f>DATA!V146/2.4</f>
        <v>43.75</v>
      </c>
      <c r="W151" s="920">
        <f>DATA!W146/2.4</f>
        <v>45</v>
      </c>
      <c r="X151" s="920">
        <f>DATA!X146/2.4</f>
        <v>46.25</v>
      </c>
      <c r="Y151" s="920">
        <f>DATA!Y146/2.4</f>
        <v>47.083333333333336</v>
      </c>
      <c r="Z151" s="920">
        <f>DATA!Z146/2.4</f>
        <v>48.333333333333336</v>
      </c>
      <c r="AA151" s="920">
        <f>DATA!AA146/2.4</f>
        <v>50.416666666666671</v>
      </c>
      <c r="AB151" s="920">
        <f>DATA!AB146/2.4</f>
        <v>52.083333333333336</v>
      </c>
      <c r="AC151" s="920">
        <f>DATA!AC146/2.4</f>
        <v>53.75</v>
      </c>
    </row>
    <row r="152" spans="1:29" ht="15.75">
      <c r="A152" s="918">
        <f>DATA!A147</f>
        <v>34.799999999999997</v>
      </c>
      <c r="B152" s="920">
        <f>DATA!B147/2.4</f>
        <v>21.25</v>
      </c>
      <c r="C152" s="920">
        <f>DATA!C147/2.4</f>
        <v>21.25</v>
      </c>
      <c r="D152" s="920">
        <f>DATA!D147/2.4</f>
        <v>23.333333333333336</v>
      </c>
      <c r="E152" s="920">
        <f>DATA!E147/2.4</f>
        <v>25</v>
      </c>
      <c r="F152" s="920">
        <f>DATA!F147/2.4</f>
        <v>26.25</v>
      </c>
      <c r="G152" s="920">
        <f>DATA!G147/2.4</f>
        <v>27.916666666666668</v>
      </c>
      <c r="H152" s="920">
        <f>DATA!H147/2.4</f>
        <v>29.166666666666668</v>
      </c>
      <c r="I152" s="920">
        <f>DATA!I147/2.4</f>
        <v>30.416666666666668</v>
      </c>
      <c r="J152" s="920">
        <f>DATA!J147/2.4</f>
        <v>31.25</v>
      </c>
      <c r="K152" s="920">
        <f>DATA!K147/2.4</f>
        <v>32.5</v>
      </c>
      <c r="L152" s="920">
        <f>DATA!L147/2.4</f>
        <v>33.333333333333336</v>
      </c>
      <c r="M152" s="920">
        <f>DATA!M147/2.4</f>
        <v>34.166666666666671</v>
      </c>
      <c r="N152" s="920">
        <f>DATA!N147/2.4</f>
        <v>35</v>
      </c>
      <c r="O152" s="920">
        <f>DATA!O147/2.4</f>
        <v>36.666666666666671</v>
      </c>
      <c r="P152" s="920">
        <f>DATA!P147/2.4</f>
        <v>36.666666666666671</v>
      </c>
      <c r="Q152" s="920">
        <f>DATA!Q147/2.4</f>
        <v>37.5</v>
      </c>
      <c r="R152" s="920">
        <f>DATA!R147/2.4</f>
        <v>38.333333333333336</v>
      </c>
      <c r="S152" s="920">
        <f>DATA!S147/2.4</f>
        <v>38.75</v>
      </c>
      <c r="T152" s="920">
        <f>DATA!T147/2.4</f>
        <v>39.583333333333336</v>
      </c>
      <c r="U152" s="920">
        <f>DATA!U147/2.4</f>
        <v>40.416666666666671</v>
      </c>
      <c r="V152" s="920">
        <f>DATA!V147/2.4</f>
        <v>41.25</v>
      </c>
      <c r="W152" s="920">
        <f>DATA!W147/2.4</f>
        <v>42.5</v>
      </c>
      <c r="X152" s="920">
        <f>DATA!X147/2.4</f>
        <v>43.333333333333336</v>
      </c>
      <c r="Y152" s="920">
        <f>DATA!Y147/2.4</f>
        <v>44.583333333333336</v>
      </c>
      <c r="Z152" s="920">
        <f>DATA!Z147/2.4</f>
        <v>45.416666666666671</v>
      </c>
      <c r="AA152" s="920">
        <f>DATA!AA147/2.4</f>
        <v>47.5</v>
      </c>
      <c r="AB152" s="920">
        <f>DATA!AB147/2.4</f>
        <v>49.166666666666671</v>
      </c>
      <c r="AC152" s="920">
        <f>DATA!AC147/2.4</f>
        <v>50.833333333333336</v>
      </c>
    </row>
    <row r="153" spans="1:29" ht="15.75">
      <c r="A153" s="918">
        <f>DATA!A148</f>
        <v>34.9</v>
      </c>
      <c r="B153" s="920">
        <f>DATA!B148/2.4</f>
        <v>20</v>
      </c>
      <c r="C153" s="920">
        <f>DATA!C148/2.4</f>
        <v>20</v>
      </c>
      <c r="D153" s="920">
        <f>DATA!D148/2.4</f>
        <v>21.666666666666668</v>
      </c>
      <c r="E153" s="920">
        <f>DATA!E148/2.4</f>
        <v>23.333333333333336</v>
      </c>
      <c r="F153" s="920">
        <f>DATA!F148/2.4</f>
        <v>24.583333333333336</v>
      </c>
      <c r="G153" s="920">
        <f>DATA!G148/2.4</f>
        <v>26.25</v>
      </c>
      <c r="H153" s="920">
        <f>DATA!H148/2.4</f>
        <v>27.083333333333336</v>
      </c>
      <c r="I153" s="920">
        <f>DATA!I148/2.4</f>
        <v>28.333333333333336</v>
      </c>
      <c r="J153" s="920">
        <f>DATA!J148/2.4</f>
        <v>29.583333333333336</v>
      </c>
      <c r="K153" s="920">
        <f>DATA!K148/2.4</f>
        <v>30.416666666666668</v>
      </c>
      <c r="L153" s="920">
        <f>DATA!L148/2.4</f>
        <v>31.25</v>
      </c>
      <c r="M153" s="920">
        <f>DATA!M148/2.4</f>
        <v>32.083333333333336</v>
      </c>
      <c r="N153" s="920">
        <f>DATA!N148/2.4</f>
        <v>32.5</v>
      </c>
      <c r="O153" s="920">
        <f>DATA!O148/2.4</f>
        <v>33.75</v>
      </c>
      <c r="P153" s="920">
        <f>DATA!P148/2.4</f>
        <v>34.583333333333336</v>
      </c>
      <c r="Q153" s="920">
        <f>DATA!Q148/2.4</f>
        <v>35.416666666666671</v>
      </c>
      <c r="R153" s="920">
        <f>DATA!R148/2.4</f>
        <v>35.833333333333336</v>
      </c>
      <c r="S153" s="920">
        <f>DATA!S148/2.4</f>
        <v>36.666666666666671</v>
      </c>
      <c r="T153" s="920">
        <f>DATA!T148/2.4</f>
        <v>37.083333333333336</v>
      </c>
      <c r="U153" s="920">
        <f>DATA!U148/2.4</f>
        <v>37.916666666666671</v>
      </c>
      <c r="V153" s="920">
        <f>DATA!V148/2.4</f>
        <v>38.75</v>
      </c>
      <c r="W153" s="920">
        <f>DATA!W148/2.4</f>
        <v>40</v>
      </c>
      <c r="X153" s="920">
        <f>DATA!X148/2.4</f>
        <v>40.833333333333336</v>
      </c>
      <c r="Y153" s="920">
        <f>DATA!Y148/2.4</f>
        <v>41.666666666666671</v>
      </c>
      <c r="Z153" s="920">
        <f>DATA!Z148/2.4</f>
        <v>42.5</v>
      </c>
      <c r="AA153" s="920">
        <f>DATA!AA148/2.4</f>
        <v>44.583333333333336</v>
      </c>
      <c r="AB153" s="920">
        <f>DATA!AB148/2.4</f>
        <v>46.25</v>
      </c>
      <c r="AC153" s="920">
        <f>DATA!AC148/2.4</f>
        <v>47.916666666666671</v>
      </c>
    </row>
  </sheetData>
  <sheetProtection sheet="1" objects="1" scenarios="1"/>
  <conditionalFormatting sqref="B8:AC153">
    <cfRule type="cellIs" dxfId="1" priority="1" stopIfTrue="1" operator="lessThanOrEqual">
      <formula>100</formula>
    </cfRule>
  </conditionalFormatting>
  <pageMargins left="0.75" right="0.75" top="1" bottom="1" header="0.5" footer="0.5"/>
  <pageSetup paperSize="9" orientation="portrait" verticalDpi="300"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1"/>
  <sheetViews>
    <sheetView zoomScale="60" workbookViewId="0">
      <selection activeCell="H2" sqref="H2"/>
    </sheetView>
  </sheetViews>
  <sheetFormatPr defaultColWidth="9.140625" defaultRowHeight="12.75"/>
  <cols>
    <col min="1" max="16384" width="9.140625" style="435"/>
  </cols>
  <sheetData>
    <row r="1" spans="1:18" s="878" customFormat="1">
      <c r="A1" s="878">
        <f>VLOOKUP(WP!$B$1,B!$A$14:$B$42,2)</f>
        <v>14</v>
      </c>
      <c r="B1" s="878">
        <f>VLOOKUP(WP!$C$1,B!$C$14:$D$42,2)</f>
        <v>14</v>
      </c>
      <c r="C1" s="878" t="e">
        <f>VLOOKUP(WP!$D$1,B!$E$14:$F$42,2)</f>
        <v>#N/A</v>
      </c>
      <c r="D1" s="878" t="e">
        <f>VLOOKUP(WP!$E$1,B!$G$14:$H$42,2)</f>
        <v>#N/A</v>
      </c>
      <c r="E1" s="878" t="e">
        <f>VLOOKUP(WP!$F$1,B!$I$14:$J$42,2)</f>
        <v>#N/A</v>
      </c>
    </row>
    <row r="2" spans="1:18" s="878" customFormat="1">
      <c r="A2" s="878" t="e">
        <f>VLOOKUP(WP!H$1,B!$A$14:$B$42,2)</f>
        <v>#N/A</v>
      </c>
      <c r="B2" s="878" t="e">
        <f>VLOOKUP(WP!I$1,B!$C$14:$D$42,2)</f>
        <v>#N/A</v>
      </c>
      <c r="C2" s="878" t="e">
        <f>VLOOKUP(WP!J$1,B!$E$14:$F$42,2)</f>
        <v>#N/A</v>
      </c>
      <c r="D2" s="878" t="e">
        <f>VLOOKUP(WP!K$1,B!$G$14:$H$42,2)</f>
        <v>#N/A</v>
      </c>
      <c r="E2" s="878" t="e">
        <f>VLOOKUP(WP!L$1,B!$I$14:$J$42,2)</f>
        <v>#N/A</v>
      </c>
      <c r="H2" s="921" t="s">
        <v>1052</v>
      </c>
      <c r="I2" s="922"/>
      <c r="J2" s="922"/>
    </row>
    <row r="3" spans="1:18" s="878" customFormat="1">
      <c r="A3" s="878" t="e">
        <f>VLOOKUP(WP!N$1,B!$A$14:$B$42,2)</f>
        <v>#N/A</v>
      </c>
      <c r="B3" s="878" t="e">
        <f>VLOOKUP(WP!O$1,B!$C$14:$D$42,2)</f>
        <v>#N/A</v>
      </c>
      <c r="C3" s="878" t="e">
        <f>VLOOKUP(WP!P$1,B!$E$14:$F$42,2)</f>
        <v>#N/A</v>
      </c>
      <c r="D3" s="878" t="e">
        <f>VLOOKUP(WP!Q$1,B!$G$14:$H$42,2)</f>
        <v>#N/A</v>
      </c>
      <c r="E3" s="878" t="e">
        <f>VLOOKUP(WP!R$1,B!$I$14:$J$42,2)</f>
        <v>#N/A</v>
      </c>
    </row>
    <row r="4" spans="1:18" s="878" customFormat="1">
      <c r="A4" s="878" t="e">
        <f>VLOOKUP(WP!T$1,B!$A$14:$B$42,2)</f>
        <v>#N/A</v>
      </c>
      <c r="B4" s="878" t="e">
        <f>VLOOKUP(WP!U$1,B!$C$14:$D$42,2)</f>
        <v>#N/A</v>
      </c>
      <c r="C4" s="878" t="e">
        <f>VLOOKUP(WP!V$1,B!$E$14:$F$42,2)</f>
        <v>#N/A</v>
      </c>
      <c r="D4" s="878" t="e">
        <f>VLOOKUP(WP!W$1,B!$G$14:$H$42,2)</f>
        <v>#N/A</v>
      </c>
      <c r="E4" s="878" t="e">
        <f>VLOOKUP(WP!X$1,B!$I$14:$J$42,2)</f>
        <v>#N/A</v>
      </c>
    </row>
    <row r="5" spans="1:18" s="878" customFormat="1">
      <c r="A5" s="878" t="e">
        <f>VLOOKUP(WP!Z$1,B!$A$14:$B$42,2)</f>
        <v>#N/A</v>
      </c>
      <c r="B5" s="878" t="e">
        <f>VLOOKUP(WP!AA$1,B!$C$14:$D$42,2)</f>
        <v>#N/A</v>
      </c>
      <c r="C5" s="878" t="e">
        <f>VLOOKUP(WP!AB$1,B!$E$14:$F$42,2)</f>
        <v>#N/A</v>
      </c>
      <c r="D5" s="878" t="e">
        <f>VLOOKUP(WP!AC$1,B!$G$14:$H$42,2)</f>
        <v>#N/A</v>
      </c>
      <c r="E5" s="878" t="e">
        <f>VLOOKUP(WP!AD$1,B!$I$14:$J$42,2)</f>
        <v>#N/A</v>
      </c>
    </row>
    <row r="6" spans="1:18" s="878" customFormat="1">
      <c r="A6" s="878" t="e">
        <f>VLOOKUP(WP!AF$1,B!$A$14:$B$42,2)</f>
        <v>#N/A</v>
      </c>
      <c r="B6" s="878" t="e">
        <f>VLOOKUP(WP!AG$1,B!$C$14:$D$42,2)</f>
        <v>#N/A</v>
      </c>
      <c r="C6" s="878" t="e">
        <f>VLOOKUP(WP!AH$1,B!$E$14:$F$42,2)</f>
        <v>#N/A</v>
      </c>
      <c r="D6" s="878" t="e">
        <f>VLOOKUP(WP!AI$1,B!$G$14:$H$42,2)</f>
        <v>#N/A</v>
      </c>
      <c r="E6" s="878" t="e">
        <f>VLOOKUP(WP!AJ$1,B!$I$14:$J$42,2)</f>
        <v>#N/A</v>
      </c>
    </row>
    <row r="7" spans="1:18" s="878" customFormat="1">
      <c r="A7" s="878" t="e">
        <f>VLOOKUP(WP!AL$1,B!$A$14:$B$42,2)</f>
        <v>#N/A</v>
      </c>
      <c r="B7" s="878" t="e">
        <f>VLOOKUP(WP!AM$1,B!$C$14:$D$42,2)</f>
        <v>#N/A</v>
      </c>
      <c r="C7" s="878" t="e">
        <f>VLOOKUP(WP!AN$1,B!$E$14:$F$42,2)</f>
        <v>#N/A</v>
      </c>
      <c r="D7" s="878" t="e">
        <f>VLOOKUP(WP!AO$1,B!$G$14:$H$42,2)</f>
        <v>#N/A</v>
      </c>
      <c r="E7" s="878" t="e">
        <f>VLOOKUP(WP!AP$1,B!$I$14:$J$42,2)</f>
        <v>#N/A</v>
      </c>
    </row>
    <row r="8" spans="1:18" s="878" customFormat="1">
      <c r="A8" s="878" t="e">
        <f>VLOOKUP(WP!AR$1,B!$A$14:$B$42,2)</f>
        <v>#N/A</v>
      </c>
      <c r="B8" s="878" t="e">
        <f>VLOOKUP(WP!AS$1,B!$C$14:$D$42,2)</f>
        <v>#N/A</v>
      </c>
      <c r="C8" s="878" t="e">
        <f>VLOOKUP(WP!AT$1,B!$E$14:$F$42,2)</f>
        <v>#N/A</v>
      </c>
      <c r="D8" s="878" t="e">
        <f>VLOOKUP(WP!AU$1,B!$G$14:$H$42,2)</f>
        <v>#N/A</v>
      </c>
      <c r="E8" s="878" t="e">
        <f>VLOOKUP(WP!AV$1,B!$I$14:$J$42,2)</f>
        <v>#N/A</v>
      </c>
    </row>
    <row r="9" spans="1:18" s="878" customFormat="1">
      <c r="A9" s="878" t="e">
        <f>VLOOKUP(WP!AX$1,B!$A$14:$B$42,2)</f>
        <v>#N/A</v>
      </c>
      <c r="B9" s="878" t="e">
        <f>VLOOKUP(WP!AY$1,B!$C$14:$D$42,2)</f>
        <v>#N/A</v>
      </c>
      <c r="C9" s="878" t="e">
        <f>VLOOKUP(WP!AZ$1,B!$E$14:$F$42,2)</f>
        <v>#N/A</v>
      </c>
      <c r="D9" s="878" t="e">
        <f>VLOOKUP(WP!BA$1,B!$G$14:$H$42,2)</f>
        <v>#N/A</v>
      </c>
      <c r="E9" s="878" t="e">
        <f>VLOOKUP(WP!BB$1,B!$I$14:$J$42,2)</f>
        <v>#N/A</v>
      </c>
    </row>
    <row r="10" spans="1:18" s="878" customFormat="1">
      <c r="A10" s="878" t="e">
        <f>VLOOKUP(WP!BD$1,B!$A$14:$B$42,2)</f>
        <v>#N/A</v>
      </c>
      <c r="B10" s="878" t="e">
        <f>VLOOKUP(WP!BE$1,B!$C$14:$D$42,2)</f>
        <v>#N/A</v>
      </c>
      <c r="C10" s="878" t="e">
        <f>VLOOKUP(WP!BF$1,B!$E$14:$F$42,2)</f>
        <v>#N/A</v>
      </c>
      <c r="D10" s="878" t="e">
        <f>VLOOKUP(WP!BG$1,B!$G$14:$H$42,2)</f>
        <v>#N/A</v>
      </c>
      <c r="E10" s="878" t="e">
        <f>VLOOKUP(WP!BH$1,B!$I$14:$J$42,2)</f>
        <v>#N/A</v>
      </c>
    </row>
    <row r="11" spans="1:18" s="878" customFormat="1"/>
    <row r="12" spans="1:18" s="878" customFormat="1"/>
    <row r="13" spans="1:18" s="878" customFormat="1"/>
    <row r="14" spans="1:18">
      <c r="A14" s="923">
        <v>0.1</v>
      </c>
      <c r="B14" s="435">
        <v>1</v>
      </c>
      <c r="C14" s="923">
        <v>0.1</v>
      </c>
      <c r="D14" s="435">
        <v>1</v>
      </c>
      <c r="E14" s="923">
        <v>0.1</v>
      </c>
      <c r="F14" s="435">
        <v>1</v>
      </c>
      <c r="G14" s="923">
        <v>0.1</v>
      </c>
      <c r="H14" s="435">
        <v>1</v>
      </c>
      <c r="I14" s="923">
        <v>0.1</v>
      </c>
      <c r="J14" s="435">
        <v>1</v>
      </c>
      <c r="K14" s="905"/>
      <c r="L14" s="907"/>
      <c r="M14" s="905"/>
      <c r="N14" s="907"/>
      <c r="O14" s="905"/>
      <c r="P14" s="907"/>
      <c r="Q14" s="905"/>
      <c r="R14" s="907"/>
    </row>
    <row r="15" spans="1:18">
      <c r="A15" s="923">
        <v>0.2</v>
      </c>
      <c r="B15" s="435">
        <v>2</v>
      </c>
      <c r="C15" s="923">
        <v>0.2</v>
      </c>
      <c r="D15" s="435">
        <v>2</v>
      </c>
      <c r="E15" s="923">
        <v>0.2</v>
      </c>
      <c r="F15" s="435">
        <v>2</v>
      </c>
      <c r="G15" s="923">
        <v>0.2</v>
      </c>
      <c r="H15" s="435">
        <v>2</v>
      </c>
      <c r="I15" s="923">
        <v>0.2</v>
      </c>
      <c r="J15" s="435">
        <v>2</v>
      </c>
      <c r="K15" s="905"/>
      <c r="L15" s="907"/>
      <c r="M15" s="905"/>
      <c r="N15" s="907"/>
      <c r="O15" s="905"/>
      <c r="P15" s="907"/>
      <c r="Q15" s="905"/>
      <c r="R15" s="907"/>
    </row>
    <row r="16" spans="1:18">
      <c r="A16" s="923">
        <v>0.3</v>
      </c>
      <c r="B16" s="435">
        <v>3</v>
      </c>
      <c r="C16" s="923">
        <v>0.3</v>
      </c>
      <c r="D16" s="435">
        <v>3</v>
      </c>
      <c r="E16" s="923">
        <v>0.3</v>
      </c>
      <c r="F16" s="435">
        <v>3</v>
      </c>
      <c r="G16" s="923">
        <v>0.3</v>
      </c>
      <c r="H16" s="435">
        <v>3</v>
      </c>
      <c r="I16" s="923">
        <v>0.3</v>
      </c>
      <c r="J16" s="435">
        <v>3</v>
      </c>
      <c r="K16" s="905"/>
      <c r="L16" s="907"/>
      <c r="M16" s="905"/>
      <c r="N16" s="907"/>
      <c r="O16" s="905"/>
      <c r="P16" s="907"/>
      <c r="Q16" s="905"/>
      <c r="R16" s="907"/>
    </row>
    <row r="17" spans="1:18">
      <c r="A17" s="923">
        <v>0.4</v>
      </c>
      <c r="B17" s="435">
        <v>4</v>
      </c>
      <c r="C17" s="923">
        <v>0.4</v>
      </c>
      <c r="D17" s="435">
        <v>4</v>
      </c>
      <c r="E17" s="923">
        <v>0.4</v>
      </c>
      <c r="F17" s="435">
        <v>4</v>
      </c>
      <c r="G17" s="923">
        <v>0.4</v>
      </c>
      <c r="H17" s="435">
        <v>4</v>
      </c>
      <c r="I17" s="923">
        <v>0.4</v>
      </c>
      <c r="J17" s="435">
        <v>4</v>
      </c>
      <c r="K17" s="905"/>
      <c r="L17" s="907"/>
      <c r="M17" s="905"/>
      <c r="N17" s="907"/>
      <c r="O17" s="905"/>
      <c r="P17" s="907"/>
      <c r="Q17" s="905"/>
      <c r="R17" s="907"/>
    </row>
    <row r="18" spans="1:18">
      <c r="A18" s="923">
        <v>0.5</v>
      </c>
      <c r="B18" s="435">
        <v>5</v>
      </c>
      <c r="C18" s="923">
        <v>0.5</v>
      </c>
      <c r="D18" s="435">
        <v>5</v>
      </c>
      <c r="E18" s="923">
        <v>0.5</v>
      </c>
      <c r="F18" s="435">
        <v>5</v>
      </c>
      <c r="G18" s="923">
        <v>0.5</v>
      </c>
      <c r="H18" s="435">
        <v>5</v>
      </c>
      <c r="I18" s="923">
        <v>0.5</v>
      </c>
      <c r="J18" s="435">
        <v>5</v>
      </c>
      <c r="K18" s="905"/>
      <c r="L18" s="907"/>
      <c r="M18" s="905"/>
      <c r="N18" s="907"/>
      <c r="O18" s="905"/>
      <c r="P18" s="907"/>
      <c r="Q18" s="905"/>
      <c r="R18" s="907"/>
    </row>
    <row r="19" spans="1:18">
      <c r="A19" s="923">
        <v>0.6</v>
      </c>
      <c r="B19" s="435">
        <v>6</v>
      </c>
      <c r="C19" s="923">
        <v>0.6</v>
      </c>
      <c r="D19" s="435">
        <v>6</v>
      </c>
      <c r="E19" s="923">
        <v>0.6</v>
      </c>
      <c r="F19" s="435">
        <v>6</v>
      </c>
      <c r="G19" s="923">
        <v>0.6</v>
      </c>
      <c r="H19" s="435">
        <v>6</v>
      </c>
      <c r="I19" s="923">
        <v>0.6</v>
      </c>
      <c r="J19" s="435">
        <v>6</v>
      </c>
      <c r="K19" s="905"/>
      <c r="L19" s="907"/>
      <c r="M19" s="905"/>
      <c r="N19" s="907"/>
      <c r="O19" s="905"/>
      <c r="P19" s="907"/>
      <c r="Q19" s="905"/>
      <c r="R19" s="907"/>
    </row>
    <row r="20" spans="1:18">
      <c r="A20" s="923">
        <v>0.7</v>
      </c>
      <c r="B20" s="435">
        <v>7</v>
      </c>
      <c r="C20" s="923">
        <v>0.7</v>
      </c>
      <c r="D20" s="435">
        <v>7</v>
      </c>
      <c r="E20" s="923">
        <v>0.7</v>
      </c>
      <c r="F20" s="435">
        <v>7</v>
      </c>
      <c r="G20" s="923">
        <v>0.7</v>
      </c>
      <c r="H20" s="435">
        <v>7</v>
      </c>
      <c r="I20" s="923">
        <v>0.7</v>
      </c>
      <c r="J20" s="435">
        <v>7</v>
      </c>
      <c r="K20" s="905"/>
      <c r="L20" s="907"/>
      <c r="M20" s="905"/>
      <c r="N20" s="907"/>
      <c r="O20" s="905"/>
      <c r="P20" s="907"/>
      <c r="Q20" s="905"/>
      <c r="R20" s="907"/>
    </row>
    <row r="21" spans="1:18">
      <c r="A21" s="923">
        <v>0.8</v>
      </c>
      <c r="B21" s="435">
        <v>8</v>
      </c>
      <c r="C21" s="923">
        <v>0.8</v>
      </c>
      <c r="D21" s="435">
        <v>8</v>
      </c>
      <c r="E21" s="923">
        <v>0.8</v>
      </c>
      <c r="F21" s="435">
        <v>8</v>
      </c>
      <c r="G21" s="923">
        <v>0.8</v>
      </c>
      <c r="H21" s="435">
        <v>8</v>
      </c>
      <c r="I21" s="923">
        <v>0.8</v>
      </c>
      <c r="J21" s="435">
        <v>8</v>
      </c>
      <c r="K21" s="905"/>
      <c r="L21" s="907"/>
      <c r="M21" s="905"/>
      <c r="N21" s="907"/>
      <c r="O21" s="905"/>
      <c r="P21" s="907"/>
      <c r="Q21" s="905"/>
      <c r="R21" s="907"/>
    </row>
    <row r="22" spans="1:18">
      <c r="A22" s="923">
        <v>0.9</v>
      </c>
      <c r="B22" s="435">
        <v>9</v>
      </c>
      <c r="C22" s="923">
        <v>0.9</v>
      </c>
      <c r="D22" s="435">
        <v>9</v>
      </c>
      <c r="E22" s="923">
        <v>0.9</v>
      </c>
      <c r="F22" s="435">
        <v>9</v>
      </c>
      <c r="G22" s="923">
        <v>0.9</v>
      </c>
      <c r="H22" s="435">
        <v>9</v>
      </c>
      <c r="I22" s="923">
        <v>0.9</v>
      </c>
      <c r="J22" s="435">
        <v>9</v>
      </c>
      <c r="K22" s="905"/>
      <c r="L22" s="907"/>
      <c r="M22" s="905"/>
      <c r="N22" s="907"/>
      <c r="O22" s="905"/>
      <c r="P22" s="907"/>
      <c r="Q22" s="905"/>
      <c r="R22" s="907"/>
    </row>
    <row r="23" spans="1:18">
      <c r="A23" s="923">
        <v>1</v>
      </c>
      <c r="B23" s="435">
        <v>10</v>
      </c>
      <c r="C23" s="923">
        <v>1</v>
      </c>
      <c r="D23" s="435">
        <v>10</v>
      </c>
      <c r="E23" s="923">
        <v>1</v>
      </c>
      <c r="F23" s="435">
        <v>10</v>
      </c>
      <c r="G23" s="923">
        <v>1</v>
      </c>
      <c r="H23" s="435">
        <v>10</v>
      </c>
      <c r="I23" s="923">
        <v>1</v>
      </c>
      <c r="J23" s="435">
        <v>10</v>
      </c>
      <c r="K23" s="905"/>
      <c r="L23" s="907"/>
      <c r="M23" s="905"/>
      <c r="N23" s="907"/>
      <c r="O23" s="905"/>
      <c r="P23" s="907"/>
      <c r="Q23" s="905"/>
      <c r="R23" s="907"/>
    </row>
    <row r="24" spans="1:18">
      <c r="A24" s="923">
        <v>1.1000000000000001</v>
      </c>
      <c r="B24" s="435">
        <v>11</v>
      </c>
      <c r="C24" s="923">
        <v>1.1000000000000001</v>
      </c>
      <c r="D24" s="435">
        <v>11</v>
      </c>
      <c r="E24" s="923">
        <v>1.1000000000000001</v>
      </c>
      <c r="F24" s="435">
        <v>11</v>
      </c>
      <c r="G24" s="923">
        <v>1.1000000000000001</v>
      </c>
      <c r="H24" s="435">
        <v>11</v>
      </c>
      <c r="I24" s="923">
        <v>1.1000000000000001</v>
      </c>
      <c r="J24" s="435">
        <v>11</v>
      </c>
      <c r="K24" s="905"/>
      <c r="L24" s="907"/>
      <c r="M24" s="905"/>
      <c r="N24" s="907"/>
      <c r="O24" s="905"/>
      <c r="P24" s="907"/>
      <c r="Q24" s="905"/>
      <c r="R24" s="907"/>
    </row>
    <row r="25" spans="1:18">
      <c r="A25" s="923">
        <v>1.2</v>
      </c>
      <c r="B25" s="435">
        <v>12</v>
      </c>
      <c r="C25" s="923">
        <v>1.2</v>
      </c>
      <c r="D25" s="435">
        <v>12</v>
      </c>
      <c r="E25" s="923">
        <v>1.2</v>
      </c>
      <c r="F25" s="435">
        <v>12</v>
      </c>
      <c r="G25" s="923">
        <v>1.2</v>
      </c>
      <c r="H25" s="435">
        <v>12</v>
      </c>
      <c r="I25" s="923">
        <v>1.2</v>
      </c>
      <c r="J25" s="435">
        <v>12</v>
      </c>
      <c r="K25" s="905"/>
      <c r="L25" s="907"/>
      <c r="M25" s="905"/>
      <c r="N25" s="907"/>
      <c r="O25" s="905"/>
      <c r="P25" s="907"/>
      <c r="Q25" s="905"/>
      <c r="R25" s="907"/>
    </row>
    <row r="26" spans="1:18">
      <c r="A26" s="923">
        <v>1.3</v>
      </c>
      <c r="B26" s="435">
        <v>13</v>
      </c>
      <c r="C26" s="923">
        <v>1.3</v>
      </c>
      <c r="D26" s="435">
        <v>13</v>
      </c>
      <c r="E26" s="923">
        <v>1.3</v>
      </c>
      <c r="F26" s="435">
        <v>13</v>
      </c>
      <c r="G26" s="923">
        <v>1.3</v>
      </c>
      <c r="H26" s="435">
        <v>13</v>
      </c>
      <c r="I26" s="923">
        <v>1.3</v>
      </c>
      <c r="J26" s="435">
        <v>13</v>
      </c>
      <c r="K26" s="905"/>
      <c r="L26" s="907"/>
      <c r="M26" s="905"/>
      <c r="N26" s="907"/>
      <c r="O26" s="905"/>
      <c r="P26" s="907"/>
      <c r="Q26" s="905"/>
      <c r="R26" s="907"/>
    </row>
    <row r="27" spans="1:18">
      <c r="A27" s="923">
        <v>1.4</v>
      </c>
      <c r="B27" s="435">
        <v>14</v>
      </c>
      <c r="C27" s="923">
        <v>1.4</v>
      </c>
      <c r="D27" s="435">
        <v>14</v>
      </c>
      <c r="E27" s="923">
        <v>1.4</v>
      </c>
      <c r="F27" s="435">
        <v>14</v>
      </c>
      <c r="G27" s="923">
        <v>1.4</v>
      </c>
      <c r="H27" s="435">
        <v>14</v>
      </c>
      <c r="I27" s="923">
        <v>1.4</v>
      </c>
      <c r="J27" s="435">
        <v>14</v>
      </c>
      <c r="K27" s="905"/>
      <c r="L27" s="907"/>
      <c r="M27" s="905"/>
      <c r="N27" s="907"/>
      <c r="O27" s="905"/>
      <c r="P27" s="907"/>
      <c r="Q27" s="905"/>
      <c r="R27" s="907"/>
    </row>
    <row r="28" spans="1:18">
      <c r="A28" s="923">
        <v>1.5</v>
      </c>
      <c r="B28" s="435">
        <v>15</v>
      </c>
      <c r="C28" s="923">
        <v>1.5</v>
      </c>
      <c r="D28" s="435">
        <v>15</v>
      </c>
      <c r="E28" s="923">
        <v>1.5</v>
      </c>
      <c r="F28" s="435">
        <v>15</v>
      </c>
      <c r="G28" s="923">
        <v>1.5</v>
      </c>
      <c r="H28" s="435">
        <v>15</v>
      </c>
      <c r="I28" s="923">
        <v>1.5</v>
      </c>
      <c r="J28" s="435">
        <v>15</v>
      </c>
      <c r="K28" s="905"/>
      <c r="L28" s="907"/>
      <c r="M28" s="905"/>
      <c r="N28" s="907"/>
      <c r="O28" s="905"/>
      <c r="P28" s="907"/>
      <c r="Q28" s="905"/>
      <c r="R28" s="907"/>
    </row>
    <row r="29" spans="1:18">
      <c r="A29" s="923">
        <v>1.6</v>
      </c>
      <c r="B29" s="435">
        <v>16</v>
      </c>
      <c r="C29" s="923">
        <v>1.6</v>
      </c>
      <c r="D29" s="435">
        <v>16</v>
      </c>
      <c r="E29" s="923">
        <v>1.6</v>
      </c>
      <c r="F29" s="435">
        <v>16</v>
      </c>
      <c r="G29" s="923">
        <v>1.6</v>
      </c>
      <c r="H29" s="435">
        <v>16</v>
      </c>
      <c r="I29" s="923">
        <v>1.6</v>
      </c>
      <c r="J29" s="435">
        <v>16</v>
      </c>
      <c r="K29" s="905"/>
      <c r="L29" s="907"/>
      <c r="M29" s="905"/>
      <c r="N29" s="907"/>
      <c r="O29" s="905"/>
      <c r="P29" s="907"/>
      <c r="Q29" s="905"/>
      <c r="R29" s="907"/>
    </row>
    <row r="30" spans="1:18">
      <c r="A30" s="923">
        <v>1.7</v>
      </c>
      <c r="B30" s="435">
        <v>17</v>
      </c>
      <c r="C30" s="923">
        <v>1.7</v>
      </c>
      <c r="D30" s="435">
        <v>17</v>
      </c>
      <c r="E30" s="923">
        <v>1.7</v>
      </c>
      <c r="F30" s="435">
        <v>17</v>
      </c>
      <c r="G30" s="923">
        <v>1.7</v>
      </c>
      <c r="H30" s="435">
        <v>17</v>
      </c>
      <c r="I30" s="923">
        <v>1.7</v>
      </c>
      <c r="J30" s="435">
        <v>17</v>
      </c>
      <c r="K30" s="905"/>
      <c r="L30" s="907"/>
      <c r="M30" s="905"/>
      <c r="N30" s="907"/>
      <c r="O30" s="905"/>
      <c r="P30" s="907"/>
      <c r="Q30" s="905"/>
      <c r="R30" s="907"/>
    </row>
    <row r="31" spans="1:18">
      <c r="A31" s="923">
        <v>1.8</v>
      </c>
      <c r="B31" s="435">
        <v>18</v>
      </c>
      <c r="C31" s="923">
        <v>1.8</v>
      </c>
      <c r="D31" s="435">
        <v>18</v>
      </c>
      <c r="E31" s="923">
        <v>1.8</v>
      </c>
      <c r="F31" s="435">
        <v>18</v>
      </c>
      <c r="G31" s="923">
        <v>1.8</v>
      </c>
      <c r="H31" s="435">
        <v>18</v>
      </c>
      <c r="I31" s="923">
        <v>1.8</v>
      </c>
      <c r="J31" s="435">
        <v>18</v>
      </c>
      <c r="K31" s="905"/>
      <c r="L31" s="907"/>
      <c r="M31" s="905"/>
      <c r="N31" s="907"/>
      <c r="O31" s="905"/>
      <c r="P31" s="907"/>
      <c r="Q31" s="905"/>
      <c r="R31" s="907"/>
    </row>
    <row r="32" spans="1:18">
      <c r="A32" s="923">
        <v>1.9</v>
      </c>
      <c r="B32" s="435">
        <v>19</v>
      </c>
      <c r="C32" s="923">
        <v>1.9</v>
      </c>
      <c r="D32" s="435">
        <v>19</v>
      </c>
      <c r="E32" s="923">
        <v>1.9</v>
      </c>
      <c r="F32" s="435">
        <v>19</v>
      </c>
      <c r="G32" s="923">
        <v>1.9</v>
      </c>
      <c r="H32" s="435">
        <v>19</v>
      </c>
      <c r="I32" s="923">
        <v>1.9</v>
      </c>
      <c r="J32" s="435">
        <v>19</v>
      </c>
      <c r="K32" s="905"/>
      <c r="L32" s="907"/>
      <c r="M32" s="905"/>
      <c r="N32" s="907"/>
      <c r="O32" s="905"/>
      <c r="P32" s="907"/>
      <c r="Q32" s="905"/>
      <c r="R32" s="907"/>
    </row>
    <row r="33" spans="1:18">
      <c r="A33" s="923">
        <v>2</v>
      </c>
      <c r="B33" s="435">
        <v>20</v>
      </c>
      <c r="C33" s="923">
        <v>2</v>
      </c>
      <c r="D33" s="435">
        <v>20</v>
      </c>
      <c r="E33" s="923">
        <v>2</v>
      </c>
      <c r="F33" s="435">
        <v>20</v>
      </c>
      <c r="G33" s="923">
        <v>2</v>
      </c>
      <c r="H33" s="435">
        <v>20</v>
      </c>
      <c r="I33" s="923">
        <v>2</v>
      </c>
      <c r="J33" s="435">
        <v>20</v>
      </c>
      <c r="K33" s="905"/>
      <c r="L33" s="907"/>
      <c r="M33" s="905"/>
      <c r="N33" s="907"/>
      <c r="O33" s="905"/>
      <c r="P33" s="907"/>
      <c r="Q33" s="905"/>
      <c r="R33" s="907"/>
    </row>
    <row r="34" spans="1:18">
      <c r="A34" s="923">
        <v>2.2000000000000002</v>
      </c>
      <c r="B34" s="435">
        <v>21</v>
      </c>
      <c r="C34" s="923">
        <v>2.2000000000000002</v>
      </c>
      <c r="D34" s="435">
        <v>21</v>
      </c>
      <c r="E34" s="923">
        <v>2.2000000000000002</v>
      </c>
      <c r="F34" s="435">
        <v>21</v>
      </c>
      <c r="G34" s="923">
        <v>2.2000000000000002</v>
      </c>
      <c r="H34" s="435">
        <v>21</v>
      </c>
      <c r="I34" s="923">
        <v>2.2000000000000002</v>
      </c>
      <c r="J34" s="435">
        <v>21</v>
      </c>
      <c r="K34" s="905"/>
      <c r="L34" s="907"/>
      <c r="M34" s="905"/>
      <c r="N34" s="907"/>
      <c r="O34" s="905"/>
      <c r="P34" s="907"/>
      <c r="Q34" s="905"/>
      <c r="R34" s="907"/>
    </row>
    <row r="35" spans="1:18">
      <c r="A35" s="923">
        <v>2.4</v>
      </c>
      <c r="B35" s="435">
        <v>22</v>
      </c>
      <c r="C35" s="923">
        <v>2.4</v>
      </c>
      <c r="D35" s="435">
        <v>22</v>
      </c>
      <c r="E35" s="923">
        <v>2.4</v>
      </c>
      <c r="F35" s="435">
        <v>22</v>
      </c>
      <c r="G35" s="923">
        <v>2.4</v>
      </c>
      <c r="H35" s="435">
        <v>22</v>
      </c>
      <c r="I35" s="923">
        <v>2.4</v>
      </c>
      <c r="J35" s="435">
        <v>22</v>
      </c>
      <c r="K35" s="905"/>
      <c r="L35" s="907"/>
      <c r="M35" s="905"/>
      <c r="N35" s="907"/>
      <c r="O35" s="905"/>
      <c r="P35" s="907"/>
      <c r="Q35" s="905"/>
      <c r="R35" s="907"/>
    </row>
    <row r="36" spans="1:18">
      <c r="A36" s="923">
        <v>2.6</v>
      </c>
      <c r="B36" s="435">
        <v>23</v>
      </c>
      <c r="C36" s="923">
        <v>2.6</v>
      </c>
      <c r="D36" s="435">
        <v>23</v>
      </c>
      <c r="E36" s="923">
        <v>2.6</v>
      </c>
      <c r="F36" s="435">
        <v>23</v>
      </c>
      <c r="G36" s="923">
        <v>2.6</v>
      </c>
      <c r="H36" s="435">
        <v>23</v>
      </c>
      <c r="I36" s="923">
        <v>2.6</v>
      </c>
      <c r="J36" s="435">
        <v>23</v>
      </c>
      <c r="K36" s="905"/>
      <c r="L36" s="907"/>
      <c r="M36" s="905"/>
      <c r="N36" s="907"/>
      <c r="O36" s="905"/>
      <c r="P36" s="907"/>
      <c r="Q36" s="905"/>
      <c r="R36" s="907"/>
    </row>
    <row r="37" spans="1:18">
      <c r="A37" s="923">
        <v>2.8</v>
      </c>
      <c r="B37" s="435">
        <v>24</v>
      </c>
      <c r="C37" s="923">
        <v>2.8</v>
      </c>
      <c r="D37" s="435">
        <v>24</v>
      </c>
      <c r="E37" s="923">
        <v>2.8</v>
      </c>
      <c r="F37" s="435">
        <v>24</v>
      </c>
      <c r="G37" s="923">
        <v>2.8</v>
      </c>
      <c r="H37" s="435">
        <v>24</v>
      </c>
      <c r="I37" s="923">
        <v>2.8</v>
      </c>
      <c r="J37" s="435">
        <v>24</v>
      </c>
      <c r="K37" s="905"/>
      <c r="L37" s="907"/>
      <c r="M37" s="905"/>
      <c r="N37" s="907"/>
      <c r="O37" s="905"/>
      <c r="P37" s="907"/>
      <c r="Q37" s="905"/>
      <c r="R37" s="907"/>
    </row>
    <row r="38" spans="1:18">
      <c r="A38" s="923">
        <v>3</v>
      </c>
      <c r="B38" s="435">
        <v>25</v>
      </c>
      <c r="C38" s="923">
        <v>3</v>
      </c>
      <c r="D38" s="435">
        <v>25</v>
      </c>
      <c r="E38" s="923">
        <v>3</v>
      </c>
      <c r="F38" s="435">
        <v>25</v>
      </c>
      <c r="G38" s="923">
        <v>3</v>
      </c>
      <c r="H38" s="435">
        <v>25</v>
      </c>
      <c r="I38" s="923">
        <v>3</v>
      </c>
      <c r="J38" s="435">
        <v>25</v>
      </c>
      <c r="K38" s="905"/>
      <c r="L38" s="907"/>
      <c r="M38" s="905"/>
      <c r="N38" s="907"/>
      <c r="O38" s="905"/>
      <c r="P38" s="907"/>
      <c r="Q38" s="905"/>
      <c r="R38" s="907"/>
    </row>
    <row r="39" spans="1:18">
      <c r="A39" s="923">
        <v>3.5</v>
      </c>
      <c r="B39" s="435">
        <v>26</v>
      </c>
      <c r="C39" s="923">
        <v>3.5</v>
      </c>
      <c r="D39" s="435">
        <v>26</v>
      </c>
      <c r="E39" s="923">
        <v>3.5</v>
      </c>
      <c r="F39" s="435">
        <v>26</v>
      </c>
      <c r="G39" s="923">
        <v>3.5</v>
      </c>
      <c r="H39" s="435">
        <v>26</v>
      </c>
      <c r="I39" s="923">
        <v>3.5</v>
      </c>
      <c r="J39" s="435">
        <v>26</v>
      </c>
      <c r="K39" s="905"/>
      <c r="L39" s="907"/>
      <c r="M39" s="905"/>
      <c r="N39" s="907"/>
      <c r="O39" s="905"/>
      <c r="P39" s="907"/>
      <c r="Q39" s="905"/>
      <c r="R39" s="907"/>
    </row>
    <row r="40" spans="1:18">
      <c r="A40" s="923">
        <v>4</v>
      </c>
      <c r="B40" s="435">
        <v>27</v>
      </c>
      <c r="C40" s="923">
        <v>4</v>
      </c>
      <c r="D40" s="435">
        <v>27</v>
      </c>
      <c r="E40" s="923">
        <v>4</v>
      </c>
      <c r="F40" s="435">
        <v>27</v>
      </c>
      <c r="G40" s="923">
        <v>4</v>
      </c>
      <c r="H40" s="435">
        <v>27</v>
      </c>
      <c r="I40" s="923">
        <v>4</v>
      </c>
      <c r="J40" s="435">
        <v>27</v>
      </c>
      <c r="K40" s="905"/>
      <c r="L40" s="907"/>
      <c r="M40" s="905"/>
      <c r="N40" s="907"/>
      <c r="O40" s="905"/>
      <c r="P40" s="907"/>
      <c r="Q40" s="905"/>
      <c r="R40" s="907"/>
    </row>
    <row r="41" spans="1:18">
      <c r="A41" s="923">
        <v>4.5</v>
      </c>
      <c r="B41" s="435">
        <v>28</v>
      </c>
      <c r="C41" s="923">
        <v>4.5</v>
      </c>
      <c r="D41" s="435">
        <v>28</v>
      </c>
      <c r="E41" s="923">
        <v>4.5</v>
      </c>
      <c r="F41" s="435">
        <v>28</v>
      </c>
      <c r="G41" s="923">
        <v>4.5</v>
      </c>
      <c r="H41" s="435">
        <v>28</v>
      </c>
      <c r="I41" s="923">
        <v>4.5</v>
      </c>
      <c r="J41" s="435">
        <v>28</v>
      </c>
      <c r="K41" s="905"/>
      <c r="L41" s="907"/>
      <c r="M41" s="905"/>
      <c r="N41" s="907"/>
      <c r="O41" s="905"/>
      <c r="P41" s="907"/>
      <c r="Q41" s="905"/>
      <c r="R41" s="907"/>
    </row>
  </sheetData>
  <sheetProtection password="CDD8" sheet="1" objects="1" scenarios="1"/>
  <pageMargins left="0.75" right="0.75" top="1" bottom="1" header="0.5" footer="0.5"/>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48"/>
  <sheetViews>
    <sheetView view="pageBreakPreview" zoomScaleNormal="70" zoomScaleSheetLayoutView="100" workbookViewId="0">
      <pane ySplit="2" topLeftCell="A120" activePane="bottomLeft" state="frozen"/>
      <selection pane="bottomLeft" activeCell="F129" sqref="F129"/>
    </sheetView>
  </sheetViews>
  <sheetFormatPr defaultColWidth="9.140625" defaultRowHeight="12.75"/>
  <cols>
    <col min="1" max="16384" width="9.140625" style="435"/>
  </cols>
  <sheetData>
    <row r="1" spans="1:29" ht="36" customHeight="1">
      <c r="A1" s="3132" t="s">
        <v>1715</v>
      </c>
      <c r="B1" s="3133"/>
      <c r="C1" s="3133"/>
      <c r="D1" s="3133"/>
      <c r="E1" s="3133"/>
      <c r="F1" s="3133"/>
      <c r="G1" s="3133"/>
      <c r="H1" s="3133"/>
      <c r="I1" s="3133"/>
      <c r="J1" s="3133"/>
      <c r="K1" s="3133"/>
      <c r="L1" s="3133"/>
      <c r="M1" s="3133"/>
      <c r="N1" s="3133"/>
      <c r="O1" s="3133"/>
      <c r="P1" s="3133"/>
      <c r="Q1" s="3133"/>
      <c r="R1" s="3133"/>
      <c r="S1" s="3133"/>
      <c r="T1" s="3133"/>
      <c r="U1" s="3133"/>
      <c r="V1" s="3133"/>
      <c r="W1" s="3133"/>
      <c r="X1" s="3133"/>
      <c r="Y1" s="3133"/>
      <c r="Z1" s="3133"/>
      <c r="AA1" s="3133"/>
      <c r="AB1" s="3133"/>
      <c r="AC1" s="3133"/>
    </row>
    <row r="2" spans="1:29" ht="36" customHeight="1">
      <c r="A2" s="1879"/>
      <c r="B2" s="1879">
        <v>0.1</v>
      </c>
      <c r="C2" s="1879">
        <v>0.2</v>
      </c>
      <c r="D2" s="1879">
        <f t="shared" ref="D2:U2" si="0">C2+0.1</f>
        <v>0.30000000000000004</v>
      </c>
      <c r="E2" s="1879">
        <f t="shared" si="0"/>
        <v>0.4</v>
      </c>
      <c r="F2" s="1879">
        <f t="shared" si="0"/>
        <v>0.5</v>
      </c>
      <c r="G2" s="1879">
        <f t="shared" si="0"/>
        <v>0.6</v>
      </c>
      <c r="H2" s="1879">
        <f t="shared" si="0"/>
        <v>0.7</v>
      </c>
      <c r="I2" s="1879">
        <f t="shared" si="0"/>
        <v>0.79999999999999993</v>
      </c>
      <c r="J2" s="1879">
        <f t="shared" si="0"/>
        <v>0.89999999999999991</v>
      </c>
      <c r="K2" s="1879">
        <f t="shared" si="0"/>
        <v>0.99999999999999989</v>
      </c>
      <c r="L2" s="1879">
        <f t="shared" si="0"/>
        <v>1.0999999999999999</v>
      </c>
      <c r="M2" s="1879">
        <f t="shared" si="0"/>
        <v>1.2</v>
      </c>
      <c r="N2" s="1879">
        <f t="shared" si="0"/>
        <v>1.3</v>
      </c>
      <c r="O2" s="1879">
        <f t="shared" si="0"/>
        <v>1.4000000000000001</v>
      </c>
      <c r="P2" s="1879">
        <f t="shared" si="0"/>
        <v>1.5000000000000002</v>
      </c>
      <c r="Q2" s="1879">
        <f t="shared" si="0"/>
        <v>1.6000000000000003</v>
      </c>
      <c r="R2" s="1879">
        <f t="shared" si="0"/>
        <v>1.7000000000000004</v>
      </c>
      <c r="S2" s="1879">
        <f t="shared" si="0"/>
        <v>1.8000000000000005</v>
      </c>
      <c r="T2" s="1879">
        <f t="shared" si="0"/>
        <v>1.9000000000000006</v>
      </c>
      <c r="U2" s="1879">
        <f t="shared" si="0"/>
        <v>2.0000000000000004</v>
      </c>
      <c r="V2" s="1879">
        <f>U2+0.2</f>
        <v>2.2000000000000006</v>
      </c>
      <c r="W2" s="1879">
        <f>V2+0.2</f>
        <v>2.4000000000000008</v>
      </c>
      <c r="X2" s="1879">
        <f>W2+0.2</f>
        <v>2.600000000000001</v>
      </c>
      <c r="Y2" s="1879">
        <f>X2+0.2</f>
        <v>2.8000000000000012</v>
      </c>
      <c r="Z2" s="1879">
        <f>Y2+0.2</f>
        <v>3.0000000000000013</v>
      </c>
      <c r="AA2" s="1879">
        <f>Z2+0.5</f>
        <v>3.5000000000000013</v>
      </c>
      <c r="AB2" s="1879">
        <f>AA2+0.5</f>
        <v>4.0000000000000018</v>
      </c>
      <c r="AC2" s="1879">
        <f>AB2+0.5</f>
        <v>4.5000000000000018</v>
      </c>
    </row>
    <row r="3" spans="1:29">
      <c r="A3" s="1879">
        <v>20</v>
      </c>
      <c r="B3" s="924">
        <v>376</v>
      </c>
      <c r="C3" s="924">
        <v>376</v>
      </c>
      <c r="D3" s="924">
        <v>381</v>
      </c>
      <c r="E3" s="924">
        <v>394</v>
      </c>
      <c r="F3" s="924">
        <v>405</v>
      </c>
      <c r="G3" s="924">
        <v>415</v>
      </c>
      <c r="H3" s="924">
        <v>424</v>
      </c>
      <c r="I3" s="924">
        <v>432</v>
      </c>
      <c r="J3" s="924">
        <v>439</v>
      </c>
      <c r="K3" s="924">
        <v>446</v>
      </c>
      <c r="L3" s="924">
        <v>452</v>
      </c>
      <c r="M3" s="924">
        <v>457</v>
      </c>
      <c r="N3" s="924">
        <v>462</v>
      </c>
      <c r="O3" s="924">
        <v>467</v>
      </c>
      <c r="P3" s="924">
        <v>472</v>
      </c>
      <c r="Q3" s="924">
        <v>476</v>
      </c>
      <c r="R3" s="924">
        <v>480</v>
      </c>
      <c r="S3" s="924">
        <v>484</v>
      </c>
      <c r="T3" s="924">
        <v>487</v>
      </c>
      <c r="U3" s="924">
        <v>491</v>
      </c>
      <c r="V3" s="924">
        <v>497</v>
      </c>
      <c r="W3" s="924">
        <v>503</v>
      </c>
      <c r="X3" s="924">
        <v>508</v>
      </c>
      <c r="Y3" s="924">
        <v>513</v>
      </c>
      <c r="Z3" s="924">
        <v>517</v>
      </c>
      <c r="AA3" s="924">
        <v>527</v>
      </c>
      <c r="AB3" s="924">
        <v>535</v>
      </c>
      <c r="AC3" s="924">
        <v>542</v>
      </c>
    </row>
    <row r="4" spans="1:29">
      <c r="A4" s="1879">
        <v>20.100000000000001</v>
      </c>
      <c r="B4" s="924">
        <v>375</v>
      </c>
      <c r="C4" s="924">
        <v>375</v>
      </c>
      <c r="D4" s="924">
        <v>380</v>
      </c>
      <c r="E4" s="924">
        <v>393</v>
      </c>
      <c r="F4" s="924">
        <v>404</v>
      </c>
      <c r="G4" s="924">
        <v>414</v>
      </c>
      <c r="H4" s="924">
        <v>423</v>
      </c>
      <c r="I4" s="924">
        <v>431</v>
      </c>
      <c r="J4" s="924">
        <v>438</v>
      </c>
      <c r="K4" s="924">
        <v>445</v>
      </c>
      <c r="L4" s="924">
        <v>451</v>
      </c>
      <c r="M4" s="924">
        <v>456</v>
      </c>
      <c r="N4" s="924">
        <v>461</v>
      </c>
      <c r="O4" s="924">
        <v>466</v>
      </c>
      <c r="P4" s="924">
        <v>471</v>
      </c>
      <c r="Q4" s="924">
        <v>475</v>
      </c>
      <c r="R4" s="924">
        <v>479</v>
      </c>
      <c r="S4" s="924">
        <v>483</v>
      </c>
      <c r="T4" s="924">
        <v>486</v>
      </c>
      <c r="U4" s="924">
        <v>490</v>
      </c>
      <c r="V4" s="924">
        <v>496</v>
      </c>
      <c r="W4" s="924">
        <v>502</v>
      </c>
      <c r="X4" s="924">
        <v>507</v>
      </c>
      <c r="Y4" s="924">
        <v>512</v>
      </c>
      <c r="Z4" s="924">
        <v>516</v>
      </c>
      <c r="AA4" s="924">
        <v>526</v>
      </c>
      <c r="AB4" s="924">
        <v>534</v>
      </c>
      <c r="AC4" s="924">
        <v>541</v>
      </c>
    </row>
    <row r="5" spans="1:29">
      <c r="A5" s="1879">
        <f t="shared" ref="A5:A48" si="1">A4+0.1</f>
        <v>20.200000000000003</v>
      </c>
      <c r="B5" s="924">
        <v>373</v>
      </c>
      <c r="C5" s="924">
        <v>373</v>
      </c>
      <c r="D5" s="924">
        <v>378</v>
      </c>
      <c r="E5" s="924">
        <v>391</v>
      </c>
      <c r="F5" s="924">
        <v>402</v>
      </c>
      <c r="G5" s="924">
        <v>412</v>
      </c>
      <c r="H5" s="924">
        <v>421</v>
      </c>
      <c r="I5" s="924">
        <v>429</v>
      </c>
      <c r="J5" s="924">
        <v>436</v>
      </c>
      <c r="K5" s="924">
        <v>443</v>
      </c>
      <c r="L5" s="924">
        <v>449</v>
      </c>
      <c r="M5" s="924">
        <v>454</v>
      </c>
      <c r="N5" s="924">
        <v>459</v>
      </c>
      <c r="O5" s="924">
        <v>464</v>
      </c>
      <c r="P5" s="924">
        <v>469</v>
      </c>
      <c r="Q5" s="924">
        <v>473</v>
      </c>
      <c r="R5" s="924">
        <v>477</v>
      </c>
      <c r="S5" s="924">
        <v>481</v>
      </c>
      <c r="T5" s="924">
        <v>484</v>
      </c>
      <c r="U5" s="924">
        <v>488</v>
      </c>
      <c r="V5" s="924">
        <v>494</v>
      </c>
      <c r="W5" s="924">
        <v>500</v>
      </c>
      <c r="X5" s="924">
        <v>505</v>
      </c>
      <c r="Y5" s="924">
        <v>510</v>
      </c>
      <c r="Z5" s="924">
        <v>514</v>
      </c>
      <c r="AA5" s="924">
        <v>524</v>
      </c>
      <c r="AB5" s="924">
        <v>532</v>
      </c>
      <c r="AC5" s="924">
        <v>539</v>
      </c>
    </row>
    <row r="6" spans="1:29">
      <c r="A6" s="1879">
        <f t="shared" si="1"/>
        <v>20.300000000000004</v>
      </c>
      <c r="B6" s="924">
        <v>371</v>
      </c>
      <c r="C6" s="924">
        <v>371</v>
      </c>
      <c r="D6" s="924">
        <v>376</v>
      </c>
      <c r="E6" s="924">
        <v>389</v>
      </c>
      <c r="F6" s="924">
        <v>400</v>
      </c>
      <c r="G6" s="924">
        <v>410</v>
      </c>
      <c r="H6" s="924">
        <v>419</v>
      </c>
      <c r="I6" s="924">
        <v>427</v>
      </c>
      <c r="J6" s="924">
        <v>434</v>
      </c>
      <c r="K6" s="924">
        <v>441</v>
      </c>
      <c r="L6" s="924">
        <v>447</v>
      </c>
      <c r="M6" s="924">
        <v>452</v>
      </c>
      <c r="N6" s="924">
        <v>457</v>
      </c>
      <c r="O6" s="924">
        <v>462</v>
      </c>
      <c r="P6" s="924">
        <v>467</v>
      </c>
      <c r="Q6" s="924">
        <v>471</v>
      </c>
      <c r="R6" s="924">
        <v>475</v>
      </c>
      <c r="S6" s="924">
        <v>479</v>
      </c>
      <c r="T6" s="924">
        <v>482</v>
      </c>
      <c r="U6" s="924">
        <v>486</v>
      </c>
      <c r="V6" s="924">
        <v>492</v>
      </c>
      <c r="W6" s="924">
        <v>498</v>
      </c>
      <c r="X6" s="924">
        <v>503</v>
      </c>
      <c r="Y6" s="924">
        <v>508</v>
      </c>
      <c r="Z6" s="924">
        <v>512</v>
      </c>
      <c r="AA6" s="924">
        <v>522</v>
      </c>
      <c r="AB6" s="924">
        <v>530</v>
      </c>
      <c r="AC6" s="924">
        <v>537</v>
      </c>
    </row>
    <row r="7" spans="1:29">
      <c r="A7" s="1879">
        <f t="shared" si="1"/>
        <v>20.400000000000006</v>
      </c>
      <c r="B7" s="924">
        <v>370</v>
      </c>
      <c r="C7" s="924">
        <v>370</v>
      </c>
      <c r="D7" s="924">
        <v>375</v>
      </c>
      <c r="E7" s="924">
        <v>388</v>
      </c>
      <c r="F7" s="924">
        <v>399</v>
      </c>
      <c r="G7" s="924">
        <v>409</v>
      </c>
      <c r="H7" s="924">
        <v>418</v>
      </c>
      <c r="I7" s="924">
        <v>426</v>
      </c>
      <c r="J7" s="924">
        <v>433</v>
      </c>
      <c r="K7" s="924">
        <v>440</v>
      </c>
      <c r="L7" s="924">
        <v>446</v>
      </c>
      <c r="M7" s="924">
        <v>451</v>
      </c>
      <c r="N7" s="924">
        <v>456</v>
      </c>
      <c r="O7" s="924">
        <v>461</v>
      </c>
      <c r="P7" s="924">
        <v>466</v>
      </c>
      <c r="Q7" s="924">
        <v>470</v>
      </c>
      <c r="R7" s="924">
        <v>474</v>
      </c>
      <c r="S7" s="924">
        <v>478</v>
      </c>
      <c r="T7" s="924">
        <v>481</v>
      </c>
      <c r="U7" s="924">
        <v>485</v>
      </c>
      <c r="V7" s="924">
        <v>491</v>
      </c>
      <c r="W7" s="924">
        <v>497</v>
      </c>
      <c r="X7" s="924">
        <v>502</v>
      </c>
      <c r="Y7" s="924">
        <v>507</v>
      </c>
      <c r="Z7" s="924">
        <v>511</v>
      </c>
      <c r="AA7" s="924">
        <v>521</v>
      </c>
      <c r="AB7" s="924">
        <v>529</v>
      </c>
      <c r="AC7" s="924">
        <v>536</v>
      </c>
    </row>
    <row r="8" spans="1:29">
      <c r="A8" s="1879">
        <f t="shared" si="1"/>
        <v>20.500000000000007</v>
      </c>
      <c r="B8" s="924">
        <v>369</v>
      </c>
      <c r="C8" s="924">
        <v>369</v>
      </c>
      <c r="D8" s="924">
        <v>374</v>
      </c>
      <c r="E8" s="924">
        <v>387</v>
      </c>
      <c r="F8" s="924">
        <v>398</v>
      </c>
      <c r="G8" s="924">
        <v>408</v>
      </c>
      <c r="H8" s="924">
        <v>417</v>
      </c>
      <c r="I8" s="924">
        <v>425</v>
      </c>
      <c r="J8" s="924">
        <v>432</v>
      </c>
      <c r="K8" s="924">
        <v>439</v>
      </c>
      <c r="L8" s="924">
        <v>445</v>
      </c>
      <c r="M8" s="924">
        <v>450</v>
      </c>
      <c r="N8" s="924">
        <v>455</v>
      </c>
      <c r="O8" s="924">
        <v>460</v>
      </c>
      <c r="P8" s="924">
        <v>465</v>
      </c>
      <c r="Q8" s="924">
        <v>469</v>
      </c>
      <c r="R8" s="924">
        <v>473</v>
      </c>
      <c r="S8" s="924">
        <v>477</v>
      </c>
      <c r="T8" s="924">
        <v>480</v>
      </c>
      <c r="U8" s="924">
        <v>484</v>
      </c>
      <c r="V8" s="924">
        <v>490</v>
      </c>
      <c r="W8" s="924">
        <v>496</v>
      </c>
      <c r="X8" s="924">
        <v>501</v>
      </c>
      <c r="Y8" s="924">
        <v>506</v>
      </c>
      <c r="Z8" s="924">
        <v>510</v>
      </c>
      <c r="AA8" s="924">
        <v>520</v>
      </c>
      <c r="AB8" s="924">
        <v>528</v>
      </c>
      <c r="AC8" s="924">
        <v>535</v>
      </c>
    </row>
    <row r="9" spans="1:29">
      <c r="A9" s="1879">
        <f t="shared" si="1"/>
        <v>20.600000000000009</v>
      </c>
      <c r="B9" s="924">
        <v>367</v>
      </c>
      <c r="C9" s="924">
        <v>367</v>
      </c>
      <c r="D9" s="924">
        <v>372</v>
      </c>
      <c r="E9" s="924">
        <v>385</v>
      </c>
      <c r="F9" s="924">
        <v>396</v>
      </c>
      <c r="G9" s="924">
        <v>406</v>
      </c>
      <c r="H9" s="924">
        <v>415</v>
      </c>
      <c r="I9" s="924">
        <v>423</v>
      </c>
      <c r="J9" s="924">
        <v>430</v>
      </c>
      <c r="K9" s="924">
        <v>437</v>
      </c>
      <c r="L9" s="924">
        <v>443</v>
      </c>
      <c r="M9" s="924">
        <v>448</v>
      </c>
      <c r="N9" s="924">
        <v>453</v>
      </c>
      <c r="O9" s="924">
        <v>458</v>
      </c>
      <c r="P9" s="924">
        <v>463</v>
      </c>
      <c r="Q9" s="924">
        <v>467</v>
      </c>
      <c r="R9" s="924">
        <v>471</v>
      </c>
      <c r="S9" s="924">
        <v>475</v>
      </c>
      <c r="T9" s="924">
        <v>478</v>
      </c>
      <c r="U9" s="924">
        <v>482</v>
      </c>
      <c r="V9" s="924">
        <v>488</v>
      </c>
      <c r="W9" s="924">
        <v>494</v>
      </c>
      <c r="X9" s="924">
        <v>499</v>
      </c>
      <c r="Y9" s="924">
        <v>504</v>
      </c>
      <c r="Z9" s="924">
        <v>508</v>
      </c>
      <c r="AA9" s="924">
        <v>518</v>
      </c>
      <c r="AB9" s="924">
        <v>526</v>
      </c>
      <c r="AC9" s="924">
        <v>533</v>
      </c>
    </row>
    <row r="10" spans="1:29">
      <c r="A10" s="1879">
        <f t="shared" si="1"/>
        <v>20.70000000000001</v>
      </c>
      <c r="B10" s="924">
        <v>365</v>
      </c>
      <c r="C10" s="924">
        <v>365</v>
      </c>
      <c r="D10" s="924">
        <v>370</v>
      </c>
      <c r="E10" s="924">
        <v>383</v>
      </c>
      <c r="F10" s="924">
        <v>394</v>
      </c>
      <c r="G10" s="924">
        <v>404</v>
      </c>
      <c r="H10" s="924">
        <v>413</v>
      </c>
      <c r="I10" s="924">
        <v>421</v>
      </c>
      <c r="J10" s="924">
        <v>428</v>
      </c>
      <c r="K10" s="924">
        <v>435</v>
      </c>
      <c r="L10" s="924">
        <v>441</v>
      </c>
      <c r="M10" s="924">
        <v>446</v>
      </c>
      <c r="N10" s="924">
        <v>451</v>
      </c>
      <c r="O10" s="924">
        <v>456</v>
      </c>
      <c r="P10" s="924">
        <v>461</v>
      </c>
      <c r="Q10" s="924">
        <v>465</v>
      </c>
      <c r="R10" s="924">
        <v>469</v>
      </c>
      <c r="S10" s="924">
        <v>473</v>
      </c>
      <c r="T10" s="924">
        <v>476</v>
      </c>
      <c r="U10" s="924">
        <v>480</v>
      </c>
      <c r="V10" s="924">
        <v>486</v>
      </c>
      <c r="W10" s="924">
        <v>492</v>
      </c>
      <c r="X10" s="924">
        <v>497</v>
      </c>
      <c r="Y10" s="924">
        <v>502</v>
      </c>
      <c r="Z10" s="924">
        <v>506</v>
      </c>
      <c r="AA10" s="924">
        <v>516</v>
      </c>
      <c r="AB10" s="924">
        <v>524</v>
      </c>
      <c r="AC10" s="924">
        <v>531</v>
      </c>
    </row>
    <row r="11" spans="1:29">
      <c r="A11" s="1879">
        <f t="shared" si="1"/>
        <v>20.800000000000011</v>
      </c>
      <c r="B11" s="924">
        <v>364</v>
      </c>
      <c r="C11" s="924">
        <v>364</v>
      </c>
      <c r="D11" s="924">
        <v>369</v>
      </c>
      <c r="E11" s="924">
        <v>382</v>
      </c>
      <c r="F11" s="924">
        <v>393</v>
      </c>
      <c r="G11" s="924">
        <v>403</v>
      </c>
      <c r="H11" s="924">
        <v>412</v>
      </c>
      <c r="I11" s="924">
        <v>420</v>
      </c>
      <c r="J11" s="924">
        <v>427</v>
      </c>
      <c r="K11" s="924">
        <v>434</v>
      </c>
      <c r="L11" s="924">
        <v>440</v>
      </c>
      <c r="M11" s="924">
        <v>445</v>
      </c>
      <c r="N11" s="924">
        <v>450</v>
      </c>
      <c r="O11" s="924">
        <v>455</v>
      </c>
      <c r="P11" s="924">
        <v>460</v>
      </c>
      <c r="Q11" s="924">
        <v>464</v>
      </c>
      <c r="R11" s="924">
        <v>468</v>
      </c>
      <c r="S11" s="924">
        <v>472</v>
      </c>
      <c r="T11" s="924">
        <v>475</v>
      </c>
      <c r="U11" s="924">
        <v>479</v>
      </c>
      <c r="V11" s="924">
        <v>485</v>
      </c>
      <c r="W11" s="924">
        <v>491</v>
      </c>
      <c r="X11" s="924">
        <v>496</v>
      </c>
      <c r="Y11" s="924">
        <v>501</v>
      </c>
      <c r="Z11" s="924">
        <v>505</v>
      </c>
      <c r="AA11" s="924">
        <v>515</v>
      </c>
      <c r="AB11" s="924">
        <v>523</v>
      </c>
      <c r="AC11" s="924">
        <v>530</v>
      </c>
    </row>
    <row r="12" spans="1:29">
      <c r="A12" s="1879">
        <f t="shared" si="1"/>
        <v>20.900000000000013</v>
      </c>
      <c r="B12" s="924">
        <v>363</v>
      </c>
      <c r="C12" s="924">
        <v>363</v>
      </c>
      <c r="D12" s="924">
        <v>368</v>
      </c>
      <c r="E12" s="924">
        <v>381</v>
      </c>
      <c r="F12" s="924">
        <v>392</v>
      </c>
      <c r="G12" s="924">
        <v>402</v>
      </c>
      <c r="H12" s="924">
        <v>411</v>
      </c>
      <c r="I12" s="924">
        <v>419</v>
      </c>
      <c r="J12" s="924">
        <v>426</v>
      </c>
      <c r="K12" s="924">
        <v>433</v>
      </c>
      <c r="L12" s="924">
        <v>439</v>
      </c>
      <c r="M12" s="924">
        <v>444</v>
      </c>
      <c r="N12" s="924">
        <v>449</v>
      </c>
      <c r="O12" s="924">
        <v>454</v>
      </c>
      <c r="P12" s="924">
        <v>459</v>
      </c>
      <c r="Q12" s="924">
        <v>463</v>
      </c>
      <c r="R12" s="924">
        <v>467</v>
      </c>
      <c r="S12" s="924">
        <v>471</v>
      </c>
      <c r="T12" s="924">
        <v>474</v>
      </c>
      <c r="U12" s="924">
        <v>478</v>
      </c>
      <c r="V12" s="924">
        <v>484</v>
      </c>
      <c r="W12" s="924">
        <v>490</v>
      </c>
      <c r="X12" s="924">
        <v>495</v>
      </c>
      <c r="Y12" s="924">
        <v>500</v>
      </c>
      <c r="Z12" s="924">
        <v>504</v>
      </c>
      <c r="AA12" s="924">
        <v>514</v>
      </c>
      <c r="AB12" s="924">
        <v>522</v>
      </c>
      <c r="AC12" s="924">
        <v>529</v>
      </c>
    </row>
    <row r="13" spans="1:29">
      <c r="A13" s="1879">
        <f t="shared" si="1"/>
        <v>21.000000000000014</v>
      </c>
      <c r="B13" s="924">
        <v>361</v>
      </c>
      <c r="C13" s="924">
        <v>361</v>
      </c>
      <c r="D13" s="924">
        <v>366</v>
      </c>
      <c r="E13" s="924">
        <v>379</v>
      </c>
      <c r="F13" s="924">
        <v>390</v>
      </c>
      <c r="G13" s="924">
        <v>400</v>
      </c>
      <c r="H13" s="924">
        <v>409</v>
      </c>
      <c r="I13" s="924">
        <v>417</v>
      </c>
      <c r="J13" s="924">
        <v>424</v>
      </c>
      <c r="K13" s="924">
        <v>431</v>
      </c>
      <c r="L13" s="924">
        <v>437</v>
      </c>
      <c r="M13" s="924">
        <v>442</v>
      </c>
      <c r="N13" s="924">
        <v>447</v>
      </c>
      <c r="O13" s="924">
        <v>452</v>
      </c>
      <c r="P13" s="924">
        <v>457</v>
      </c>
      <c r="Q13" s="924">
        <v>461</v>
      </c>
      <c r="R13" s="924">
        <v>465</v>
      </c>
      <c r="S13" s="924">
        <v>469</v>
      </c>
      <c r="T13" s="924">
        <v>472</v>
      </c>
      <c r="U13" s="924">
        <v>476</v>
      </c>
      <c r="V13" s="924">
        <v>482</v>
      </c>
      <c r="W13" s="924">
        <v>488</v>
      </c>
      <c r="X13" s="924">
        <v>493</v>
      </c>
      <c r="Y13" s="924">
        <v>498</v>
      </c>
      <c r="Z13" s="924">
        <v>502</v>
      </c>
      <c r="AA13" s="924">
        <v>512</v>
      </c>
      <c r="AB13" s="924">
        <v>520</v>
      </c>
      <c r="AC13" s="924">
        <v>527</v>
      </c>
    </row>
    <row r="14" spans="1:29">
      <c r="A14" s="1879">
        <f t="shared" si="1"/>
        <v>21.100000000000016</v>
      </c>
      <c r="B14" s="924">
        <v>359</v>
      </c>
      <c r="C14" s="924">
        <v>359</v>
      </c>
      <c r="D14" s="924">
        <v>364</v>
      </c>
      <c r="E14" s="924">
        <v>377</v>
      </c>
      <c r="F14" s="924">
        <v>388</v>
      </c>
      <c r="G14" s="924">
        <v>398</v>
      </c>
      <c r="H14" s="924">
        <v>407</v>
      </c>
      <c r="I14" s="924">
        <v>415</v>
      </c>
      <c r="J14" s="924">
        <v>422</v>
      </c>
      <c r="K14" s="924">
        <v>429</v>
      </c>
      <c r="L14" s="924">
        <v>435</v>
      </c>
      <c r="M14" s="924">
        <v>440</v>
      </c>
      <c r="N14" s="924">
        <v>445</v>
      </c>
      <c r="O14" s="924">
        <v>450</v>
      </c>
      <c r="P14" s="924">
        <v>455</v>
      </c>
      <c r="Q14" s="924">
        <v>459</v>
      </c>
      <c r="R14" s="924">
        <v>463</v>
      </c>
      <c r="S14" s="924">
        <v>467</v>
      </c>
      <c r="T14" s="924">
        <v>470</v>
      </c>
      <c r="U14" s="924">
        <v>474</v>
      </c>
      <c r="V14" s="924">
        <v>480</v>
      </c>
      <c r="W14" s="924">
        <v>486</v>
      </c>
      <c r="X14" s="924">
        <v>491</v>
      </c>
      <c r="Y14" s="924">
        <v>496</v>
      </c>
      <c r="Z14" s="924">
        <v>500</v>
      </c>
      <c r="AA14" s="924">
        <v>510</v>
      </c>
      <c r="AB14" s="924">
        <v>518</v>
      </c>
      <c r="AC14" s="924">
        <v>525</v>
      </c>
    </row>
    <row r="15" spans="1:29">
      <c r="A15" s="1879">
        <f t="shared" si="1"/>
        <v>21.200000000000017</v>
      </c>
      <c r="B15" s="924">
        <v>358</v>
      </c>
      <c r="C15" s="924">
        <v>358</v>
      </c>
      <c r="D15" s="924">
        <v>363</v>
      </c>
      <c r="E15" s="924">
        <v>376</v>
      </c>
      <c r="F15" s="924">
        <v>387</v>
      </c>
      <c r="G15" s="924">
        <v>397</v>
      </c>
      <c r="H15" s="924">
        <v>406</v>
      </c>
      <c r="I15" s="924">
        <v>414</v>
      </c>
      <c r="J15" s="924">
        <v>421</v>
      </c>
      <c r="K15" s="924">
        <v>428</v>
      </c>
      <c r="L15" s="924">
        <v>434</v>
      </c>
      <c r="M15" s="924">
        <v>439</v>
      </c>
      <c r="N15" s="924">
        <v>444</v>
      </c>
      <c r="O15" s="924">
        <v>449</v>
      </c>
      <c r="P15" s="924">
        <v>454</v>
      </c>
      <c r="Q15" s="924">
        <v>458</v>
      </c>
      <c r="R15" s="924">
        <v>462</v>
      </c>
      <c r="S15" s="924">
        <v>466</v>
      </c>
      <c r="T15" s="924">
        <v>469</v>
      </c>
      <c r="U15" s="924">
        <v>473</v>
      </c>
      <c r="V15" s="924">
        <v>479</v>
      </c>
      <c r="W15" s="924">
        <v>485</v>
      </c>
      <c r="X15" s="924">
        <v>490</v>
      </c>
      <c r="Y15" s="924">
        <v>495</v>
      </c>
      <c r="Z15" s="924">
        <v>499</v>
      </c>
      <c r="AA15" s="924">
        <v>509</v>
      </c>
      <c r="AB15" s="924">
        <v>517</v>
      </c>
      <c r="AC15" s="924">
        <v>524</v>
      </c>
    </row>
    <row r="16" spans="1:29">
      <c r="A16" s="1879">
        <f t="shared" si="1"/>
        <v>21.300000000000018</v>
      </c>
      <c r="B16" s="924">
        <v>357</v>
      </c>
      <c r="C16" s="924">
        <v>357</v>
      </c>
      <c r="D16" s="924">
        <v>362</v>
      </c>
      <c r="E16" s="924">
        <v>375</v>
      </c>
      <c r="F16" s="924">
        <v>386</v>
      </c>
      <c r="G16" s="924">
        <v>396</v>
      </c>
      <c r="H16" s="924">
        <v>405</v>
      </c>
      <c r="I16" s="924">
        <v>413</v>
      </c>
      <c r="J16" s="924">
        <v>420</v>
      </c>
      <c r="K16" s="924">
        <v>427</v>
      </c>
      <c r="L16" s="924">
        <v>433</v>
      </c>
      <c r="M16" s="924">
        <v>438</v>
      </c>
      <c r="N16" s="924">
        <v>443</v>
      </c>
      <c r="O16" s="924">
        <v>448</v>
      </c>
      <c r="P16" s="924">
        <v>453</v>
      </c>
      <c r="Q16" s="924">
        <v>457</v>
      </c>
      <c r="R16" s="924">
        <v>461</v>
      </c>
      <c r="S16" s="924">
        <v>465</v>
      </c>
      <c r="T16" s="924">
        <v>468</v>
      </c>
      <c r="U16" s="924">
        <v>472</v>
      </c>
      <c r="V16" s="924">
        <v>478</v>
      </c>
      <c r="W16" s="924">
        <v>484</v>
      </c>
      <c r="X16" s="924">
        <v>489</v>
      </c>
      <c r="Y16" s="924">
        <v>494</v>
      </c>
      <c r="Z16" s="924">
        <v>498</v>
      </c>
      <c r="AA16" s="924">
        <v>508</v>
      </c>
      <c r="AB16" s="924">
        <v>516</v>
      </c>
      <c r="AC16" s="924">
        <v>523</v>
      </c>
    </row>
    <row r="17" spans="1:29">
      <c r="A17" s="1879">
        <f t="shared" si="1"/>
        <v>21.40000000000002</v>
      </c>
      <c r="B17" s="924">
        <v>355</v>
      </c>
      <c r="C17" s="924">
        <v>355</v>
      </c>
      <c r="D17" s="924">
        <v>360</v>
      </c>
      <c r="E17" s="924">
        <v>373</v>
      </c>
      <c r="F17" s="924">
        <v>384</v>
      </c>
      <c r="G17" s="924">
        <v>394</v>
      </c>
      <c r="H17" s="924">
        <v>403</v>
      </c>
      <c r="I17" s="924">
        <v>411</v>
      </c>
      <c r="J17" s="924">
        <v>418</v>
      </c>
      <c r="K17" s="924">
        <v>425</v>
      </c>
      <c r="L17" s="924">
        <v>431</v>
      </c>
      <c r="M17" s="924">
        <v>436</v>
      </c>
      <c r="N17" s="924">
        <v>441</v>
      </c>
      <c r="O17" s="924">
        <v>446</v>
      </c>
      <c r="P17" s="924">
        <v>451</v>
      </c>
      <c r="Q17" s="924">
        <v>455</v>
      </c>
      <c r="R17" s="924">
        <v>459</v>
      </c>
      <c r="S17" s="924">
        <v>463</v>
      </c>
      <c r="T17" s="924">
        <v>466</v>
      </c>
      <c r="U17" s="924">
        <v>470</v>
      </c>
      <c r="V17" s="924">
        <v>476</v>
      </c>
      <c r="W17" s="924">
        <v>482</v>
      </c>
      <c r="X17" s="924">
        <v>487</v>
      </c>
      <c r="Y17" s="924">
        <v>492</v>
      </c>
      <c r="Z17" s="924">
        <v>496</v>
      </c>
      <c r="AA17" s="924">
        <v>506</v>
      </c>
      <c r="AB17" s="924">
        <v>514</v>
      </c>
      <c r="AC17" s="924">
        <v>521</v>
      </c>
    </row>
    <row r="18" spans="1:29">
      <c r="A18" s="1879">
        <f t="shared" si="1"/>
        <v>21.500000000000021</v>
      </c>
      <c r="B18" s="924">
        <v>353</v>
      </c>
      <c r="C18" s="924">
        <v>353</v>
      </c>
      <c r="D18" s="924">
        <v>358</v>
      </c>
      <c r="E18" s="924">
        <v>371</v>
      </c>
      <c r="F18" s="924">
        <v>382</v>
      </c>
      <c r="G18" s="924">
        <v>392</v>
      </c>
      <c r="H18" s="924">
        <v>401</v>
      </c>
      <c r="I18" s="924">
        <v>409</v>
      </c>
      <c r="J18" s="924">
        <v>416</v>
      </c>
      <c r="K18" s="924">
        <v>423</v>
      </c>
      <c r="L18" s="924">
        <v>429</v>
      </c>
      <c r="M18" s="924">
        <v>434</v>
      </c>
      <c r="N18" s="924">
        <v>439</v>
      </c>
      <c r="O18" s="924">
        <v>444</v>
      </c>
      <c r="P18" s="924">
        <v>449</v>
      </c>
      <c r="Q18" s="924">
        <v>453</v>
      </c>
      <c r="R18" s="924">
        <v>457</v>
      </c>
      <c r="S18" s="924">
        <v>461</v>
      </c>
      <c r="T18" s="924">
        <v>464</v>
      </c>
      <c r="U18" s="924">
        <v>468</v>
      </c>
      <c r="V18" s="924">
        <v>474</v>
      </c>
      <c r="W18" s="924">
        <v>480</v>
      </c>
      <c r="X18" s="924">
        <v>485</v>
      </c>
      <c r="Y18" s="924">
        <v>490</v>
      </c>
      <c r="Z18" s="924">
        <v>494</v>
      </c>
      <c r="AA18" s="924">
        <v>504</v>
      </c>
      <c r="AB18" s="924">
        <v>512</v>
      </c>
      <c r="AC18" s="924">
        <v>519</v>
      </c>
    </row>
    <row r="19" spans="1:29">
      <c r="A19" s="1879">
        <f t="shared" si="1"/>
        <v>21.600000000000023</v>
      </c>
      <c r="B19" s="924">
        <v>352</v>
      </c>
      <c r="C19" s="924">
        <v>352</v>
      </c>
      <c r="D19" s="924">
        <v>357</v>
      </c>
      <c r="E19" s="924">
        <v>370</v>
      </c>
      <c r="F19" s="924">
        <v>381</v>
      </c>
      <c r="G19" s="924">
        <v>391</v>
      </c>
      <c r="H19" s="924">
        <v>400</v>
      </c>
      <c r="I19" s="924">
        <v>408</v>
      </c>
      <c r="J19" s="924">
        <v>415</v>
      </c>
      <c r="K19" s="924">
        <v>422</v>
      </c>
      <c r="L19" s="924">
        <v>428</v>
      </c>
      <c r="M19" s="924">
        <v>433</v>
      </c>
      <c r="N19" s="924">
        <v>438</v>
      </c>
      <c r="O19" s="924">
        <v>443</v>
      </c>
      <c r="P19" s="924">
        <v>448</v>
      </c>
      <c r="Q19" s="924">
        <v>452</v>
      </c>
      <c r="R19" s="924">
        <v>456</v>
      </c>
      <c r="S19" s="924">
        <v>460</v>
      </c>
      <c r="T19" s="924">
        <v>463</v>
      </c>
      <c r="U19" s="924">
        <v>467</v>
      </c>
      <c r="V19" s="924">
        <v>473</v>
      </c>
      <c r="W19" s="924">
        <v>479</v>
      </c>
      <c r="X19" s="924">
        <v>484</v>
      </c>
      <c r="Y19" s="924">
        <v>489</v>
      </c>
      <c r="Z19" s="924">
        <v>493</v>
      </c>
      <c r="AA19" s="924">
        <v>503</v>
      </c>
      <c r="AB19" s="924">
        <v>511</v>
      </c>
      <c r="AC19" s="924">
        <v>518</v>
      </c>
    </row>
    <row r="20" spans="1:29">
      <c r="A20" s="1879">
        <f t="shared" si="1"/>
        <v>21.700000000000024</v>
      </c>
      <c r="B20" s="924">
        <v>351</v>
      </c>
      <c r="C20" s="924">
        <v>351</v>
      </c>
      <c r="D20" s="924">
        <v>356</v>
      </c>
      <c r="E20" s="924">
        <v>369</v>
      </c>
      <c r="F20" s="924">
        <v>380</v>
      </c>
      <c r="G20" s="924">
        <v>390</v>
      </c>
      <c r="H20" s="924">
        <v>399</v>
      </c>
      <c r="I20" s="924">
        <v>407</v>
      </c>
      <c r="J20" s="924">
        <v>414</v>
      </c>
      <c r="K20" s="924">
        <v>421</v>
      </c>
      <c r="L20" s="924">
        <v>427</v>
      </c>
      <c r="M20" s="924">
        <v>432</v>
      </c>
      <c r="N20" s="924">
        <v>437</v>
      </c>
      <c r="O20" s="924">
        <v>442</v>
      </c>
      <c r="P20" s="924">
        <v>447</v>
      </c>
      <c r="Q20" s="924">
        <v>451</v>
      </c>
      <c r="R20" s="924">
        <v>455</v>
      </c>
      <c r="S20" s="924">
        <v>459</v>
      </c>
      <c r="T20" s="924">
        <v>462</v>
      </c>
      <c r="U20" s="924">
        <v>466</v>
      </c>
      <c r="V20" s="924">
        <v>472</v>
      </c>
      <c r="W20" s="924">
        <v>478</v>
      </c>
      <c r="X20" s="924">
        <v>483</v>
      </c>
      <c r="Y20" s="924">
        <v>488</v>
      </c>
      <c r="Z20" s="924">
        <v>492</v>
      </c>
      <c r="AA20" s="924">
        <v>502</v>
      </c>
      <c r="AB20" s="924">
        <v>510</v>
      </c>
      <c r="AC20" s="924">
        <v>517</v>
      </c>
    </row>
    <row r="21" spans="1:29">
      <c r="A21" s="1879">
        <f t="shared" si="1"/>
        <v>21.800000000000026</v>
      </c>
      <c r="B21" s="924">
        <v>349</v>
      </c>
      <c r="C21" s="924">
        <v>349</v>
      </c>
      <c r="D21" s="924">
        <v>354</v>
      </c>
      <c r="E21" s="924">
        <v>367</v>
      </c>
      <c r="F21" s="924">
        <v>378</v>
      </c>
      <c r="G21" s="924">
        <v>388</v>
      </c>
      <c r="H21" s="924">
        <v>397</v>
      </c>
      <c r="I21" s="924">
        <v>405</v>
      </c>
      <c r="J21" s="924">
        <v>412</v>
      </c>
      <c r="K21" s="924">
        <v>419</v>
      </c>
      <c r="L21" s="924">
        <v>425</v>
      </c>
      <c r="M21" s="924">
        <v>430</v>
      </c>
      <c r="N21" s="924">
        <v>435</v>
      </c>
      <c r="O21" s="924">
        <v>440</v>
      </c>
      <c r="P21" s="924">
        <v>445</v>
      </c>
      <c r="Q21" s="924">
        <v>449</v>
      </c>
      <c r="R21" s="924">
        <v>453</v>
      </c>
      <c r="S21" s="924">
        <v>457</v>
      </c>
      <c r="T21" s="924">
        <v>460</v>
      </c>
      <c r="U21" s="924">
        <v>464</v>
      </c>
      <c r="V21" s="924">
        <v>470</v>
      </c>
      <c r="W21" s="924">
        <v>476</v>
      </c>
      <c r="X21" s="924">
        <v>481</v>
      </c>
      <c r="Y21" s="924">
        <v>486</v>
      </c>
      <c r="Z21" s="924">
        <v>490</v>
      </c>
      <c r="AA21" s="924">
        <v>500</v>
      </c>
      <c r="AB21" s="924">
        <v>508</v>
      </c>
      <c r="AC21" s="924">
        <v>515</v>
      </c>
    </row>
    <row r="22" spans="1:29">
      <c r="A22" s="1879">
        <f t="shared" si="1"/>
        <v>21.900000000000027</v>
      </c>
      <c r="B22" s="924">
        <v>347</v>
      </c>
      <c r="C22" s="924">
        <v>347</v>
      </c>
      <c r="D22" s="924">
        <v>352</v>
      </c>
      <c r="E22" s="924">
        <v>365</v>
      </c>
      <c r="F22" s="924">
        <v>376</v>
      </c>
      <c r="G22" s="924">
        <v>386</v>
      </c>
      <c r="H22" s="924">
        <v>395</v>
      </c>
      <c r="I22" s="924">
        <v>403</v>
      </c>
      <c r="J22" s="924">
        <v>410</v>
      </c>
      <c r="K22" s="924">
        <v>417</v>
      </c>
      <c r="L22" s="924">
        <v>423</v>
      </c>
      <c r="M22" s="924">
        <v>428</v>
      </c>
      <c r="N22" s="924">
        <v>433</v>
      </c>
      <c r="O22" s="924">
        <v>438</v>
      </c>
      <c r="P22" s="924">
        <v>443</v>
      </c>
      <c r="Q22" s="924">
        <v>447</v>
      </c>
      <c r="R22" s="924">
        <v>451</v>
      </c>
      <c r="S22" s="924">
        <v>455</v>
      </c>
      <c r="T22" s="924">
        <v>458</v>
      </c>
      <c r="U22" s="924">
        <v>462</v>
      </c>
      <c r="V22" s="924">
        <v>468</v>
      </c>
      <c r="W22" s="924">
        <v>474</v>
      </c>
      <c r="X22" s="924">
        <v>479</v>
      </c>
      <c r="Y22" s="924">
        <v>484</v>
      </c>
      <c r="Z22" s="924">
        <v>488</v>
      </c>
      <c r="AA22" s="924">
        <v>498</v>
      </c>
      <c r="AB22" s="924">
        <v>506</v>
      </c>
      <c r="AC22" s="924">
        <v>513</v>
      </c>
    </row>
    <row r="23" spans="1:29">
      <c r="A23" s="1879">
        <f t="shared" si="1"/>
        <v>22.000000000000028</v>
      </c>
      <c r="B23" s="924">
        <v>346</v>
      </c>
      <c r="C23" s="924">
        <v>346</v>
      </c>
      <c r="D23" s="924">
        <v>351</v>
      </c>
      <c r="E23" s="924">
        <v>364</v>
      </c>
      <c r="F23" s="924">
        <v>375</v>
      </c>
      <c r="G23" s="924">
        <v>385</v>
      </c>
      <c r="H23" s="924">
        <v>394</v>
      </c>
      <c r="I23" s="924">
        <v>402</v>
      </c>
      <c r="J23" s="924">
        <v>409</v>
      </c>
      <c r="K23" s="924">
        <v>416</v>
      </c>
      <c r="L23" s="924">
        <v>422</v>
      </c>
      <c r="M23" s="924">
        <v>427</v>
      </c>
      <c r="N23" s="924">
        <v>432</v>
      </c>
      <c r="O23" s="924">
        <v>437</v>
      </c>
      <c r="P23" s="924">
        <v>442</v>
      </c>
      <c r="Q23" s="924">
        <v>446</v>
      </c>
      <c r="R23" s="924">
        <v>450</v>
      </c>
      <c r="S23" s="924">
        <v>454</v>
      </c>
      <c r="T23" s="924">
        <v>457</v>
      </c>
      <c r="U23" s="924">
        <v>461</v>
      </c>
      <c r="V23" s="924">
        <v>467</v>
      </c>
      <c r="W23" s="924">
        <v>473</v>
      </c>
      <c r="X23" s="924">
        <v>478</v>
      </c>
      <c r="Y23" s="924">
        <v>483</v>
      </c>
      <c r="Z23" s="924">
        <v>487</v>
      </c>
      <c r="AA23" s="924">
        <v>497</v>
      </c>
      <c r="AB23" s="924">
        <v>505</v>
      </c>
      <c r="AC23" s="924">
        <v>512</v>
      </c>
    </row>
    <row r="24" spans="1:29">
      <c r="A24" s="1879">
        <f t="shared" si="1"/>
        <v>22.10000000000003</v>
      </c>
      <c r="B24" s="924">
        <v>345</v>
      </c>
      <c r="C24" s="924">
        <v>345</v>
      </c>
      <c r="D24" s="924">
        <v>350</v>
      </c>
      <c r="E24" s="924">
        <v>363</v>
      </c>
      <c r="F24" s="924">
        <v>374</v>
      </c>
      <c r="G24" s="924">
        <v>384</v>
      </c>
      <c r="H24" s="924">
        <v>393</v>
      </c>
      <c r="I24" s="924">
        <v>401</v>
      </c>
      <c r="J24" s="924">
        <v>408</v>
      </c>
      <c r="K24" s="924">
        <v>415</v>
      </c>
      <c r="L24" s="924">
        <v>421</v>
      </c>
      <c r="M24" s="924">
        <v>426</v>
      </c>
      <c r="N24" s="924">
        <v>431</v>
      </c>
      <c r="O24" s="924">
        <v>436</v>
      </c>
      <c r="P24" s="924">
        <v>441</v>
      </c>
      <c r="Q24" s="924">
        <v>445</v>
      </c>
      <c r="R24" s="924">
        <v>449</v>
      </c>
      <c r="S24" s="924">
        <v>453</v>
      </c>
      <c r="T24" s="924">
        <v>456</v>
      </c>
      <c r="U24" s="924">
        <v>460</v>
      </c>
      <c r="V24" s="924">
        <v>466</v>
      </c>
      <c r="W24" s="924">
        <v>472</v>
      </c>
      <c r="X24" s="924">
        <v>477</v>
      </c>
      <c r="Y24" s="924">
        <v>482</v>
      </c>
      <c r="Z24" s="924">
        <v>486</v>
      </c>
      <c r="AA24" s="924">
        <v>496</v>
      </c>
      <c r="AB24" s="924">
        <v>504</v>
      </c>
      <c r="AC24" s="924">
        <v>511</v>
      </c>
    </row>
    <row r="25" spans="1:29">
      <c r="A25" s="1879">
        <f t="shared" si="1"/>
        <v>22.200000000000031</v>
      </c>
      <c r="B25" s="924">
        <v>343</v>
      </c>
      <c r="C25" s="924">
        <v>343</v>
      </c>
      <c r="D25" s="924">
        <v>348</v>
      </c>
      <c r="E25" s="924">
        <v>361</v>
      </c>
      <c r="F25" s="924">
        <v>372</v>
      </c>
      <c r="G25" s="924">
        <v>382</v>
      </c>
      <c r="H25" s="924">
        <v>391</v>
      </c>
      <c r="I25" s="924">
        <v>399</v>
      </c>
      <c r="J25" s="924">
        <v>406</v>
      </c>
      <c r="K25" s="924">
        <v>413</v>
      </c>
      <c r="L25" s="924">
        <v>419</v>
      </c>
      <c r="M25" s="924">
        <v>424</v>
      </c>
      <c r="N25" s="924">
        <v>429</v>
      </c>
      <c r="O25" s="924">
        <v>434</v>
      </c>
      <c r="P25" s="924">
        <v>439</v>
      </c>
      <c r="Q25" s="924">
        <v>443</v>
      </c>
      <c r="R25" s="924">
        <v>447</v>
      </c>
      <c r="S25" s="924">
        <v>451</v>
      </c>
      <c r="T25" s="924">
        <v>454</v>
      </c>
      <c r="U25" s="924">
        <v>458</v>
      </c>
      <c r="V25" s="924">
        <v>464</v>
      </c>
      <c r="W25" s="924">
        <v>470</v>
      </c>
      <c r="X25" s="924">
        <v>475</v>
      </c>
      <c r="Y25" s="924">
        <v>480</v>
      </c>
      <c r="Z25" s="924">
        <v>484</v>
      </c>
      <c r="AA25" s="924">
        <v>494</v>
      </c>
      <c r="AB25" s="924">
        <v>502</v>
      </c>
      <c r="AC25" s="924">
        <v>509</v>
      </c>
    </row>
    <row r="26" spans="1:29">
      <c r="A26" s="1879">
        <f t="shared" si="1"/>
        <v>22.300000000000033</v>
      </c>
      <c r="B26" s="924">
        <v>341</v>
      </c>
      <c r="C26" s="924">
        <v>341</v>
      </c>
      <c r="D26" s="924">
        <v>346</v>
      </c>
      <c r="E26" s="924">
        <v>359</v>
      </c>
      <c r="F26" s="924">
        <v>370</v>
      </c>
      <c r="G26" s="924">
        <v>380</v>
      </c>
      <c r="H26" s="924">
        <v>389</v>
      </c>
      <c r="I26" s="924">
        <v>397</v>
      </c>
      <c r="J26" s="924">
        <v>404</v>
      </c>
      <c r="K26" s="924">
        <v>411</v>
      </c>
      <c r="L26" s="924">
        <v>417</v>
      </c>
      <c r="M26" s="924">
        <v>422</v>
      </c>
      <c r="N26" s="924">
        <v>427</v>
      </c>
      <c r="O26" s="924">
        <v>432</v>
      </c>
      <c r="P26" s="924">
        <v>437</v>
      </c>
      <c r="Q26" s="924">
        <v>441</v>
      </c>
      <c r="R26" s="924">
        <v>445</v>
      </c>
      <c r="S26" s="924">
        <v>449</v>
      </c>
      <c r="T26" s="924">
        <v>452</v>
      </c>
      <c r="U26" s="924">
        <v>456</v>
      </c>
      <c r="V26" s="924">
        <v>462</v>
      </c>
      <c r="W26" s="924">
        <v>468</v>
      </c>
      <c r="X26" s="924">
        <v>473</v>
      </c>
      <c r="Y26" s="924">
        <v>478</v>
      </c>
      <c r="Z26" s="924">
        <v>482</v>
      </c>
      <c r="AA26" s="924">
        <v>492</v>
      </c>
      <c r="AB26" s="924">
        <v>500</v>
      </c>
      <c r="AC26" s="924">
        <v>507</v>
      </c>
    </row>
    <row r="27" spans="1:29">
      <c r="A27" s="1879">
        <f t="shared" si="1"/>
        <v>22.400000000000034</v>
      </c>
      <c r="B27" s="924">
        <v>340</v>
      </c>
      <c r="C27" s="924">
        <v>340</v>
      </c>
      <c r="D27" s="924">
        <v>345</v>
      </c>
      <c r="E27" s="924">
        <v>358</v>
      </c>
      <c r="F27" s="924">
        <v>369</v>
      </c>
      <c r="G27" s="924">
        <v>379</v>
      </c>
      <c r="H27" s="924">
        <v>388</v>
      </c>
      <c r="I27" s="924">
        <v>396</v>
      </c>
      <c r="J27" s="924">
        <v>403</v>
      </c>
      <c r="K27" s="924">
        <v>410</v>
      </c>
      <c r="L27" s="924">
        <v>416</v>
      </c>
      <c r="M27" s="924">
        <v>421</v>
      </c>
      <c r="N27" s="924">
        <v>426</v>
      </c>
      <c r="O27" s="924">
        <v>431</v>
      </c>
      <c r="P27" s="924">
        <v>436</v>
      </c>
      <c r="Q27" s="924">
        <v>440</v>
      </c>
      <c r="R27" s="924">
        <v>444</v>
      </c>
      <c r="S27" s="924">
        <v>448</v>
      </c>
      <c r="T27" s="924">
        <v>451</v>
      </c>
      <c r="U27" s="924">
        <v>455</v>
      </c>
      <c r="V27" s="924">
        <v>461</v>
      </c>
      <c r="W27" s="924">
        <v>467</v>
      </c>
      <c r="X27" s="924">
        <v>472</v>
      </c>
      <c r="Y27" s="924">
        <v>477</v>
      </c>
      <c r="Z27" s="924">
        <v>481</v>
      </c>
      <c r="AA27" s="924">
        <v>491</v>
      </c>
      <c r="AB27" s="924">
        <v>499</v>
      </c>
      <c r="AC27" s="924">
        <v>506</v>
      </c>
    </row>
    <row r="28" spans="1:29">
      <c r="A28" s="1879">
        <f t="shared" si="1"/>
        <v>22.500000000000036</v>
      </c>
      <c r="B28" s="924">
        <v>339</v>
      </c>
      <c r="C28" s="924">
        <v>339</v>
      </c>
      <c r="D28" s="924">
        <v>344</v>
      </c>
      <c r="E28" s="924">
        <v>357</v>
      </c>
      <c r="F28" s="924">
        <v>368</v>
      </c>
      <c r="G28" s="924">
        <v>378</v>
      </c>
      <c r="H28" s="924">
        <v>387</v>
      </c>
      <c r="I28" s="924">
        <v>395</v>
      </c>
      <c r="J28" s="924">
        <v>402</v>
      </c>
      <c r="K28" s="924">
        <v>409</v>
      </c>
      <c r="L28" s="924">
        <v>415</v>
      </c>
      <c r="M28" s="924">
        <v>420</v>
      </c>
      <c r="N28" s="924">
        <v>425</v>
      </c>
      <c r="O28" s="924">
        <v>430</v>
      </c>
      <c r="P28" s="924">
        <v>435</v>
      </c>
      <c r="Q28" s="924">
        <v>439</v>
      </c>
      <c r="R28" s="924">
        <v>443</v>
      </c>
      <c r="S28" s="924">
        <v>447</v>
      </c>
      <c r="T28" s="924">
        <v>450</v>
      </c>
      <c r="U28" s="924">
        <v>454</v>
      </c>
      <c r="V28" s="924">
        <v>460</v>
      </c>
      <c r="W28" s="924">
        <v>466</v>
      </c>
      <c r="X28" s="924">
        <v>471</v>
      </c>
      <c r="Y28" s="924">
        <v>476</v>
      </c>
      <c r="Z28" s="924">
        <v>480</v>
      </c>
      <c r="AA28" s="924">
        <v>490</v>
      </c>
      <c r="AB28" s="924">
        <v>498</v>
      </c>
      <c r="AC28" s="924">
        <v>505</v>
      </c>
    </row>
    <row r="29" spans="1:29">
      <c r="A29" s="1879">
        <f t="shared" si="1"/>
        <v>22.600000000000037</v>
      </c>
      <c r="B29" s="924">
        <v>337</v>
      </c>
      <c r="C29" s="924">
        <v>337</v>
      </c>
      <c r="D29" s="924">
        <v>342</v>
      </c>
      <c r="E29" s="924">
        <v>355</v>
      </c>
      <c r="F29" s="924">
        <v>366</v>
      </c>
      <c r="G29" s="924">
        <v>376</v>
      </c>
      <c r="H29" s="924">
        <v>385</v>
      </c>
      <c r="I29" s="924">
        <v>393</v>
      </c>
      <c r="J29" s="924">
        <v>400</v>
      </c>
      <c r="K29" s="924">
        <v>407</v>
      </c>
      <c r="L29" s="924">
        <v>413</v>
      </c>
      <c r="M29" s="924">
        <v>418</v>
      </c>
      <c r="N29" s="924">
        <v>423</v>
      </c>
      <c r="O29" s="924">
        <v>428</v>
      </c>
      <c r="P29" s="924">
        <v>433</v>
      </c>
      <c r="Q29" s="924">
        <v>437</v>
      </c>
      <c r="R29" s="924">
        <v>441</v>
      </c>
      <c r="S29" s="924">
        <v>445</v>
      </c>
      <c r="T29" s="924">
        <v>448</v>
      </c>
      <c r="U29" s="924">
        <v>452</v>
      </c>
      <c r="V29" s="924">
        <v>458</v>
      </c>
      <c r="W29" s="924">
        <v>464</v>
      </c>
      <c r="X29" s="924">
        <v>469</v>
      </c>
      <c r="Y29" s="924">
        <v>474</v>
      </c>
      <c r="Z29" s="924">
        <v>478</v>
      </c>
      <c r="AA29" s="924">
        <v>488</v>
      </c>
      <c r="AB29" s="924">
        <v>496</v>
      </c>
      <c r="AC29" s="924">
        <v>503</v>
      </c>
    </row>
    <row r="30" spans="1:29">
      <c r="A30" s="1879">
        <f t="shared" si="1"/>
        <v>22.700000000000038</v>
      </c>
      <c r="B30" s="924">
        <v>335</v>
      </c>
      <c r="C30" s="924">
        <v>335</v>
      </c>
      <c r="D30" s="924">
        <v>340</v>
      </c>
      <c r="E30" s="924">
        <v>353</v>
      </c>
      <c r="F30" s="924">
        <v>364</v>
      </c>
      <c r="G30" s="924">
        <v>374</v>
      </c>
      <c r="H30" s="924">
        <v>383</v>
      </c>
      <c r="I30" s="924">
        <v>391</v>
      </c>
      <c r="J30" s="924">
        <v>398</v>
      </c>
      <c r="K30" s="924">
        <v>405</v>
      </c>
      <c r="L30" s="924">
        <v>411</v>
      </c>
      <c r="M30" s="924">
        <v>416</v>
      </c>
      <c r="N30" s="924">
        <v>421</v>
      </c>
      <c r="O30" s="924">
        <v>426</v>
      </c>
      <c r="P30" s="924">
        <v>431</v>
      </c>
      <c r="Q30" s="924">
        <v>435</v>
      </c>
      <c r="R30" s="924">
        <v>439</v>
      </c>
      <c r="S30" s="924">
        <v>443</v>
      </c>
      <c r="T30" s="924">
        <v>446</v>
      </c>
      <c r="U30" s="924">
        <v>450</v>
      </c>
      <c r="V30" s="924">
        <v>456</v>
      </c>
      <c r="W30" s="924">
        <v>462</v>
      </c>
      <c r="X30" s="924">
        <v>467</v>
      </c>
      <c r="Y30" s="924">
        <v>472</v>
      </c>
      <c r="Z30" s="924">
        <v>476</v>
      </c>
      <c r="AA30" s="924">
        <v>486</v>
      </c>
      <c r="AB30" s="924">
        <v>494</v>
      </c>
      <c r="AC30" s="924">
        <v>501</v>
      </c>
    </row>
    <row r="31" spans="1:29">
      <c r="A31" s="1879">
        <f t="shared" si="1"/>
        <v>22.80000000000004</v>
      </c>
      <c r="B31" s="924">
        <v>334</v>
      </c>
      <c r="C31" s="924">
        <v>334</v>
      </c>
      <c r="D31" s="924">
        <v>339</v>
      </c>
      <c r="E31" s="924">
        <v>352</v>
      </c>
      <c r="F31" s="924">
        <v>363</v>
      </c>
      <c r="G31" s="924">
        <v>373</v>
      </c>
      <c r="H31" s="924">
        <v>382</v>
      </c>
      <c r="I31" s="924">
        <v>390</v>
      </c>
      <c r="J31" s="924">
        <v>397</v>
      </c>
      <c r="K31" s="924">
        <v>404</v>
      </c>
      <c r="L31" s="924">
        <v>410</v>
      </c>
      <c r="M31" s="924">
        <v>415</v>
      </c>
      <c r="N31" s="924">
        <v>420</v>
      </c>
      <c r="O31" s="924">
        <v>425</v>
      </c>
      <c r="P31" s="924">
        <v>430</v>
      </c>
      <c r="Q31" s="924">
        <v>434</v>
      </c>
      <c r="R31" s="924">
        <v>438</v>
      </c>
      <c r="S31" s="924">
        <v>442</v>
      </c>
      <c r="T31" s="924">
        <v>445</v>
      </c>
      <c r="U31" s="924">
        <v>449</v>
      </c>
      <c r="V31" s="924">
        <v>455</v>
      </c>
      <c r="W31" s="924">
        <v>461</v>
      </c>
      <c r="X31" s="924">
        <v>466</v>
      </c>
      <c r="Y31" s="924">
        <v>471</v>
      </c>
      <c r="Z31" s="924">
        <v>475</v>
      </c>
      <c r="AA31" s="924">
        <v>485</v>
      </c>
      <c r="AB31" s="924">
        <v>493</v>
      </c>
      <c r="AC31" s="924">
        <v>500</v>
      </c>
    </row>
    <row r="32" spans="1:29">
      <c r="A32" s="1879">
        <f t="shared" si="1"/>
        <v>22.900000000000041</v>
      </c>
      <c r="B32" s="924">
        <v>333</v>
      </c>
      <c r="C32" s="924">
        <v>333</v>
      </c>
      <c r="D32" s="924">
        <v>338</v>
      </c>
      <c r="E32" s="924">
        <v>351</v>
      </c>
      <c r="F32" s="924">
        <v>362</v>
      </c>
      <c r="G32" s="924">
        <v>372</v>
      </c>
      <c r="H32" s="924">
        <v>381</v>
      </c>
      <c r="I32" s="924">
        <v>389</v>
      </c>
      <c r="J32" s="924">
        <v>396</v>
      </c>
      <c r="K32" s="924">
        <v>403</v>
      </c>
      <c r="L32" s="924">
        <v>409</v>
      </c>
      <c r="M32" s="924">
        <v>414</v>
      </c>
      <c r="N32" s="924">
        <v>419</v>
      </c>
      <c r="O32" s="924">
        <v>424</v>
      </c>
      <c r="P32" s="924">
        <v>429</v>
      </c>
      <c r="Q32" s="924">
        <v>433</v>
      </c>
      <c r="R32" s="924">
        <v>437</v>
      </c>
      <c r="S32" s="924">
        <v>441</v>
      </c>
      <c r="T32" s="924">
        <v>444</v>
      </c>
      <c r="U32" s="924">
        <v>448</v>
      </c>
      <c r="V32" s="924">
        <v>454</v>
      </c>
      <c r="W32" s="924">
        <v>460</v>
      </c>
      <c r="X32" s="924">
        <v>465</v>
      </c>
      <c r="Y32" s="924">
        <v>470</v>
      </c>
      <c r="Z32" s="924">
        <v>474</v>
      </c>
      <c r="AA32" s="924">
        <v>484</v>
      </c>
      <c r="AB32" s="924">
        <v>492</v>
      </c>
      <c r="AC32" s="924">
        <v>499</v>
      </c>
    </row>
    <row r="33" spans="1:29">
      <c r="A33" s="1879">
        <f t="shared" si="1"/>
        <v>23.000000000000043</v>
      </c>
      <c r="B33" s="924">
        <v>331</v>
      </c>
      <c r="C33" s="924">
        <v>331</v>
      </c>
      <c r="D33" s="924">
        <v>336</v>
      </c>
      <c r="E33" s="924">
        <v>349</v>
      </c>
      <c r="F33" s="924">
        <v>360</v>
      </c>
      <c r="G33" s="924">
        <v>370</v>
      </c>
      <c r="H33" s="924">
        <v>379</v>
      </c>
      <c r="I33" s="924">
        <v>387</v>
      </c>
      <c r="J33" s="924">
        <v>394</v>
      </c>
      <c r="K33" s="924">
        <v>401</v>
      </c>
      <c r="L33" s="924">
        <v>407</v>
      </c>
      <c r="M33" s="924">
        <v>412</v>
      </c>
      <c r="N33" s="924">
        <v>417</v>
      </c>
      <c r="O33" s="924">
        <v>422</v>
      </c>
      <c r="P33" s="924">
        <v>427</v>
      </c>
      <c r="Q33" s="924">
        <v>431</v>
      </c>
      <c r="R33" s="924">
        <v>435</v>
      </c>
      <c r="S33" s="924">
        <v>439</v>
      </c>
      <c r="T33" s="924">
        <v>442</v>
      </c>
      <c r="U33" s="924">
        <v>446</v>
      </c>
      <c r="V33" s="924">
        <v>452</v>
      </c>
      <c r="W33" s="924">
        <v>458</v>
      </c>
      <c r="X33" s="924">
        <v>463</v>
      </c>
      <c r="Y33" s="924">
        <v>468</v>
      </c>
      <c r="Z33" s="924">
        <v>472</v>
      </c>
      <c r="AA33" s="924">
        <v>482</v>
      </c>
      <c r="AB33" s="924">
        <v>490</v>
      </c>
      <c r="AC33" s="924">
        <v>497</v>
      </c>
    </row>
    <row r="34" spans="1:29">
      <c r="A34" s="1879">
        <f t="shared" si="1"/>
        <v>23.100000000000044</v>
      </c>
      <c r="B34" s="924">
        <v>329</v>
      </c>
      <c r="C34" s="924">
        <v>329</v>
      </c>
      <c r="D34" s="924">
        <v>334</v>
      </c>
      <c r="E34" s="924">
        <v>347</v>
      </c>
      <c r="F34" s="924">
        <v>358</v>
      </c>
      <c r="G34" s="924">
        <v>368</v>
      </c>
      <c r="H34" s="924">
        <v>377</v>
      </c>
      <c r="I34" s="924">
        <v>385</v>
      </c>
      <c r="J34" s="924">
        <v>392</v>
      </c>
      <c r="K34" s="924">
        <v>399</v>
      </c>
      <c r="L34" s="924">
        <v>405</v>
      </c>
      <c r="M34" s="924">
        <v>410</v>
      </c>
      <c r="N34" s="924">
        <v>415</v>
      </c>
      <c r="O34" s="924">
        <v>420</v>
      </c>
      <c r="P34" s="924">
        <v>425</v>
      </c>
      <c r="Q34" s="924">
        <v>429</v>
      </c>
      <c r="R34" s="924">
        <v>433</v>
      </c>
      <c r="S34" s="924">
        <v>437</v>
      </c>
      <c r="T34" s="924">
        <v>440</v>
      </c>
      <c r="U34" s="924">
        <v>444</v>
      </c>
      <c r="V34" s="924">
        <v>450</v>
      </c>
      <c r="W34" s="924">
        <v>456</v>
      </c>
      <c r="X34" s="924">
        <v>461</v>
      </c>
      <c r="Y34" s="924">
        <v>466</v>
      </c>
      <c r="Z34" s="924">
        <v>470</v>
      </c>
      <c r="AA34" s="924">
        <v>480</v>
      </c>
      <c r="AB34" s="924">
        <v>488</v>
      </c>
      <c r="AC34" s="924">
        <v>495</v>
      </c>
    </row>
    <row r="35" spans="1:29">
      <c r="A35" s="1879">
        <f t="shared" si="1"/>
        <v>23.200000000000045</v>
      </c>
      <c r="B35" s="924">
        <v>328</v>
      </c>
      <c r="C35" s="924">
        <v>328</v>
      </c>
      <c r="D35" s="924">
        <v>333</v>
      </c>
      <c r="E35" s="924">
        <v>346</v>
      </c>
      <c r="F35" s="924">
        <v>357</v>
      </c>
      <c r="G35" s="924">
        <v>367</v>
      </c>
      <c r="H35" s="924">
        <v>376</v>
      </c>
      <c r="I35" s="924">
        <v>384</v>
      </c>
      <c r="J35" s="924">
        <v>391</v>
      </c>
      <c r="K35" s="924">
        <v>398</v>
      </c>
      <c r="L35" s="924">
        <v>404</v>
      </c>
      <c r="M35" s="924">
        <v>409</v>
      </c>
      <c r="N35" s="924">
        <v>414</v>
      </c>
      <c r="O35" s="924">
        <v>419</v>
      </c>
      <c r="P35" s="924">
        <v>424</v>
      </c>
      <c r="Q35" s="924">
        <v>428</v>
      </c>
      <c r="R35" s="924">
        <v>432</v>
      </c>
      <c r="S35" s="924">
        <v>436</v>
      </c>
      <c r="T35" s="924">
        <v>439</v>
      </c>
      <c r="U35" s="924">
        <v>443</v>
      </c>
      <c r="V35" s="924">
        <v>449</v>
      </c>
      <c r="W35" s="924">
        <v>455</v>
      </c>
      <c r="X35" s="924">
        <v>460</v>
      </c>
      <c r="Y35" s="924">
        <v>465</v>
      </c>
      <c r="Z35" s="924">
        <v>469</v>
      </c>
      <c r="AA35" s="924">
        <v>479</v>
      </c>
      <c r="AB35" s="924">
        <v>487</v>
      </c>
      <c r="AC35" s="924">
        <v>494</v>
      </c>
    </row>
    <row r="36" spans="1:29">
      <c r="A36" s="1879">
        <f t="shared" si="1"/>
        <v>23.300000000000047</v>
      </c>
      <c r="B36" s="924">
        <v>326</v>
      </c>
      <c r="C36" s="924">
        <v>326</v>
      </c>
      <c r="D36" s="924">
        <v>331</v>
      </c>
      <c r="E36" s="924">
        <v>344</v>
      </c>
      <c r="F36" s="924">
        <v>355</v>
      </c>
      <c r="G36" s="924">
        <v>365</v>
      </c>
      <c r="H36" s="924">
        <v>374</v>
      </c>
      <c r="I36" s="924">
        <v>382</v>
      </c>
      <c r="J36" s="924">
        <v>389</v>
      </c>
      <c r="K36" s="924">
        <v>396</v>
      </c>
      <c r="L36" s="924">
        <v>402</v>
      </c>
      <c r="M36" s="924">
        <v>407</v>
      </c>
      <c r="N36" s="924">
        <v>412</v>
      </c>
      <c r="O36" s="924">
        <v>417</v>
      </c>
      <c r="P36" s="924">
        <v>422</v>
      </c>
      <c r="Q36" s="924">
        <v>426</v>
      </c>
      <c r="R36" s="924">
        <v>430</v>
      </c>
      <c r="S36" s="924">
        <v>434</v>
      </c>
      <c r="T36" s="924">
        <v>437</v>
      </c>
      <c r="U36" s="924">
        <v>441</v>
      </c>
      <c r="V36" s="924">
        <v>447</v>
      </c>
      <c r="W36" s="924">
        <v>453</v>
      </c>
      <c r="X36" s="924">
        <v>458</v>
      </c>
      <c r="Y36" s="924">
        <v>463</v>
      </c>
      <c r="Z36" s="924">
        <v>467</v>
      </c>
      <c r="AA36" s="924">
        <v>477</v>
      </c>
      <c r="AB36" s="924">
        <v>485</v>
      </c>
      <c r="AC36" s="924">
        <v>492</v>
      </c>
    </row>
    <row r="37" spans="1:29">
      <c r="A37" s="1879">
        <f t="shared" si="1"/>
        <v>23.400000000000048</v>
      </c>
      <c r="B37" s="924">
        <v>324</v>
      </c>
      <c r="C37" s="924">
        <v>324</v>
      </c>
      <c r="D37" s="924">
        <v>329</v>
      </c>
      <c r="E37" s="924">
        <v>342</v>
      </c>
      <c r="F37" s="924">
        <v>353</v>
      </c>
      <c r="G37" s="924">
        <v>363</v>
      </c>
      <c r="H37" s="924">
        <v>372</v>
      </c>
      <c r="I37" s="924">
        <v>380</v>
      </c>
      <c r="J37" s="924">
        <v>387</v>
      </c>
      <c r="K37" s="924">
        <v>394</v>
      </c>
      <c r="L37" s="924">
        <v>400</v>
      </c>
      <c r="M37" s="924">
        <v>405</v>
      </c>
      <c r="N37" s="924">
        <v>410</v>
      </c>
      <c r="O37" s="924">
        <v>415</v>
      </c>
      <c r="P37" s="924">
        <v>420</v>
      </c>
      <c r="Q37" s="924">
        <v>424</v>
      </c>
      <c r="R37" s="924">
        <v>428</v>
      </c>
      <c r="S37" s="924">
        <v>432</v>
      </c>
      <c r="T37" s="924">
        <v>435</v>
      </c>
      <c r="U37" s="924">
        <v>439</v>
      </c>
      <c r="V37" s="924">
        <v>445</v>
      </c>
      <c r="W37" s="924">
        <v>451</v>
      </c>
      <c r="X37" s="924">
        <v>456</v>
      </c>
      <c r="Y37" s="924">
        <v>461</v>
      </c>
      <c r="Z37" s="924">
        <v>465</v>
      </c>
      <c r="AA37" s="924">
        <v>475</v>
      </c>
      <c r="AB37" s="924">
        <v>483</v>
      </c>
      <c r="AC37" s="924">
        <v>490</v>
      </c>
    </row>
    <row r="38" spans="1:29">
      <c r="A38" s="1879">
        <f t="shared" si="1"/>
        <v>23.50000000000005</v>
      </c>
      <c r="B38" s="924">
        <v>323</v>
      </c>
      <c r="C38" s="924">
        <v>323</v>
      </c>
      <c r="D38" s="924">
        <v>328</v>
      </c>
      <c r="E38" s="924">
        <v>341</v>
      </c>
      <c r="F38" s="924">
        <v>352</v>
      </c>
      <c r="G38" s="924">
        <v>362</v>
      </c>
      <c r="H38" s="924">
        <v>371</v>
      </c>
      <c r="I38" s="924">
        <v>379</v>
      </c>
      <c r="J38" s="924">
        <v>386</v>
      </c>
      <c r="K38" s="924">
        <v>393</v>
      </c>
      <c r="L38" s="924">
        <v>399</v>
      </c>
      <c r="M38" s="924">
        <v>404</v>
      </c>
      <c r="N38" s="924">
        <v>409</v>
      </c>
      <c r="O38" s="924">
        <v>414</v>
      </c>
      <c r="P38" s="924">
        <v>419</v>
      </c>
      <c r="Q38" s="924">
        <v>423</v>
      </c>
      <c r="R38" s="924">
        <v>427</v>
      </c>
      <c r="S38" s="924">
        <v>431</v>
      </c>
      <c r="T38" s="924">
        <v>434</v>
      </c>
      <c r="U38" s="924">
        <v>438</v>
      </c>
      <c r="V38" s="924">
        <v>444</v>
      </c>
      <c r="W38" s="924">
        <v>450</v>
      </c>
      <c r="X38" s="924">
        <v>455</v>
      </c>
      <c r="Y38" s="924">
        <v>460</v>
      </c>
      <c r="Z38" s="924">
        <v>464</v>
      </c>
      <c r="AA38" s="924">
        <v>474</v>
      </c>
      <c r="AB38" s="924">
        <v>482</v>
      </c>
      <c r="AC38" s="924">
        <v>489</v>
      </c>
    </row>
    <row r="39" spans="1:29">
      <c r="A39" s="1879">
        <f t="shared" si="1"/>
        <v>23.600000000000051</v>
      </c>
      <c r="B39" s="924">
        <v>322</v>
      </c>
      <c r="C39" s="924">
        <v>322</v>
      </c>
      <c r="D39" s="924">
        <v>327</v>
      </c>
      <c r="E39" s="924">
        <v>340</v>
      </c>
      <c r="F39" s="924">
        <v>351</v>
      </c>
      <c r="G39" s="924">
        <v>361</v>
      </c>
      <c r="H39" s="924">
        <v>370</v>
      </c>
      <c r="I39" s="924">
        <v>378</v>
      </c>
      <c r="J39" s="924">
        <v>385</v>
      </c>
      <c r="K39" s="924">
        <v>392</v>
      </c>
      <c r="L39" s="924">
        <v>398</v>
      </c>
      <c r="M39" s="924">
        <v>403</v>
      </c>
      <c r="N39" s="924">
        <v>408</v>
      </c>
      <c r="O39" s="924">
        <v>413</v>
      </c>
      <c r="P39" s="924">
        <v>418</v>
      </c>
      <c r="Q39" s="924">
        <v>422</v>
      </c>
      <c r="R39" s="924">
        <v>426</v>
      </c>
      <c r="S39" s="924">
        <v>430</v>
      </c>
      <c r="T39" s="924">
        <v>433</v>
      </c>
      <c r="U39" s="924">
        <v>437</v>
      </c>
      <c r="V39" s="924">
        <v>443</v>
      </c>
      <c r="W39" s="924">
        <v>449</v>
      </c>
      <c r="X39" s="924">
        <v>454</v>
      </c>
      <c r="Y39" s="924">
        <v>459</v>
      </c>
      <c r="Z39" s="924">
        <v>463</v>
      </c>
      <c r="AA39" s="924">
        <v>473</v>
      </c>
      <c r="AB39" s="924">
        <v>481</v>
      </c>
      <c r="AC39" s="924">
        <v>488</v>
      </c>
    </row>
    <row r="40" spans="1:29">
      <c r="A40" s="1879">
        <f t="shared" si="1"/>
        <v>23.700000000000053</v>
      </c>
      <c r="B40" s="924">
        <v>320</v>
      </c>
      <c r="C40" s="924">
        <v>320</v>
      </c>
      <c r="D40" s="924">
        <v>325</v>
      </c>
      <c r="E40" s="924">
        <v>338</v>
      </c>
      <c r="F40" s="924">
        <v>349</v>
      </c>
      <c r="G40" s="924">
        <v>359</v>
      </c>
      <c r="H40" s="924">
        <v>368</v>
      </c>
      <c r="I40" s="924">
        <v>376</v>
      </c>
      <c r="J40" s="924">
        <v>383</v>
      </c>
      <c r="K40" s="924">
        <v>390</v>
      </c>
      <c r="L40" s="924">
        <v>396</v>
      </c>
      <c r="M40" s="924">
        <v>401</v>
      </c>
      <c r="N40" s="924">
        <v>406</v>
      </c>
      <c r="O40" s="924">
        <v>411</v>
      </c>
      <c r="P40" s="924">
        <v>416</v>
      </c>
      <c r="Q40" s="924">
        <v>420</v>
      </c>
      <c r="R40" s="924">
        <v>424</v>
      </c>
      <c r="S40" s="924">
        <v>428</v>
      </c>
      <c r="T40" s="924">
        <v>431</v>
      </c>
      <c r="U40" s="924">
        <v>435</v>
      </c>
      <c r="V40" s="924">
        <v>441</v>
      </c>
      <c r="W40" s="924">
        <v>447</v>
      </c>
      <c r="X40" s="924">
        <v>452</v>
      </c>
      <c r="Y40" s="924">
        <v>457</v>
      </c>
      <c r="Z40" s="924">
        <v>461</v>
      </c>
      <c r="AA40" s="924">
        <v>471</v>
      </c>
      <c r="AB40" s="924">
        <v>479</v>
      </c>
      <c r="AC40" s="924">
        <v>486</v>
      </c>
    </row>
    <row r="41" spans="1:29">
      <c r="A41" s="1879">
        <f t="shared" si="1"/>
        <v>23.800000000000054</v>
      </c>
      <c r="B41" s="924">
        <v>318</v>
      </c>
      <c r="C41" s="924">
        <v>318</v>
      </c>
      <c r="D41" s="924">
        <v>323</v>
      </c>
      <c r="E41" s="924">
        <v>336</v>
      </c>
      <c r="F41" s="924">
        <v>347</v>
      </c>
      <c r="G41" s="924">
        <v>357</v>
      </c>
      <c r="H41" s="924">
        <v>366</v>
      </c>
      <c r="I41" s="924">
        <v>374</v>
      </c>
      <c r="J41" s="924">
        <v>381</v>
      </c>
      <c r="K41" s="924">
        <v>388</v>
      </c>
      <c r="L41" s="924">
        <v>394</v>
      </c>
      <c r="M41" s="924">
        <v>399</v>
      </c>
      <c r="N41" s="924">
        <v>404</v>
      </c>
      <c r="O41" s="924">
        <v>409</v>
      </c>
      <c r="P41" s="924">
        <v>414</v>
      </c>
      <c r="Q41" s="924">
        <v>418</v>
      </c>
      <c r="R41" s="924">
        <v>422</v>
      </c>
      <c r="S41" s="924">
        <v>426</v>
      </c>
      <c r="T41" s="924">
        <v>429</v>
      </c>
      <c r="U41" s="924">
        <v>433</v>
      </c>
      <c r="V41" s="924">
        <v>439</v>
      </c>
      <c r="W41" s="924">
        <v>445</v>
      </c>
      <c r="X41" s="924">
        <v>450</v>
      </c>
      <c r="Y41" s="924">
        <v>455</v>
      </c>
      <c r="Z41" s="924">
        <v>459</v>
      </c>
      <c r="AA41" s="924">
        <v>469</v>
      </c>
      <c r="AB41" s="924">
        <v>477</v>
      </c>
      <c r="AC41" s="924">
        <v>484</v>
      </c>
    </row>
    <row r="42" spans="1:29">
      <c r="A42" s="1879">
        <f t="shared" si="1"/>
        <v>23.900000000000055</v>
      </c>
      <c r="B42" s="924">
        <v>317</v>
      </c>
      <c r="C42" s="924">
        <v>317</v>
      </c>
      <c r="D42" s="924">
        <v>322</v>
      </c>
      <c r="E42" s="924">
        <v>335</v>
      </c>
      <c r="F42" s="924">
        <v>346</v>
      </c>
      <c r="G42" s="924">
        <v>356</v>
      </c>
      <c r="H42" s="924">
        <v>365</v>
      </c>
      <c r="I42" s="924">
        <v>373</v>
      </c>
      <c r="J42" s="924">
        <v>380</v>
      </c>
      <c r="K42" s="924">
        <v>387</v>
      </c>
      <c r="L42" s="924">
        <v>393</v>
      </c>
      <c r="M42" s="924">
        <v>398</v>
      </c>
      <c r="N42" s="924">
        <v>403</v>
      </c>
      <c r="O42" s="924">
        <v>408</v>
      </c>
      <c r="P42" s="924">
        <v>413</v>
      </c>
      <c r="Q42" s="924">
        <v>417</v>
      </c>
      <c r="R42" s="924">
        <v>421</v>
      </c>
      <c r="S42" s="924">
        <v>425</v>
      </c>
      <c r="T42" s="924">
        <v>428</v>
      </c>
      <c r="U42" s="924">
        <v>432</v>
      </c>
      <c r="V42" s="924">
        <v>438</v>
      </c>
      <c r="W42" s="924">
        <v>444</v>
      </c>
      <c r="X42" s="924">
        <v>449</v>
      </c>
      <c r="Y42" s="924">
        <v>454</v>
      </c>
      <c r="Z42" s="924">
        <v>458</v>
      </c>
      <c r="AA42" s="924">
        <v>468</v>
      </c>
      <c r="AB42" s="924">
        <v>476</v>
      </c>
      <c r="AC42" s="924">
        <v>483</v>
      </c>
    </row>
    <row r="43" spans="1:29">
      <c r="A43" s="1879">
        <f t="shared" si="1"/>
        <v>24.000000000000057</v>
      </c>
      <c r="B43" s="924">
        <v>315</v>
      </c>
      <c r="C43" s="924">
        <v>315</v>
      </c>
      <c r="D43" s="924">
        <v>320</v>
      </c>
      <c r="E43" s="924">
        <v>333</v>
      </c>
      <c r="F43" s="924">
        <v>344</v>
      </c>
      <c r="G43" s="924">
        <v>354</v>
      </c>
      <c r="H43" s="924">
        <v>363</v>
      </c>
      <c r="I43" s="924">
        <v>371</v>
      </c>
      <c r="J43" s="924">
        <v>378</v>
      </c>
      <c r="K43" s="924">
        <v>385</v>
      </c>
      <c r="L43" s="924">
        <v>391</v>
      </c>
      <c r="M43" s="924">
        <v>396</v>
      </c>
      <c r="N43" s="924">
        <v>401</v>
      </c>
      <c r="O43" s="924">
        <v>406</v>
      </c>
      <c r="P43" s="924">
        <v>411</v>
      </c>
      <c r="Q43" s="924">
        <v>415</v>
      </c>
      <c r="R43" s="924">
        <v>419</v>
      </c>
      <c r="S43" s="924">
        <v>423</v>
      </c>
      <c r="T43" s="924">
        <v>426</v>
      </c>
      <c r="U43" s="924">
        <v>430</v>
      </c>
      <c r="V43" s="924">
        <v>436</v>
      </c>
      <c r="W43" s="924">
        <v>442</v>
      </c>
      <c r="X43" s="924">
        <v>447</v>
      </c>
      <c r="Y43" s="924">
        <v>452</v>
      </c>
      <c r="Z43" s="924">
        <v>456</v>
      </c>
      <c r="AA43" s="924">
        <v>466</v>
      </c>
      <c r="AB43" s="924">
        <v>474</v>
      </c>
      <c r="AC43" s="924">
        <v>481</v>
      </c>
    </row>
    <row r="44" spans="1:29">
      <c r="A44" s="1879">
        <f t="shared" si="1"/>
        <v>24.100000000000058</v>
      </c>
      <c r="B44" s="924">
        <v>313</v>
      </c>
      <c r="C44" s="924">
        <v>313</v>
      </c>
      <c r="D44" s="924">
        <v>318</v>
      </c>
      <c r="E44" s="924">
        <v>331</v>
      </c>
      <c r="F44" s="924">
        <v>342</v>
      </c>
      <c r="G44" s="924">
        <v>352</v>
      </c>
      <c r="H44" s="924">
        <v>361</v>
      </c>
      <c r="I44" s="924">
        <v>369</v>
      </c>
      <c r="J44" s="924">
        <v>376</v>
      </c>
      <c r="K44" s="924">
        <v>383</v>
      </c>
      <c r="L44" s="924">
        <v>389</v>
      </c>
      <c r="M44" s="924">
        <v>394</v>
      </c>
      <c r="N44" s="924">
        <v>399</v>
      </c>
      <c r="O44" s="924">
        <v>404</v>
      </c>
      <c r="P44" s="924">
        <v>409</v>
      </c>
      <c r="Q44" s="924">
        <v>413</v>
      </c>
      <c r="R44" s="924">
        <v>417</v>
      </c>
      <c r="S44" s="924">
        <v>421</v>
      </c>
      <c r="T44" s="924">
        <v>424</v>
      </c>
      <c r="U44" s="924">
        <v>428</v>
      </c>
      <c r="V44" s="924">
        <v>434</v>
      </c>
      <c r="W44" s="924">
        <v>440</v>
      </c>
      <c r="X44" s="924">
        <v>445</v>
      </c>
      <c r="Y44" s="924">
        <v>450</v>
      </c>
      <c r="Z44" s="924">
        <v>454</v>
      </c>
      <c r="AA44" s="924">
        <v>464</v>
      </c>
      <c r="AB44" s="924">
        <v>472</v>
      </c>
      <c r="AC44" s="924">
        <v>479</v>
      </c>
    </row>
    <row r="45" spans="1:29">
      <c r="A45" s="1879">
        <f t="shared" si="1"/>
        <v>24.20000000000006</v>
      </c>
      <c r="B45" s="924">
        <v>312</v>
      </c>
      <c r="C45" s="924">
        <v>312</v>
      </c>
      <c r="D45" s="924">
        <v>317</v>
      </c>
      <c r="E45" s="924">
        <v>330</v>
      </c>
      <c r="F45" s="924">
        <v>341</v>
      </c>
      <c r="G45" s="924">
        <v>351</v>
      </c>
      <c r="H45" s="924">
        <v>360</v>
      </c>
      <c r="I45" s="924">
        <v>368</v>
      </c>
      <c r="J45" s="924">
        <v>375</v>
      </c>
      <c r="K45" s="924">
        <v>382</v>
      </c>
      <c r="L45" s="924">
        <v>388</v>
      </c>
      <c r="M45" s="924">
        <v>393</v>
      </c>
      <c r="N45" s="924">
        <v>398</v>
      </c>
      <c r="O45" s="924">
        <v>403</v>
      </c>
      <c r="P45" s="924">
        <v>408</v>
      </c>
      <c r="Q45" s="924">
        <v>412</v>
      </c>
      <c r="R45" s="924">
        <v>416</v>
      </c>
      <c r="S45" s="924">
        <v>420</v>
      </c>
      <c r="T45" s="924">
        <v>423</v>
      </c>
      <c r="U45" s="924">
        <v>427</v>
      </c>
      <c r="V45" s="924">
        <v>433</v>
      </c>
      <c r="W45" s="924">
        <v>439</v>
      </c>
      <c r="X45" s="924">
        <v>444</v>
      </c>
      <c r="Y45" s="924">
        <v>449</v>
      </c>
      <c r="Z45" s="924">
        <v>453</v>
      </c>
      <c r="AA45" s="924">
        <v>463</v>
      </c>
      <c r="AB45" s="924">
        <v>471</v>
      </c>
      <c r="AC45" s="924">
        <v>478</v>
      </c>
    </row>
    <row r="46" spans="1:29">
      <c r="A46" s="1879">
        <f t="shared" si="1"/>
        <v>24.300000000000061</v>
      </c>
      <c r="B46" s="924">
        <v>311</v>
      </c>
      <c r="C46" s="924">
        <v>311</v>
      </c>
      <c r="D46" s="924">
        <v>316</v>
      </c>
      <c r="E46" s="924">
        <v>329</v>
      </c>
      <c r="F46" s="924">
        <v>340</v>
      </c>
      <c r="G46" s="924">
        <v>350</v>
      </c>
      <c r="H46" s="924">
        <v>359</v>
      </c>
      <c r="I46" s="924">
        <v>367</v>
      </c>
      <c r="J46" s="924">
        <v>374</v>
      </c>
      <c r="K46" s="924">
        <v>381</v>
      </c>
      <c r="L46" s="924">
        <v>387</v>
      </c>
      <c r="M46" s="924">
        <v>392</v>
      </c>
      <c r="N46" s="924">
        <v>397</v>
      </c>
      <c r="O46" s="924">
        <v>402</v>
      </c>
      <c r="P46" s="924">
        <v>407</v>
      </c>
      <c r="Q46" s="924">
        <v>411</v>
      </c>
      <c r="R46" s="924">
        <v>415</v>
      </c>
      <c r="S46" s="924">
        <v>419</v>
      </c>
      <c r="T46" s="924">
        <v>422</v>
      </c>
      <c r="U46" s="924">
        <v>426</v>
      </c>
      <c r="V46" s="924">
        <v>432</v>
      </c>
      <c r="W46" s="924">
        <v>438</v>
      </c>
      <c r="X46" s="924">
        <v>443</v>
      </c>
      <c r="Y46" s="924">
        <v>448</v>
      </c>
      <c r="Z46" s="924">
        <v>452</v>
      </c>
      <c r="AA46" s="924">
        <v>462</v>
      </c>
      <c r="AB46" s="924">
        <v>470</v>
      </c>
      <c r="AC46" s="924">
        <v>477</v>
      </c>
    </row>
    <row r="47" spans="1:29">
      <c r="A47" s="1879">
        <f t="shared" si="1"/>
        <v>24.400000000000063</v>
      </c>
      <c r="B47" s="924">
        <v>309</v>
      </c>
      <c r="C47" s="924">
        <v>309</v>
      </c>
      <c r="D47" s="924">
        <v>314</v>
      </c>
      <c r="E47" s="924">
        <v>327</v>
      </c>
      <c r="F47" s="924">
        <v>338</v>
      </c>
      <c r="G47" s="924">
        <v>348</v>
      </c>
      <c r="H47" s="924">
        <v>357</v>
      </c>
      <c r="I47" s="924">
        <v>365</v>
      </c>
      <c r="J47" s="924">
        <v>372</v>
      </c>
      <c r="K47" s="924">
        <v>379</v>
      </c>
      <c r="L47" s="924">
        <v>385</v>
      </c>
      <c r="M47" s="924">
        <v>390</v>
      </c>
      <c r="N47" s="924">
        <v>395</v>
      </c>
      <c r="O47" s="924">
        <v>400</v>
      </c>
      <c r="P47" s="924">
        <v>405</v>
      </c>
      <c r="Q47" s="924">
        <v>409</v>
      </c>
      <c r="R47" s="924">
        <v>413</v>
      </c>
      <c r="S47" s="924">
        <v>417</v>
      </c>
      <c r="T47" s="924">
        <v>420</v>
      </c>
      <c r="U47" s="924">
        <v>424</v>
      </c>
      <c r="V47" s="924">
        <v>430</v>
      </c>
      <c r="W47" s="924">
        <v>436</v>
      </c>
      <c r="X47" s="924">
        <v>441</v>
      </c>
      <c r="Y47" s="924">
        <v>446</v>
      </c>
      <c r="Z47" s="924">
        <v>450</v>
      </c>
      <c r="AA47" s="924">
        <v>460</v>
      </c>
      <c r="AB47" s="924">
        <v>468</v>
      </c>
      <c r="AC47" s="924">
        <v>475</v>
      </c>
    </row>
    <row r="48" spans="1:29">
      <c r="A48" s="1879">
        <f t="shared" si="1"/>
        <v>24.500000000000064</v>
      </c>
      <c r="B48" s="924">
        <v>307</v>
      </c>
      <c r="C48" s="924">
        <v>307</v>
      </c>
      <c r="D48" s="924">
        <v>312</v>
      </c>
      <c r="E48" s="924">
        <v>325</v>
      </c>
      <c r="F48" s="924">
        <v>336</v>
      </c>
      <c r="G48" s="924">
        <v>346</v>
      </c>
      <c r="H48" s="924">
        <v>355</v>
      </c>
      <c r="I48" s="924">
        <v>363</v>
      </c>
      <c r="J48" s="924">
        <v>370</v>
      </c>
      <c r="K48" s="924">
        <v>377</v>
      </c>
      <c r="L48" s="924">
        <v>383</v>
      </c>
      <c r="M48" s="924">
        <v>388</v>
      </c>
      <c r="N48" s="924">
        <v>393</v>
      </c>
      <c r="O48" s="924">
        <v>398</v>
      </c>
      <c r="P48" s="924">
        <v>403</v>
      </c>
      <c r="Q48" s="924">
        <v>407</v>
      </c>
      <c r="R48" s="924">
        <v>411</v>
      </c>
      <c r="S48" s="924">
        <v>415</v>
      </c>
      <c r="T48" s="924">
        <v>418</v>
      </c>
      <c r="U48" s="924">
        <v>422</v>
      </c>
      <c r="V48" s="924">
        <v>428</v>
      </c>
      <c r="W48" s="924">
        <v>434</v>
      </c>
      <c r="X48" s="924">
        <v>439</v>
      </c>
      <c r="Y48" s="924">
        <v>444</v>
      </c>
      <c r="Z48" s="924">
        <v>448</v>
      </c>
      <c r="AA48" s="924">
        <v>458</v>
      </c>
      <c r="AB48" s="924">
        <v>466</v>
      </c>
      <c r="AC48" s="924">
        <v>473</v>
      </c>
    </row>
    <row r="49" spans="1:29" s="1878" customFormat="1">
      <c r="A49" s="1880">
        <v>25</v>
      </c>
      <c r="B49" s="924">
        <v>306</v>
      </c>
      <c r="C49" s="924">
        <v>306</v>
      </c>
      <c r="D49" s="924">
        <v>311</v>
      </c>
      <c r="E49" s="924">
        <v>324</v>
      </c>
      <c r="F49" s="924">
        <v>335</v>
      </c>
      <c r="G49" s="924">
        <v>345</v>
      </c>
      <c r="H49" s="924">
        <v>354</v>
      </c>
      <c r="I49" s="924">
        <v>362</v>
      </c>
      <c r="J49" s="924">
        <v>389</v>
      </c>
      <c r="K49" s="924">
        <v>376</v>
      </c>
      <c r="L49" s="924">
        <v>382</v>
      </c>
      <c r="M49" s="924">
        <v>387</v>
      </c>
      <c r="N49" s="924">
        <v>392</v>
      </c>
      <c r="O49" s="924">
        <v>397</v>
      </c>
      <c r="P49" s="924">
        <v>402</v>
      </c>
      <c r="Q49" s="924">
        <v>406</v>
      </c>
      <c r="R49" s="924">
        <v>410</v>
      </c>
      <c r="S49" s="924">
        <v>414</v>
      </c>
      <c r="T49" s="924">
        <v>417</v>
      </c>
      <c r="U49" s="924">
        <v>421</v>
      </c>
      <c r="V49" s="924">
        <v>427</v>
      </c>
      <c r="W49" s="924">
        <v>433</v>
      </c>
      <c r="X49" s="924">
        <v>438</v>
      </c>
      <c r="Y49" s="924">
        <v>443</v>
      </c>
      <c r="Z49" s="924">
        <v>447</v>
      </c>
      <c r="AA49" s="924">
        <v>457</v>
      </c>
      <c r="AB49" s="924">
        <v>465</v>
      </c>
      <c r="AC49" s="924">
        <v>472</v>
      </c>
    </row>
    <row r="50" spans="1:29" s="1878" customFormat="1">
      <c r="A50" s="1880">
        <v>25.1</v>
      </c>
      <c r="B50" s="924">
        <v>294</v>
      </c>
      <c r="C50" s="924">
        <v>294</v>
      </c>
      <c r="D50" s="924">
        <v>309</v>
      </c>
      <c r="E50" s="924">
        <v>322</v>
      </c>
      <c r="F50" s="924">
        <v>333</v>
      </c>
      <c r="G50" s="924">
        <v>343</v>
      </c>
      <c r="H50" s="924">
        <v>352</v>
      </c>
      <c r="I50" s="924">
        <v>360</v>
      </c>
      <c r="J50" s="924">
        <v>367</v>
      </c>
      <c r="K50" s="924">
        <v>374</v>
      </c>
      <c r="L50" s="924">
        <v>380</v>
      </c>
      <c r="M50" s="924">
        <v>385</v>
      </c>
      <c r="N50" s="924">
        <v>390</v>
      </c>
      <c r="O50" s="924">
        <v>395</v>
      </c>
      <c r="P50" s="924">
        <v>400</v>
      </c>
      <c r="Q50" s="924">
        <v>404</v>
      </c>
      <c r="R50" s="924">
        <v>408</v>
      </c>
      <c r="S50" s="924">
        <v>412</v>
      </c>
      <c r="T50" s="924">
        <v>415</v>
      </c>
      <c r="U50" s="924">
        <v>419</v>
      </c>
      <c r="V50" s="924">
        <v>425</v>
      </c>
      <c r="W50" s="924">
        <v>430</v>
      </c>
      <c r="X50" s="924">
        <v>436</v>
      </c>
      <c r="Y50" s="924">
        <v>440</v>
      </c>
      <c r="Z50" s="924">
        <v>445</v>
      </c>
      <c r="AA50" s="924">
        <v>454</v>
      </c>
      <c r="AB50" s="924">
        <v>462</v>
      </c>
      <c r="AC50" s="924">
        <v>469</v>
      </c>
    </row>
    <row r="51" spans="1:29" s="1878" customFormat="1">
      <c r="A51" s="1880">
        <v>25.2</v>
      </c>
      <c r="B51" s="924">
        <v>293</v>
      </c>
      <c r="C51" s="924">
        <v>293</v>
      </c>
      <c r="D51" s="924">
        <v>308</v>
      </c>
      <c r="E51" s="924">
        <v>321</v>
      </c>
      <c r="F51" s="924">
        <v>332</v>
      </c>
      <c r="G51" s="924">
        <v>341</v>
      </c>
      <c r="H51" s="924">
        <v>350</v>
      </c>
      <c r="I51" s="924">
        <v>358</v>
      </c>
      <c r="J51" s="924">
        <v>365</v>
      </c>
      <c r="K51" s="924">
        <v>372</v>
      </c>
      <c r="L51" s="924">
        <v>378</v>
      </c>
      <c r="M51" s="924">
        <v>383</v>
      </c>
      <c r="N51" s="924">
        <v>388</v>
      </c>
      <c r="O51" s="924">
        <v>393</v>
      </c>
      <c r="P51" s="924">
        <v>398</v>
      </c>
      <c r="Q51" s="924">
        <v>402</v>
      </c>
      <c r="R51" s="924">
        <v>406</v>
      </c>
      <c r="S51" s="924">
        <v>409</v>
      </c>
      <c r="T51" s="924">
        <v>413</v>
      </c>
      <c r="U51" s="924">
        <v>416</v>
      </c>
      <c r="V51" s="924">
        <v>423</v>
      </c>
      <c r="W51" s="924">
        <v>428</v>
      </c>
      <c r="X51" s="924">
        <v>433</v>
      </c>
      <c r="Y51" s="924">
        <v>438</v>
      </c>
      <c r="Z51" s="924">
        <v>442</v>
      </c>
      <c r="AA51" s="924">
        <v>452</v>
      </c>
      <c r="AB51" s="924">
        <v>460</v>
      </c>
      <c r="AC51" s="924">
        <v>467</v>
      </c>
    </row>
    <row r="52" spans="1:29" s="1878" customFormat="1">
      <c r="A52" s="1880">
        <v>25.3</v>
      </c>
      <c r="B52" s="924">
        <v>291</v>
      </c>
      <c r="C52" s="924">
        <v>291</v>
      </c>
      <c r="D52" s="924">
        <v>306</v>
      </c>
      <c r="E52" s="924">
        <v>319</v>
      </c>
      <c r="F52" s="924">
        <v>330</v>
      </c>
      <c r="G52" s="924">
        <v>340</v>
      </c>
      <c r="H52" s="924">
        <v>348</v>
      </c>
      <c r="I52" s="924">
        <v>356</v>
      </c>
      <c r="J52" s="924">
        <v>363</v>
      </c>
      <c r="K52" s="924">
        <v>370</v>
      </c>
      <c r="L52" s="924">
        <v>376</v>
      </c>
      <c r="M52" s="924">
        <v>381</v>
      </c>
      <c r="N52" s="924">
        <v>386</v>
      </c>
      <c r="O52" s="924">
        <v>391</v>
      </c>
      <c r="P52" s="924">
        <v>395</v>
      </c>
      <c r="Q52" s="924">
        <v>400</v>
      </c>
      <c r="R52" s="924">
        <v>404</v>
      </c>
      <c r="S52" s="924">
        <v>407</v>
      </c>
      <c r="T52" s="924">
        <v>411</v>
      </c>
      <c r="U52" s="924">
        <v>414</v>
      </c>
      <c r="V52" s="924">
        <v>420</v>
      </c>
      <c r="W52" s="924">
        <v>426</v>
      </c>
      <c r="X52" s="924">
        <v>431</v>
      </c>
      <c r="Y52" s="924">
        <v>436</v>
      </c>
      <c r="Z52" s="924">
        <v>443</v>
      </c>
      <c r="AA52" s="924">
        <v>450</v>
      </c>
      <c r="AB52" s="924">
        <v>458</v>
      </c>
      <c r="AC52" s="924">
        <v>465</v>
      </c>
    </row>
    <row r="53" spans="1:29" s="1878" customFormat="1">
      <c r="A53" s="1880">
        <v>25.4</v>
      </c>
      <c r="B53" s="924">
        <v>290</v>
      </c>
      <c r="C53" s="924">
        <v>290</v>
      </c>
      <c r="D53" s="924">
        <v>305</v>
      </c>
      <c r="E53" s="924">
        <v>317</v>
      </c>
      <c r="F53" s="924">
        <v>328</v>
      </c>
      <c r="G53" s="924">
        <v>338</v>
      </c>
      <c r="H53" s="924">
        <v>346</v>
      </c>
      <c r="I53" s="924">
        <v>354</v>
      </c>
      <c r="J53" s="924">
        <v>361</v>
      </c>
      <c r="K53" s="924">
        <v>368</v>
      </c>
      <c r="L53" s="924">
        <v>374</v>
      </c>
      <c r="M53" s="924">
        <v>379</v>
      </c>
      <c r="N53" s="924">
        <v>384</v>
      </c>
      <c r="O53" s="924">
        <v>388</v>
      </c>
      <c r="P53" s="924">
        <v>393</v>
      </c>
      <c r="Q53" s="924">
        <v>398</v>
      </c>
      <c r="R53" s="924">
        <v>401</v>
      </c>
      <c r="S53" s="924">
        <v>405</v>
      </c>
      <c r="T53" s="924">
        <v>409</v>
      </c>
      <c r="U53" s="924">
        <v>412</v>
      </c>
      <c r="V53" s="924">
        <v>418</v>
      </c>
      <c r="W53" s="924">
        <v>424</v>
      </c>
      <c r="X53" s="924">
        <v>429</v>
      </c>
      <c r="Y53" s="924">
        <v>433</v>
      </c>
      <c r="Z53" s="924">
        <v>428</v>
      </c>
      <c r="AA53" s="924">
        <v>447</v>
      </c>
      <c r="AB53" s="924">
        <v>455</v>
      </c>
      <c r="AC53" s="924">
        <v>462</v>
      </c>
    </row>
    <row r="54" spans="1:29" s="1878" customFormat="1">
      <c r="A54" s="1880">
        <v>25.5</v>
      </c>
      <c r="B54" s="924">
        <v>288</v>
      </c>
      <c r="C54" s="924">
        <v>288</v>
      </c>
      <c r="D54" s="924">
        <v>303</v>
      </c>
      <c r="E54" s="924">
        <v>315</v>
      </c>
      <c r="F54" s="924">
        <v>326</v>
      </c>
      <c r="G54" s="924">
        <v>336</v>
      </c>
      <c r="H54" s="924">
        <v>345</v>
      </c>
      <c r="I54" s="924">
        <v>352</v>
      </c>
      <c r="J54" s="924">
        <v>259</v>
      </c>
      <c r="K54" s="924">
        <v>366</v>
      </c>
      <c r="L54" s="924">
        <v>372</v>
      </c>
      <c r="M54" s="924">
        <v>377</v>
      </c>
      <c r="N54" s="924">
        <v>382</v>
      </c>
      <c r="O54" s="924">
        <v>387</v>
      </c>
      <c r="P54" s="924">
        <v>391</v>
      </c>
      <c r="Q54" s="924">
        <v>395</v>
      </c>
      <c r="R54" s="924">
        <v>399</v>
      </c>
      <c r="S54" s="924">
        <v>403</v>
      </c>
      <c r="T54" s="924">
        <v>406</v>
      </c>
      <c r="U54" s="924">
        <v>410</v>
      </c>
      <c r="V54" s="924">
        <v>416</v>
      </c>
      <c r="W54" s="924">
        <v>421</v>
      </c>
      <c r="X54" s="924">
        <v>426</v>
      </c>
      <c r="Y54" s="924">
        <v>431</v>
      </c>
      <c r="Z54" s="924">
        <v>435</v>
      </c>
      <c r="AA54" s="924">
        <v>445</v>
      </c>
      <c r="AB54" s="924">
        <v>453</v>
      </c>
      <c r="AC54" s="924">
        <v>480</v>
      </c>
    </row>
    <row r="55" spans="1:29" s="1878" customFormat="1">
      <c r="A55" s="1880">
        <v>25.6</v>
      </c>
      <c r="B55" s="924">
        <v>287</v>
      </c>
      <c r="C55" s="924">
        <v>267</v>
      </c>
      <c r="D55" s="924">
        <v>301</v>
      </c>
      <c r="E55" s="924">
        <v>314</v>
      </c>
      <c r="F55" s="924">
        <v>325</v>
      </c>
      <c r="G55" s="924">
        <v>334</v>
      </c>
      <c r="H55" s="924">
        <v>343</v>
      </c>
      <c r="I55" s="924">
        <v>350</v>
      </c>
      <c r="J55" s="924">
        <v>357</v>
      </c>
      <c r="K55" s="924">
        <v>364</v>
      </c>
      <c r="L55" s="924">
        <v>370</v>
      </c>
      <c r="M55" s="924">
        <v>375</v>
      </c>
      <c r="N55" s="924">
        <v>380</v>
      </c>
      <c r="O55" s="924">
        <v>385</v>
      </c>
      <c r="P55" s="924">
        <v>389</v>
      </c>
      <c r="Q55" s="924">
        <v>393</v>
      </c>
      <c r="R55" s="924">
        <v>397</v>
      </c>
      <c r="S55" s="924">
        <v>401</v>
      </c>
      <c r="T55" s="924">
        <v>404</v>
      </c>
      <c r="U55" s="924">
        <v>408</v>
      </c>
      <c r="V55" s="924">
        <v>414</v>
      </c>
      <c r="W55" s="924">
        <v>419</v>
      </c>
      <c r="X55" s="924">
        <v>424</v>
      </c>
      <c r="Y55" s="924">
        <v>429</v>
      </c>
      <c r="Z55" s="924">
        <v>433</v>
      </c>
      <c r="AA55" s="924">
        <v>442</v>
      </c>
      <c r="AB55" s="924">
        <v>450</v>
      </c>
      <c r="AC55" s="924">
        <v>457</v>
      </c>
    </row>
    <row r="56" spans="1:29" s="1878" customFormat="1">
      <c r="A56" s="1880">
        <v>25.7</v>
      </c>
      <c r="B56" s="924">
        <v>285</v>
      </c>
      <c r="C56" s="924">
        <v>285</v>
      </c>
      <c r="D56" s="924">
        <v>300</v>
      </c>
      <c r="E56" s="924">
        <v>312</v>
      </c>
      <c r="F56" s="924">
        <v>323</v>
      </c>
      <c r="G56" s="924">
        <v>332</v>
      </c>
      <c r="H56" s="924">
        <v>341</v>
      </c>
      <c r="I56" s="924">
        <v>348</v>
      </c>
      <c r="J56" s="924">
        <v>355</v>
      </c>
      <c r="K56" s="924">
        <v>362</v>
      </c>
      <c r="L56" s="924">
        <v>368</v>
      </c>
      <c r="M56" s="924">
        <v>373</v>
      </c>
      <c r="N56" s="924">
        <v>378</v>
      </c>
      <c r="O56" s="924">
        <v>383</v>
      </c>
      <c r="P56" s="924">
        <v>387</v>
      </c>
      <c r="Q56" s="924">
        <v>391</v>
      </c>
      <c r="R56" s="924">
        <v>395</v>
      </c>
      <c r="S56" s="924">
        <v>399</v>
      </c>
      <c r="T56" s="924">
        <v>402</v>
      </c>
      <c r="U56" s="924">
        <v>405</v>
      </c>
      <c r="V56" s="924">
        <v>411</v>
      </c>
      <c r="W56" s="924">
        <v>417</v>
      </c>
      <c r="X56" s="924">
        <v>422</v>
      </c>
      <c r="Y56" s="924">
        <v>426</v>
      </c>
      <c r="Z56" s="924">
        <v>431</v>
      </c>
      <c r="AA56" s="924">
        <v>440</v>
      </c>
      <c r="AB56" s="924">
        <v>448</v>
      </c>
      <c r="AC56" s="924">
        <v>455</v>
      </c>
    </row>
    <row r="57" spans="1:29" s="1878" customFormat="1">
      <c r="A57" s="1880">
        <v>25.8</v>
      </c>
      <c r="B57" s="924">
        <v>283</v>
      </c>
      <c r="C57" s="924">
        <v>283</v>
      </c>
      <c r="D57" s="924">
        <v>298</v>
      </c>
      <c r="E57" s="924">
        <v>310</v>
      </c>
      <c r="F57" s="924">
        <v>321</v>
      </c>
      <c r="G57" s="924">
        <v>330</v>
      </c>
      <c r="H57" s="924">
        <v>339</v>
      </c>
      <c r="I57" s="924">
        <v>347</v>
      </c>
      <c r="J57" s="924">
        <v>353</v>
      </c>
      <c r="K57" s="924">
        <v>360</v>
      </c>
      <c r="L57" s="924">
        <v>366</v>
      </c>
      <c r="M57" s="924">
        <v>371</v>
      </c>
      <c r="N57" s="924">
        <v>376</v>
      </c>
      <c r="O57" s="924">
        <v>381</v>
      </c>
      <c r="P57" s="924">
        <v>385</v>
      </c>
      <c r="Q57" s="924">
        <v>389</v>
      </c>
      <c r="R57" s="924">
        <v>393</v>
      </c>
      <c r="S57" s="924">
        <v>396</v>
      </c>
      <c r="T57" s="924">
        <v>400</v>
      </c>
      <c r="U57" s="924">
        <v>403</v>
      </c>
      <c r="V57" s="924">
        <v>409</v>
      </c>
      <c r="W57" s="924">
        <v>415</v>
      </c>
      <c r="X57" s="924">
        <v>419</v>
      </c>
      <c r="Y57" s="924">
        <v>424</v>
      </c>
      <c r="Z57" s="924">
        <v>428</v>
      </c>
      <c r="AA57" s="924">
        <v>438</v>
      </c>
      <c r="AB57" s="924">
        <v>445</v>
      </c>
      <c r="AC57" s="924">
        <v>452</v>
      </c>
    </row>
    <row r="58" spans="1:29" s="1878" customFormat="1">
      <c r="A58" s="1880">
        <v>25.9</v>
      </c>
      <c r="B58" s="924">
        <v>282</v>
      </c>
      <c r="C58" s="924">
        <v>282</v>
      </c>
      <c r="D58" s="924">
        <v>296</v>
      </c>
      <c r="E58" s="924">
        <v>308</v>
      </c>
      <c r="F58" s="924">
        <v>319</v>
      </c>
      <c r="G58" s="924">
        <v>329</v>
      </c>
      <c r="H58" s="924">
        <v>337</v>
      </c>
      <c r="I58" s="924">
        <v>345</v>
      </c>
      <c r="J58" s="924">
        <v>351</v>
      </c>
      <c r="K58" s="924">
        <v>358</v>
      </c>
      <c r="L58" s="924">
        <v>364</v>
      </c>
      <c r="M58" s="924">
        <v>369</v>
      </c>
      <c r="N58" s="924">
        <v>374</v>
      </c>
      <c r="O58" s="924">
        <v>378</v>
      </c>
      <c r="P58" s="924">
        <v>383</v>
      </c>
      <c r="Q58" s="924">
        <v>387</v>
      </c>
      <c r="R58" s="924">
        <v>391</v>
      </c>
      <c r="S58" s="924">
        <v>394</v>
      </c>
      <c r="T58" s="924">
        <v>398</v>
      </c>
      <c r="U58" s="924">
        <v>401</v>
      </c>
      <c r="V58" s="924">
        <v>407</v>
      </c>
      <c r="W58" s="924">
        <v>412</v>
      </c>
      <c r="X58" s="924">
        <v>417</v>
      </c>
      <c r="Y58" s="924">
        <v>422</v>
      </c>
      <c r="Z58" s="924">
        <v>426</v>
      </c>
      <c r="AA58" s="924">
        <v>435</v>
      </c>
      <c r="AB58" s="924">
        <v>443</v>
      </c>
      <c r="AC58" s="924">
        <v>450</v>
      </c>
    </row>
    <row r="59" spans="1:29" s="1878" customFormat="1">
      <c r="A59" s="1880">
        <v>26</v>
      </c>
      <c r="B59" s="924">
        <v>280</v>
      </c>
      <c r="C59" s="924">
        <v>280</v>
      </c>
      <c r="D59" s="924">
        <v>294</v>
      </c>
      <c r="E59" s="924">
        <v>307</v>
      </c>
      <c r="F59" s="924">
        <v>317</v>
      </c>
      <c r="G59" s="924">
        <v>327</v>
      </c>
      <c r="H59" s="924">
        <v>335</v>
      </c>
      <c r="I59" s="924">
        <v>343</v>
      </c>
      <c r="J59" s="924">
        <v>349</v>
      </c>
      <c r="K59" s="924">
        <v>356</v>
      </c>
      <c r="L59" s="924">
        <v>361</v>
      </c>
      <c r="M59" s="924">
        <v>387</v>
      </c>
      <c r="N59" s="924">
        <v>372</v>
      </c>
      <c r="O59" s="924">
        <v>376</v>
      </c>
      <c r="P59" s="924">
        <v>381</v>
      </c>
      <c r="Q59" s="924">
        <v>385</v>
      </c>
      <c r="R59" s="924">
        <v>388</v>
      </c>
      <c r="S59" s="924">
        <v>392</v>
      </c>
      <c r="T59" s="924">
        <v>395</v>
      </c>
      <c r="U59" s="924">
        <v>399</v>
      </c>
      <c r="V59" s="924">
        <v>404</v>
      </c>
      <c r="W59" s="924">
        <v>410</v>
      </c>
      <c r="X59" s="924">
        <v>415</v>
      </c>
      <c r="Y59" s="924">
        <v>419</v>
      </c>
      <c r="Z59" s="924">
        <v>424</v>
      </c>
      <c r="AA59" s="924">
        <v>433</v>
      </c>
      <c r="AB59" s="924">
        <v>440</v>
      </c>
      <c r="AC59" s="924">
        <v>447</v>
      </c>
    </row>
    <row r="60" spans="1:29" s="1878" customFormat="1">
      <c r="A60" s="1880">
        <v>26.1</v>
      </c>
      <c r="B60" s="924">
        <v>278</v>
      </c>
      <c r="C60" s="924">
        <v>278</v>
      </c>
      <c r="D60" s="924">
        <v>293</v>
      </c>
      <c r="E60" s="924">
        <v>305</v>
      </c>
      <c r="F60" s="924">
        <v>316</v>
      </c>
      <c r="G60" s="924">
        <v>325</v>
      </c>
      <c r="H60" s="924">
        <v>333</v>
      </c>
      <c r="I60" s="924">
        <v>341</v>
      </c>
      <c r="J60" s="924">
        <v>348</v>
      </c>
      <c r="K60" s="924">
        <v>354</v>
      </c>
      <c r="L60" s="924">
        <v>359</v>
      </c>
      <c r="M60" s="924">
        <v>365</v>
      </c>
      <c r="N60" s="924">
        <v>370</v>
      </c>
      <c r="O60" s="924">
        <v>374</v>
      </c>
      <c r="P60" s="924">
        <v>278</v>
      </c>
      <c r="Q60" s="924">
        <v>382</v>
      </c>
      <c r="R60" s="924">
        <v>386</v>
      </c>
      <c r="S60" s="924">
        <v>390</v>
      </c>
      <c r="T60" s="924">
        <v>393</v>
      </c>
      <c r="U60" s="924">
        <v>396</v>
      </c>
      <c r="V60" s="924">
        <v>402</v>
      </c>
      <c r="W60" s="924">
        <v>408</v>
      </c>
      <c r="X60" s="924">
        <v>412</v>
      </c>
      <c r="Y60" s="924">
        <v>417</v>
      </c>
      <c r="Z60" s="924">
        <v>421</v>
      </c>
      <c r="AA60" s="924">
        <v>430</v>
      </c>
      <c r="AB60" s="924">
        <v>438</v>
      </c>
      <c r="AC60" s="924">
        <v>445</v>
      </c>
    </row>
    <row r="61" spans="1:29" s="1878" customFormat="1">
      <c r="A61" s="1880">
        <v>26.2</v>
      </c>
      <c r="B61" s="924">
        <v>277</v>
      </c>
      <c r="C61" s="924">
        <v>277</v>
      </c>
      <c r="D61" s="924">
        <v>283</v>
      </c>
      <c r="E61" s="924">
        <v>303</v>
      </c>
      <c r="F61" s="924">
        <v>314</v>
      </c>
      <c r="G61" s="924">
        <v>323</v>
      </c>
      <c r="H61" s="924">
        <v>331</v>
      </c>
      <c r="I61" s="924">
        <v>339</v>
      </c>
      <c r="J61" s="924">
        <v>346</v>
      </c>
      <c r="K61" s="924">
        <v>352</v>
      </c>
      <c r="L61" s="924">
        <v>357</v>
      </c>
      <c r="M61" s="924">
        <v>363</v>
      </c>
      <c r="N61" s="924">
        <v>367</v>
      </c>
      <c r="O61" s="924">
        <v>372</v>
      </c>
      <c r="P61" s="924">
        <v>376</v>
      </c>
      <c r="Q61" s="924">
        <v>380</v>
      </c>
      <c r="R61" s="924">
        <v>384</v>
      </c>
      <c r="S61" s="924">
        <v>388</v>
      </c>
      <c r="T61" s="924">
        <v>391</v>
      </c>
      <c r="U61" s="924">
        <v>394</v>
      </c>
      <c r="V61" s="924">
        <v>400</v>
      </c>
      <c r="W61" s="924">
        <v>405</v>
      </c>
      <c r="X61" s="924">
        <v>410</v>
      </c>
      <c r="Y61" s="924">
        <v>415</v>
      </c>
      <c r="Z61" s="924">
        <v>419</v>
      </c>
      <c r="AA61" s="924">
        <v>428</v>
      </c>
      <c r="AB61" s="924">
        <v>435</v>
      </c>
      <c r="AC61" s="924">
        <v>442</v>
      </c>
    </row>
    <row r="62" spans="1:29" s="1878" customFormat="1">
      <c r="A62" s="1880">
        <v>26.3</v>
      </c>
      <c r="B62" s="924">
        <v>275</v>
      </c>
      <c r="C62" s="924">
        <v>275</v>
      </c>
      <c r="D62" s="924">
        <v>289</v>
      </c>
      <c r="E62" s="924">
        <v>301</v>
      </c>
      <c r="F62" s="924">
        <v>312</v>
      </c>
      <c r="G62" s="924">
        <v>321</v>
      </c>
      <c r="H62" s="924">
        <v>329</v>
      </c>
      <c r="I62" s="924">
        <v>337</v>
      </c>
      <c r="J62" s="924">
        <v>343</v>
      </c>
      <c r="K62" s="924">
        <v>350</v>
      </c>
      <c r="L62" s="924">
        <v>355</v>
      </c>
      <c r="M62" s="924">
        <v>361</v>
      </c>
      <c r="N62" s="924">
        <v>365</v>
      </c>
      <c r="O62" s="924">
        <v>370</v>
      </c>
      <c r="P62" s="924">
        <v>374</v>
      </c>
      <c r="Q62" s="924">
        <v>378</v>
      </c>
      <c r="R62" s="924">
        <v>382</v>
      </c>
      <c r="S62" s="924">
        <v>385</v>
      </c>
      <c r="T62" s="924">
        <v>389</v>
      </c>
      <c r="U62" s="924">
        <v>392</v>
      </c>
      <c r="V62" s="924">
        <v>398</v>
      </c>
      <c r="W62" s="924">
        <v>403</v>
      </c>
      <c r="X62" s="924">
        <v>408</v>
      </c>
      <c r="Y62" s="924">
        <v>412</v>
      </c>
      <c r="Z62" s="924">
        <v>416</v>
      </c>
      <c r="AA62" s="924">
        <v>425</v>
      </c>
      <c r="AB62" s="924">
        <v>433</v>
      </c>
      <c r="AC62" s="924">
        <v>440</v>
      </c>
    </row>
    <row r="63" spans="1:29" s="1878" customFormat="1">
      <c r="A63" s="1880">
        <v>26.4</v>
      </c>
      <c r="B63" s="924">
        <v>274</v>
      </c>
      <c r="C63" s="924">
        <v>274</v>
      </c>
      <c r="D63" s="924">
        <v>288</v>
      </c>
      <c r="E63" s="924">
        <v>300</v>
      </c>
      <c r="F63" s="924">
        <v>310</v>
      </c>
      <c r="G63" s="924">
        <v>319</v>
      </c>
      <c r="H63" s="924">
        <v>327</v>
      </c>
      <c r="I63" s="924">
        <v>333</v>
      </c>
      <c r="J63" s="924">
        <v>341</v>
      </c>
      <c r="K63" s="924">
        <v>348</v>
      </c>
      <c r="L63" s="924">
        <v>353</v>
      </c>
      <c r="M63" s="924">
        <v>358</v>
      </c>
      <c r="N63" s="924">
        <v>363</v>
      </c>
      <c r="O63" s="924">
        <v>368</v>
      </c>
      <c r="P63" s="924">
        <v>372</v>
      </c>
      <c r="Q63" s="924">
        <v>378</v>
      </c>
      <c r="R63" s="924">
        <v>380</v>
      </c>
      <c r="S63" s="924">
        <v>383</v>
      </c>
      <c r="T63" s="924">
        <v>386</v>
      </c>
      <c r="U63" s="924">
        <v>389</v>
      </c>
      <c r="V63" s="924">
        <v>395</v>
      </c>
      <c r="W63" s="924">
        <v>401</v>
      </c>
      <c r="X63" s="924">
        <v>405</v>
      </c>
      <c r="Y63" s="924">
        <v>410</v>
      </c>
      <c r="Z63" s="924">
        <v>414</v>
      </c>
      <c r="AA63" s="924">
        <v>423</v>
      </c>
      <c r="AB63" s="924">
        <v>430</v>
      </c>
      <c r="AC63" s="924">
        <v>437</v>
      </c>
    </row>
    <row r="64" spans="1:29" s="1878" customFormat="1">
      <c r="A64" s="1880">
        <v>26.5</v>
      </c>
      <c r="B64" s="924">
        <v>272</v>
      </c>
      <c r="C64" s="924">
        <v>272</v>
      </c>
      <c r="D64" s="924">
        <v>286</v>
      </c>
      <c r="E64" s="924">
        <v>298</v>
      </c>
      <c r="F64" s="924">
        <v>306</v>
      </c>
      <c r="G64" s="924">
        <v>317</v>
      </c>
      <c r="H64" s="924">
        <v>325</v>
      </c>
      <c r="I64" s="924">
        <v>333</v>
      </c>
      <c r="J64" s="924">
        <v>339</v>
      </c>
      <c r="K64" s="924">
        <v>346</v>
      </c>
      <c r="L64" s="924">
        <v>351</v>
      </c>
      <c r="M64" s="924">
        <v>356</v>
      </c>
      <c r="N64" s="924">
        <v>361</v>
      </c>
      <c r="O64" s="924">
        <v>366</v>
      </c>
      <c r="P64" s="924">
        <v>370</v>
      </c>
      <c r="Q64" s="924">
        <v>374</v>
      </c>
      <c r="R64" s="924">
        <v>377</v>
      </c>
      <c r="S64" s="924">
        <v>381</v>
      </c>
      <c r="T64" s="924">
        <v>384</v>
      </c>
      <c r="U64" s="924">
        <v>387</v>
      </c>
      <c r="V64" s="924">
        <v>393</v>
      </c>
      <c r="W64" s="924">
        <v>398</v>
      </c>
      <c r="X64" s="924">
        <v>403</v>
      </c>
      <c r="Y64" s="924">
        <v>407</v>
      </c>
      <c r="Z64" s="924">
        <v>411</v>
      </c>
      <c r="AA64" s="924">
        <v>420</v>
      </c>
      <c r="AB64" s="924">
        <v>428</v>
      </c>
      <c r="AC64" s="924">
        <v>434</v>
      </c>
    </row>
    <row r="65" spans="1:29" s="1878" customFormat="1">
      <c r="A65" s="1880">
        <v>26.6</v>
      </c>
      <c r="B65" s="924">
        <v>270</v>
      </c>
      <c r="C65" s="924">
        <v>270</v>
      </c>
      <c r="D65" s="924">
        <v>284</v>
      </c>
      <c r="E65" s="924">
        <v>296</v>
      </c>
      <c r="F65" s="924">
        <v>306</v>
      </c>
      <c r="G65" s="924">
        <v>315</v>
      </c>
      <c r="H65" s="924">
        <v>324</v>
      </c>
      <c r="I65" s="924">
        <v>330</v>
      </c>
      <c r="J65" s="924">
        <v>337</v>
      </c>
      <c r="K65" s="924">
        <v>343</v>
      </c>
      <c r="L65" s="924">
        <v>349</v>
      </c>
      <c r="M65" s="924">
        <v>354</v>
      </c>
      <c r="N65" s="924">
        <v>359</v>
      </c>
      <c r="O65" s="924">
        <v>363</v>
      </c>
      <c r="P65" s="924">
        <v>368</v>
      </c>
      <c r="Q65" s="924">
        <v>371</v>
      </c>
      <c r="R65" s="924">
        <v>375</v>
      </c>
      <c r="S65" s="924">
        <v>379</v>
      </c>
      <c r="T65" s="924">
        <v>382</v>
      </c>
      <c r="U65" s="924">
        <v>385</v>
      </c>
      <c r="V65" s="924">
        <v>391</v>
      </c>
      <c r="W65" s="924">
        <v>396</v>
      </c>
      <c r="X65" s="924">
        <v>401</v>
      </c>
      <c r="Y65" s="924">
        <v>405</v>
      </c>
      <c r="Z65" s="924">
        <v>409</v>
      </c>
      <c r="AA65" s="924">
        <v>418</v>
      </c>
      <c r="AB65" s="924">
        <v>425</v>
      </c>
      <c r="AC65" s="924">
        <v>432</v>
      </c>
    </row>
    <row r="66" spans="1:29" s="1878" customFormat="1">
      <c r="A66" s="1880">
        <v>26.7</v>
      </c>
      <c r="B66" s="924">
        <v>269</v>
      </c>
      <c r="C66" s="924">
        <v>269</v>
      </c>
      <c r="D66" s="924">
        <v>283</v>
      </c>
      <c r="E66" s="924">
        <v>294</v>
      </c>
      <c r="F66" s="924">
        <v>305</v>
      </c>
      <c r="G66" s="924">
        <v>314</v>
      </c>
      <c r="H66" s="924">
        <v>322</v>
      </c>
      <c r="I66" s="924">
        <v>329</v>
      </c>
      <c r="J66" s="924">
        <v>335</v>
      </c>
      <c r="K66" s="924">
        <v>341</v>
      </c>
      <c r="L66" s="924">
        <v>347</v>
      </c>
      <c r="M66" s="924">
        <v>352</v>
      </c>
      <c r="N66" s="924">
        <v>357</v>
      </c>
      <c r="O66" s="924">
        <v>361</v>
      </c>
      <c r="P66" s="924">
        <v>366</v>
      </c>
      <c r="Q66" s="924">
        <v>369</v>
      </c>
      <c r="R66" s="924">
        <v>373</v>
      </c>
      <c r="S66" s="924">
        <v>378</v>
      </c>
      <c r="T66" s="924">
        <v>379</v>
      </c>
      <c r="U66" s="924">
        <v>383</v>
      </c>
      <c r="V66" s="924">
        <v>388</v>
      </c>
      <c r="W66" s="924">
        <v>393</v>
      </c>
      <c r="X66" s="924">
        <v>398</v>
      </c>
      <c r="Y66" s="924">
        <v>403</v>
      </c>
      <c r="Z66" s="924">
        <v>407</v>
      </c>
      <c r="AA66" s="924">
        <v>415</v>
      </c>
      <c r="AB66" s="924">
        <v>423</v>
      </c>
      <c r="AC66" s="924">
        <v>429</v>
      </c>
    </row>
    <row r="67" spans="1:29" s="1878" customFormat="1">
      <c r="A67" s="1880">
        <v>26.8</v>
      </c>
      <c r="B67" s="924">
        <v>267</v>
      </c>
      <c r="C67" s="924">
        <v>267</v>
      </c>
      <c r="D67" s="924">
        <v>281</v>
      </c>
      <c r="E67" s="924">
        <v>292</v>
      </c>
      <c r="F67" s="924">
        <v>303</v>
      </c>
      <c r="G67" s="924">
        <v>312</v>
      </c>
      <c r="H67" s="924">
        <v>320</v>
      </c>
      <c r="I67" s="924">
        <v>327</v>
      </c>
      <c r="J67" s="924">
        <v>333</v>
      </c>
      <c r="K67" s="924">
        <v>339</v>
      </c>
      <c r="L67" s="924">
        <v>345</v>
      </c>
      <c r="M67" s="924">
        <v>350</v>
      </c>
      <c r="N67" s="924">
        <v>355</v>
      </c>
      <c r="O67" s="924">
        <v>359</v>
      </c>
      <c r="P67" s="924">
        <v>363</v>
      </c>
      <c r="Q67" s="924">
        <v>367</v>
      </c>
      <c r="R67" s="924">
        <v>371</v>
      </c>
      <c r="S67" s="924">
        <v>374</v>
      </c>
      <c r="T67" s="924">
        <v>377</v>
      </c>
      <c r="U67" s="924">
        <v>380</v>
      </c>
      <c r="V67" s="924">
        <v>386</v>
      </c>
      <c r="W67" s="924">
        <v>391</v>
      </c>
      <c r="X67" s="924">
        <v>396</v>
      </c>
      <c r="Y67" s="924">
        <v>400</v>
      </c>
      <c r="Z67" s="924">
        <v>404</v>
      </c>
      <c r="AA67" s="924">
        <v>413</v>
      </c>
      <c r="AB67" s="924">
        <v>420</v>
      </c>
      <c r="AC67" s="924">
        <v>427</v>
      </c>
    </row>
    <row r="68" spans="1:29" s="1878" customFormat="1">
      <c r="A68" s="1880">
        <v>26.9</v>
      </c>
      <c r="B68" s="924">
        <v>265</v>
      </c>
      <c r="C68" s="924">
        <v>265</v>
      </c>
      <c r="D68" s="924">
        <v>278</v>
      </c>
      <c r="E68" s="924">
        <v>291</v>
      </c>
      <c r="F68" s="924">
        <v>301</v>
      </c>
      <c r="G68" s="924">
        <v>310</v>
      </c>
      <c r="H68" s="924">
        <v>318</v>
      </c>
      <c r="I68" s="924">
        <v>325</v>
      </c>
      <c r="J68" s="924">
        <v>331</v>
      </c>
      <c r="K68" s="924">
        <v>337</v>
      </c>
      <c r="L68" s="924">
        <v>343</v>
      </c>
      <c r="M68" s="924">
        <v>348</v>
      </c>
      <c r="N68" s="924">
        <v>352</v>
      </c>
      <c r="O68" s="924">
        <v>357</v>
      </c>
      <c r="P68" s="924">
        <v>361</v>
      </c>
      <c r="Q68" s="924">
        <v>365</v>
      </c>
      <c r="R68" s="924">
        <v>368</v>
      </c>
      <c r="S68" s="924">
        <v>372</v>
      </c>
      <c r="T68" s="924">
        <v>375</v>
      </c>
      <c r="U68" s="924">
        <v>378</v>
      </c>
      <c r="V68" s="924">
        <v>384</v>
      </c>
      <c r="W68" s="924">
        <v>389</v>
      </c>
      <c r="X68" s="924">
        <v>393</v>
      </c>
      <c r="Y68" s="924">
        <v>398</v>
      </c>
      <c r="Z68" s="924">
        <v>402</v>
      </c>
      <c r="AA68" s="924">
        <v>410</v>
      </c>
      <c r="AB68" s="924">
        <v>418</v>
      </c>
      <c r="AC68" s="924">
        <v>424</v>
      </c>
    </row>
    <row r="69" spans="1:29" s="1878" customFormat="1">
      <c r="A69" s="1880">
        <v>27</v>
      </c>
      <c r="B69" s="924">
        <v>264</v>
      </c>
      <c r="C69" s="924">
        <v>264</v>
      </c>
      <c r="D69" s="924">
        <v>277</v>
      </c>
      <c r="E69" s="924">
        <v>289</v>
      </c>
      <c r="F69" s="924">
        <v>299</v>
      </c>
      <c r="G69" s="924">
        <v>308</v>
      </c>
      <c r="H69" s="924">
        <v>316</v>
      </c>
      <c r="I69" s="924">
        <v>323</v>
      </c>
      <c r="J69" s="924">
        <v>329</v>
      </c>
      <c r="K69" s="924">
        <v>335</v>
      </c>
      <c r="L69" s="924">
        <v>341</v>
      </c>
      <c r="M69" s="924">
        <v>346</v>
      </c>
      <c r="N69" s="924">
        <v>350</v>
      </c>
      <c r="O69" s="924">
        <v>355</v>
      </c>
      <c r="P69" s="924">
        <v>359</v>
      </c>
      <c r="Q69" s="924">
        <v>362</v>
      </c>
      <c r="R69" s="924">
        <v>368</v>
      </c>
      <c r="S69" s="924">
        <v>369</v>
      </c>
      <c r="T69" s="924">
        <v>373</v>
      </c>
      <c r="U69" s="924">
        <v>376</v>
      </c>
      <c r="V69" s="924">
        <v>381</v>
      </c>
      <c r="W69" s="924">
        <v>386</v>
      </c>
      <c r="X69" s="924">
        <v>391</v>
      </c>
      <c r="Y69" s="924">
        <v>395</v>
      </c>
      <c r="Z69" s="924">
        <v>399</v>
      </c>
      <c r="AA69" s="924">
        <v>408</v>
      </c>
      <c r="AB69" s="924">
        <v>415</v>
      </c>
      <c r="AC69" s="924">
        <v>421</v>
      </c>
    </row>
    <row r="70" spans="1:29" s="1878" customFormat="1">
      <c r="A70" s="1880">
        <v>27.1</v>
      </c>
      <c r="B70" s="924">
        <v>262</v>
      </c>
      <c r="C70" s="924">
        <v>262</v>
      </c>
      <c r="D70" s="924">
        <v>276</v>
      </c>
      <c r="E70" s="924">
        <v>287</v>
      </c>
      <c r="F70" s="924">
        <v>297</v>
      </c>
      <c r="G70" s="924">
        <v>306</v>
      </c>
      <c r="H70" s="924">
        <v>314</v>
      </c>
      <c r="I70" s="924">
        <v>321</v>
      </c>
      <c r="J70" s="924">
        <v>327</v>
      </c>
      <c r="K70" s="924">
        <v>333</v>
      </c>
      <c r="L70" s="924">
        <v>338</v>
      </c>
      <c r="M70" s="924">
        <v>343</v>
      </c>
      <c r="N70" s="924">
        <v>346</v>
      </c>
      <c r="O70" s="924">
        <v>352</v>
      </c>
      <c r="P70" s="924">
        <v>356</v>
      </c>
      <c r="Q70" s="924">
        <v>360</v>
      </c>
      <c r="R70" s="924">
        <v>364</v>
      </c>
      <c r="S70" s="924">
        <v>367</v>
      </c>
      <c r="T70" s="924">
        <v>370</v>
      </c>
      <c r="U70" s="924">
        <v>373</v>
      </c>
      <c r="V70" s="924">
        <v>379</v>
      </c>
      <c r="W70" s="924">
        <v>384</v>
      </c>
      <c r="X70" s="924">
        <v>388</v>
      </c>
      <c r="Y70" s="924">
        <v>393</v>
      </c>
      <c r="Z70" s="924">
        <v>397</v>
      </c>
      <c r="AA70" s="924">
        <v>405</v>
      </c>
      <c r="AB70" s="924">
        <v>413</v>
      </c>
      <c r="AC70" s="924">
        <v>419</v>
      </c>
    </row>
    <row r="71" spans="1:29" s="1878" customFormat="1">
      <c r="A71" s="1880">
        <v>27.2</v>
      </c>
      <c r="B71" s="924">
        <v>260</v>
      </c>
      <c r="C71" s="924">
        <v>260</v>
      </c>
      <c r="D71" s="924">
        <v>274</v>
      </c>
      <c r="E71" s="924">
        <v>285</v>
      </c>
      <c r="F71" s="924">
        <v>295</v>
      </c>
      <c r="G71" s="924">
        <v>304</v>
      </c>
      <c r="H71" s="924">
        <v>312</v>
      </c>
      <c r="I71" s="924">
        <v>319</v>
      </c>
      <c r="J71" s="924">
        <v>325</v>
      </c>
      <c r="K71" s="924">
        <v>331</v>
      </c>
      <c r="L71" s="924">
        <v>338</v>
      </c>
      <c r="M71" s="924">
        <v>341</v>
      </c>
      <c r="N71" s="924">
        <v>346</v>
      </c>
      <c r="O71" s="924">
        <v>350</v>
      </c>
      <c r="P71" s="924">
        <v>354</v>
      </c>
      <c r="Q71" s="924">
        <v>358</v>
      </c>
      <c r="R71" s="924">
        <v>361</v>
      </c>
      <c r="S71" s="924">
        <v>365</v>
      </c>
      <c r="T71" s="924">
        <v>368</v>
      </c>
      <c r="U71" s="924">
        <v>371</v>
      </c>
      <c r="V71" s="924">
        <v>376</v>
      </c>
      <c r="W71" s="924">
        <v>381</v>
      </c>
      <c r="X71" s="924">
        <v>386</v>
      </c>
      <c r="Y71" s="924">
        <v>390</v>
      </c>
      <c r="Z71" s="924">
        <v>396</v>
      </c>
      <c r="AA71" s="924">
        <v>403</v>
      </c>
      <c r="AB71" s="924">
        <v>410</v>
      </c>
      <c r="AC71" s="924">
        <v>416</v>
      </c>
    </row>
    <row r="72" spans="1:29" s="1878" customFormat="1">
      <c r="A72" s="1880">
        <v>27.3</v>
      </c>
      <c r="B72" s="924">
        <v>259</v>
      </c>
      <c r="C72" s="924">
        <v>259</v>
      </c>
      <c r="D72" s="924">
        <v>272</v>
      </c>
      <c r="E72" s="924">
        <v>283</v>
      </c>
      <c r="F72" s="924">
        <v>294</v>
      </c>
      <c r="G72" s="924">
        <v>302</v>
      </c>
      <c r="H72" s="924">
        <v>310</v>
      </c>
      <c r="I72" s="924">
        <v>317</v>
      </c>
      <c r="J72" s="924">
        <v>323</v>
      </c>
      <c r="K72" s="924">
        <v>329</v>
      </c>
      <c r="L72" s="924">
        <v>334</v>
      </c>
      <c r="M72" s="924">
        <v>339</v>
      </c>
      <c r="N72" s="924">
        <v>344</v>
      </c>
      <c r="O72" s="924">
        <v>348</v>
      </c>
      <c r="P72" s="924">
        <v>352</v>
      </c>
      <c r="Q72" s="924">
        <v>356</v>
      </c>
      <c r="R72" s="924">
        <v>359</v>
      </c>
      <c r="S72" s="924">
        <v>362</v>
      </c>
      <c r="T72" s="924">
        <v>366</v>
      </c>
      <c r="U72" s="924">
        <v>368</v>
      </c>
      <c r="V72" s="924">
        <v>374</v>
      </c>
      <c r="W72" s="924">
        <v>379</v>
      </c>
      <c r="X72" s="924">
        <v>384</v>
      </c>
      <c r="Y72" s="924">
        <v>388</v>
      </c>
      <c r="Z72" s="924">
        <v>392</v>
      </c>
      <c r="AA72" s="924">
        <v>400</v>
      </c>
      <c r="AB72" s="924">
        <v>407</v>
      </c>
      <c r="AC72" s="924">
        <v>413</v>
      </c>
    </row>
    <row r="73" spans="1:29" s="1878" customFormat="1">
      <c r="A73" s="1880">
        <v>27.4</v>
      </c>
      <c r="B73" s="924">
        <v>257</v>
      </c>
      <c r="C73" s="924">
        <v>257</v>
      </c>
      <c r="D73" s="924">
        <v>270</v>
      </c>
      <c r="E73" s="924">
        <v>282</v>
      </c>
      <c r="F73" s="924">
        <v>291</v>
      </c>
      <c r="G73" s="924">
        <v>300</v>
      </c>
      <c r="H73" s="924">
        <v>308</v>
      </c>
      <c r="I73" s="924">
        <v>315</v>
      </c>
      <c r="J73" s="924">
        <v>321</v>
      </c>
      <c r="K73" s="924">
        <v>327</v>
      </c>
      <c r="L73" s="924">
        <v>332</v>
      </c>
      <c r="M73" s="924">
        <v>337</v>
      </c>
      <c r="N73" s="924">
        <v>341</v>
      </c>
      <c r="O73" s="924">
        <v>346</v>
      </c>
      <c r="P73" s="924">
        <v>350</v>
      </c>
      <c r="Q73" s="924">
        <v>353</v>
      </c>
      <c r="R73" s="924">
        <v>357</v>
      </c>
      <c r="S73" s="924">
        <v>360</v>
      </c>
      <c r="T73" s="924">
        <v>363</v>
      </c>
      <c r="U73" s="924">
        <v>366</v>
      </c>
      <c r="V73" s="924">
        <v>372</v>
      </c>
      <c r="W73" s="924">
        <v>377</v>
      </c>
      <c r="X73" s="924">
        <v>381</v>
      </c>
      <c r="Y73" s="924">
        <v>385</v>
      </c>
      <c r="Z73" s="924">
        <v>389</v>
      </c>
      <c r="AA73" s="924">
        <v>398</v>
      </c>
      <c r="AB73" s="924">
        <v>405</v>
      </c>
      <c r="AC73" s="924">
        <v>411</v>
      </c>
    </row>
    <row r="74" spans="1:29" s="1878" customFormat="1">
      <c r="A74" s="1880">
        <v>27.5</v>
      </c>
      <c r="B74" s="924">
        <v>255</v>
      </c>
      <c r="C74" s="924">
        <v>255</v>
      </c>
      <c r="D74" s="924">
        <v>268</v>
      </c>
      <c r="E74" s="924">
        <v>280</v>
      </c>
      <c r="F74" s="924">
        <v>289</v>
      </c>
      <c r="G74" s="924">
        <v>298</v>
      </c>
      <c r="H74" s="924">
        <v>306</v>
      </c>
      <c r="I74" s="924">
        <v>313</v>
      </c>
      <c r="J74" s="924">
        <v>319</v>
      </c>
      <c r="K74" s="924">
        <v>325</v>
      </c>
      <c r="L74" s="924">
        <v>330</v>
      </c>
      <c r="M74" s="924">
        <v>335</v>
      </c>
      <c r="N74" s="924">
        <v>339</v>
      </c>
      <c r="O74" s="924">
        <v>343</v>
      </c>
      <c r="P74" s="924">
        <v>347</v>
      </c>
      <c r="Q74" s="924">
        <v>351</v>
      </c>
      <c r="R74" s="924">
        <v>354</v>
      </c>
      <c r="S74" s="924">
        <v>358</v>
      </c>
      <c r="T74" s="924">
        <v>361</v>
      </c>
      <c r="U74" s="924">
        <v>364</v>
      </c>
      <c r="V74" s="924">
        <v>369</v>
      </c>
      <c r="W74" s="924">
        <v>374</v>
      </c>
      <c r="X74" s="924">
        <v>379</v>
      </c>
      <c r="Y74" s="924">
        <v>383</v>
      </c>
      <c r="Z74" s="924">
        <v>387</v>
      </c>
      <c r="AA74" s="924">
        <v>395</v>
      </c>
      <c r="AB74" s="924">
        <v>402</v>
      </c>
      <c r="AC74" s="924">
        <v>408</v>
      </c>
    </row>
    <row r="75" spans="1:29" s="1878" customFormat="1">
      <c r="A75" s="1880">
        <v>27.6</v>
      </c>
      <c r="B75" s="924">
        <v>254</v>
      </c>
      <c r="C75" s="924">
        <v>254</v>
      </c>
      <c r="D75" s="924">
        <v>267</v>
      </c>
      <c r="E75" s="924">
        <v>278</v>
      </c>
      <c r="F75" s="924">
        <v>287</v>
      </c>
      <c r="G75" s="924">
        <v>296</v>
      </c>
      <c r="H75" s="924">
        <v>304</v>
      </c>
      <c r="I75" s="924">
        <v>310</v>
      </c>
      <c r="J75" s="924">
        <v>317</v>
      </c>
      <c r="K75" s="924">
        <v>322</v>
      </c>
      <c r="L75" s="924">
        <v>328</v>
      </c>
      <c r="M75" s="924">
        <v>332</v>
      </c>
      <c r="N75" s="924">
        <v>337</v>
      </c>
      <c r="O75" s="924">
        <v>341</v>
      </c>
      <c r="P75" s="924">
        <v>345</v>
      </c>
      <c r="Q75" s="924">
        <v>349</v>
      </c>
      <c r="R75" s="924">
        <v>352</v>
      </c>
      <c r="S75" s="924">
        <v>355</v>
      </c>
      <c r="T75" s="924">
        <v>358</v>
      </c>
      <c r="U75" s="924">
        <v>361</v>
      </c>
      <c r="V75" s="924">
        <v>367</v>
      </c>
      <c r="W75" s="924">
        <v>372</v>
      </c>
      <c r="X75" s="924">
        <v>376</v>
      </c>
      <c r="Y75" s="924">
        <v>380</v>
      </c>
      <c r="Z75" s="924">
        <v>384</v>
      </c>
      <c r="AA75" s="924">
        <v>392</v>
      </c>
      <c r="AB75" s="924">
        <v>399</v>
      </c>
      <c r="AC75" s="924">
        <v>405</v>
      </c>
    </row>
    <row r="76" spans="1:29" s="1878" customFormat="1">
      <c r="A76" s="1880">
        <v>27.7</v>
      </c>
      <c r="B76" s="924">
        <v>252</v>
      </c>
      <c r="C76" s="924">
        <v>252</v>
      </c>
      <c r="D76" s="924">
        <v>265</v>
      </c>
      <c r="E76" s="924">
        <v>276</v>
      </c>
      <c r="F76" s="924">
        <v>286</v>
      </c>
      <c r="G76" s="924">
        <v>294</v>
      </c>
      <c r="H76" s="924">
        <v>302</v>
      </c>
      <c r="I76" s="924">
        <v>308</v>
      </c>
      <c r="J76" s="924">
        <v>315</v>
      </c>
      <c r="K76" s="924">
        <v>320</v>
      </c>
      <c r="L76" s="924">
        <v>325</v>
      </c>
      <c r="M76" s="924">
        <v>330</v>
      </c>
      <c r="N76" s="924">
        <v>335</v>
      </c>
      <c r="O76" s="924">
        <v>339</v>
      </c>
      <c r="P76" s="924">
        <v>343</v>
      </c>
      <c r="Q76" s="924">
        <v>346</v>
      </c>
      <c r="R76" s="924">
        <v>350</v>
      </c>
      <c r="S76" s="924">
        <v>353</v>
      </c>
      <c r="T76" s="924">
        <v>356</v>
      </c>
      <c r="U76" s="924">
        <v>359</v>
      </c>
      <c r="V76" s="924">
        <v>364</v>
      </c>
      <c r="W76" s="924">
        <v>369</v>
      </c>
      <c r="X76" s="924">
        <v>374</v>
      </c>
      <c r="Y76" s="924">
        <v>378</v>
      </c>
      <c r="Z76" s="924">
        <v>381</v>
      </c>
      <c r="AA76" s="924">
        <v>390</v>
      </c>
      <c r="AB76" s="924">
        <v>397</v>
      </c>
      <c r="AC76" s="924">
        <v>403</v>
      </c>
    </row>
    <row r="77" spans="1:29" s="1878" customFormat="1">
      <c r="A77" s="1880">
        <v>27.8</v>
      </c>
      <c r="B77" s="924">
        <v>250</v>
      </c>
      <c r="C77" s="924">
        <v>250</v>
      </c>
      <c r="D77" s="924">
        <v>263</v>
      </c>
      <c r="E77" s="924">
        <v>274</v>
      </c>
      <c r="F77" s="924">
        <v>284</v>
      </c>
      <c r="G77" s="924">
        <v>292</v>
      </c>
      <c r="H77" s="924">
        <v>300</v>
      </c>
      <c r="I77" s="924">
        <v>306</v>
      </c>
      <c r="J77" s="924">
        <v>312</v>
      </c>
      <c r="K77" s="924">
        <v>318</v>
      </c>
      <c r="L77" s="924">
        <v>323</v>
      </c>
      <c r="M77" s="924">
        <v>328</v>
      </c>
      <c r="N77" s="924">
        <v>332</v>
      </c>
      <c r="O77" s="924">
        <v>337</v>
      </c>
      <c r="P77" s="924">
        <v>340</v>
      </c>
      <c r="Q77" s="924">
        <v>344</v>
      </c>
      <c r="R77" s="924">
        <v>347</v>
      </c>
      <c r="S77" s="924">
        <v>351</v>
      </c>
      <c r="T77" s="924">
        <v>354</v>
      </c>
      <c r="U77" s="924">
        <v>357</v>
      </c>
      <c r="V77" s="924">
        <v>362</v>
      </c>
      <c r="W77" s="924">
        <v>367</v>
      </c>
      <c r="X77" s="924">
        <v>371</v>
      </c>
      <c r="Y77" s="924">
        <v>375</v>
      </c>
      <c r="Z77" s="924">
        <v>379</v>
      </c>
      <c r="AA77" s="924">
        <v>387</v>
      </c>
      <c r="AB77" s="924">
        <v>394</v>
      </c>
      <c r="AC77" s="924">
        <v>400</v>
      </c>
    </row>
    <row r="78" spans="1:29" s="1878" customFormat="1">
      <c r="A78" s="1880">
        <v>27.9</v>
      </c>
      <c r="B78" s="924">
        <v>248</v>
      </c>
      <c r="C78" s="924">
        <v>248</v>
      </c>
      <c r="D78" s="924">
        <v>261</v>
      </c>
      <c r="E78" s="924">
        <v>272</v>
      </c>
      <c r="F78" s="924">
        <v>282</v>
      </c>
      <c r="G78" s="924">
        <v>290</v>
      </c>
      <c r="H78" s="924">
        <v>298</v>
      </c>
      <c r="I78" s="924">
        <v>304</v>
      </c>
      <c r="J78" s="924">
        <v>310</v>
      </c>
      <c r="K78" s="924">
        <v>316</v>
      </c>
      <c r="L78" s="924">
        <v>321</v>
      </c>
      <c r="M78" s="924">
        <v>326</v>
      </c>
      <c r="N78" s="924">
        <v>330</v>
      </c>
      <c r="O78" s="924">
        <v>334</v>
      </c>
      <c r="P78" s="924">
        <v>338</v>
      </c>
      <c r="Q78" s="924">
        <v>342</v>
      </c>
      <c r="R78" s="924">
        <v>345</v>
      </c>
      <c r="S78" s="924">
        <v>348</v>
      </c>
      <c r="T78" s="924">
        <v>351</v>
      </c>
      <c r="U78" s="924">
        <v>354</v>
      </c>
      <c r="V78" s="924">
        <v>359</v>
      </c>
      <c r="W78" s="924">
        <v>364</v>
      </c>
      <c r="X78" s="924">
        <v>369</v>
      </c>
      <c r="Y78" s="924">
        <v>373</v>
      </c>
      <c r="Z78" s="924">
        <v>376</v>
      </c>
      <c r="AA78" s="924">
        <v>385</v>
      </c>
      <c r="AB78" s="924">
        <v>391</v>
      </c>
      <c r="AC78" s="924">
        <v>397</v>
      </c>
    </row>
    <row r="79" spans="1:29" s="1878" customFormat="1">
      <c r="A79" s="1880">
        <v>28</v>
      </c>
      <c r="B79" s="924">
        <v>247</v>
      </c>
      <c r="C79" s="924">
        <v>247</v>
      </c>
      <c r="D79" s="924">
        <v>259</v>
      </c>
      <c r="E79" s="924">
        <v>270</v>
      </c>
      <c r="F79" s="924">
        <v>280</v>
      </c>
      <c r="G79" s="924">
        <v>288</v>
      </c>
      <c r="H79" s="924">
        <v>295</v>
      </c>
      <c r="I79" s="924">
        <v>302</v>
      </c>
      <c r="J79" s="924">
        <v>308</v>
      </c>
      <c r="K79" s="924">
        <v>314</v>
      </c>
      <c r="L79" s="924">
        <v>319</v>
      </c>
      <c r="M79" s="924">
        <v>324</v>
      </c>
      <c r="N79" s="924">
        <v>328</v>
      </c>
      <c r="O79" s="924">
        <v>332</v>
      </c>
      <c r="P79" s="924">
        <v>336</v>
      </c>
      <c r="Q79" s="924">
        <v>339</v>
      </c>
      <c r="R79" s="924">
        <v>343</v>
      </c>
      <c r="S79" s="924">
        <v>346</v>
      </c>
      <c r="T79" s="924">
        <v>349</v>
      </c>
      <c r="U79" s="924">
        <v>352</v>
      </c>
      <c r="V79" s="924">
        <v>357</v>
      </c>
      <c r="W79" s="924">
        <v>362</v>
      </c>
      <c r="X79" s="924">
        <v>366</v>
      </c>
      <c r="Y79" s="924">
        <v>370</v>
      </c>
      <c r="Z79" s="924">
        <v>374</v>
      </c>
      <c r="AA79" s="924">
        <v>382</v>
      </c>
      <c r="AB79" s="924">
        <v>389</v>
      </c>
      <c r="AC79" s="924">
        <v>395</v>
      </c>
    </row>
    <row r="80" spans="1:29" s="1878" customFormat="1">
      <c r="A80" s="1880">
        <v>28.1</v>
      </c>
      <c r="B80" s="924">
        <v>245</v>
      </c>
      <c r="C80" s="924">
        <v>245</v>
      </c>
      <c r="D80" s="924">
        <v>258</v>
      </c>
      <c r="E80" s="924">
        <v>268</v>
      </c>
      <c r="F80" s="924">
        <v>278</v>
      </c>
      <c r="G80" s="924">
        <v>286</v>
      </c>
      <c r="H80" s="924">
        <v>293</v>
      </c>
      <c r="I80" s="924">
        <v>300</v>
      </c>
      <c r="J80" s="924">
        <v>306</v>
      </c>
      <c r="K80" s="924">
        <v>312</v>
      </c>
      <c r="L80" s="924">
        <v>317</v>
      </c>
      <c r="M80" s="924">
        <v>321</v>
      </c>
      <c r="N80" s="924">
        <v>326</v>
      </c>
      <c r="O80" s="924">
        <v>330</v>
      </c>
      <c r="P80" s="924">
        <v>333</v>
      </c>
      <c r="Q80" s="924">
        <v>337</v>
      </c>
      <c r="R80" s="924">
        <v>340</v>
      </c>
      <c r="S80" s="924">
        <v>343</v>
      </c>
      <c r="T80" s="924">
        <v>346</v>
      </c>
      <c r="U80" s="924">
        <v>349</v>
      </c>
      <c r="V80" s="924">
        <v>354</v>
      </c>
      <c r="W80" s="924">
        <v>359</v>
      </c>
      <c r="X80" s="924">
        <v>364</v>
      </c>
      <c r="Y80" s="924">
        <v>367</v>
      </c>
      <c r="Z80" s="924">
        <v>371</v>
      </c>
      <c r="AA80" s="924">
        <v>379</v>
      </c>
      <c r="AB80" s="924">
        <v>386</v>
      </c>
      <c r="AC80" s="924">
        <v>392</v>
      </c>
    </row>
    <row r="81" spans="1:29" s="1878" customFormat="1">
      <c r="A81" s="1880">
        <v>28.2</v>
      </c>
      <c r="B81" s="924">
        <v>243</v>
      </c>
      <c r="C81" s="924">
        <v>243</v>
      </c>
      <c r="D81" s="924">
        <v>256</v>
      </c>
      <c r="E81" s="924">
        <v>266</v>
      </c>
      <c r="F81" s="924">
        <v>276</v>
      </c>
      <c r="G81" s="924">
        <v>284</v>
      </c>
      <c r="H81" s="924">
        <v>291</v>
      </c>
      <c r="I81" s="924">
        <v>298</v>
      </c>
      <c r="J81" s="924">
        <v>304</v>
      </c>
      <c r="K81" s="924">
        <v>309</v>
      </c>
      <c r="L81" s="924">
        <v>314</v>
      </c>
      <c r="M81" s="924">
        <v>319</v>
      </c>
      <c r="N81" s="924">
        <v>323</v>
      </c>
      <c r="O81" s="924">
        <v>327</v>
      </c>
      <c r="P81" s="924">
        <v>331</v>
      </c>
      <c r="Q81" s="924">
        <v>335</v>
      </c>
      <c r="R81" s="924">
        <v>338</v>
      </c>
      <c r="S81" s="924">
        <v>341</v>
      </c>
      <c r="T81" s="924">
        <v>344</v>
      </c>
      <c r="U81" s="924">
        <v>347</v>
      </c>
      <c r="V81" s="924">
        <v>352</v>
      </c>
      <c r="W81" s="924">
        <v>357</v>
      </c>
      <c r="X81" s="924">
        <v>361</v>
      </c>
      <c r="Y81" s="924">
        <v>365</v>
      </c>
      <c r="Z81" s="924">
        <v>369</v>
      </c>
      <c r="AA81" s="924">
        <v>377</v>
      </c>
      <c r="AB81" s="924">
        <v>383</v>
      </c>
      <c r="AC81" s="924">
        <v>389</v>
      </c>
    </row>
    <row r="82" spans="1:29" s="1878" customFormat="1">
      <c r="A82" s="1880">
        <v>28.3</v>
      </c>
      <c r="B82" s="924">
        <v>241</v>
      </c>
      <c r="C82" s="924">
        <v>241</v>
      </c>
      <c r="D82" s="924">
        <v>254</v>
      </c>
      <c r="E82" s="924">
        <v>266</v>
      </c>
      <c r="F82" s="924">
        <v>274</v>
      </c>
      <c r="G82" s="924">
        <v>282</v>
      </c>
      <c r="H82" s="924">
        <v>289</v>
      </c>
      <c r="I82" s="924">
        <v>296</v>
      </c>
      <c r="J82" s="924">
        <v>302</v>
      </c>
      <c r="K82" s="924">
        <v>307</v>
      </c>
      <c r="L82" s="924">
        <v>312</v>
      </c>
      <c r="M82" s="924">
        <v>317</v>
      </c>
      <c r="N82" s="924">
        <v>321</v>
      </c>
      <c r="O82" s="924">
        <v>325</v>
      </c>
      <c r="P82" s="924">
        <v>329</v>
      </c>
      <c r="Q82" s="924">
        <v>332</v>
      </c>
      <c r="R82" s="924">
        <v>336</v>
      </c>
      <c r="S82" s="924">
        <v>339</v>
      </c>
      <c r="T82" s="924">
        <v>342</v>
      </c>
      <c r="U82" s="924">
        <v>344</v>
      </c>
      <c r="V82" s="924">
        <v>349</v>
      </c>
      <c r="W82" s="924">
        <v>354</v>
      </c>
      <c r="X82" s="924">
        <v>358</v>
      </c>
      <c r="Y82" s="924">
        <v>362</v>
      </c>
      <c r="Z82" s="924">
        <v>366</v>
      </c>
      <c r="AA82" s="924">
        <v>374</v>
      </c>
      <c r="AB82" s="924">
        <v>381</v>
      </c>
      <c r="AC82" s="924">
        <v>386</v>
      </c>
    </row>
    <row r="83" spans="1:29" s="1878" customFormat="1">
      <c r="A83" s="1880">
        <v>28.4</v>
      </c>
      <c r="B83" s="924">
        <v>240</v>
      </c>
      <c r="C83" s="924">
        <v>240</v>
      </c>
      <c r="D83" s="924">
        <v>252</v>
      </c>
      <c r="E83" s="924">
        <v>263</v>
      </c>
      <c r="F83" s="924">
        <v>272</v>
      </c>
      <c r="G83" s="924">
        <v>280</v>
      </c>
      <c r="H83" s="924">
        <v>287</v>
      </c>
      <c r="I83" s="924">
        <v>294</v>
      </c>
      <c r="J83" s="924">
        <v>300</v>
      </c>
      <c r="K83" s="924">
        <v>305</v>
      </c>
      <c r="L83" s="924">
        <v>310</v>
      </c>
      <c r="M83" s="924">
        <v>314</v>
      </c>
      <c r="N83" s="924">
        <v>319</v>
      </c>
      <c r="O83" s="924">
        <v>323</v>
      </c>
      <c r="P83" s="924">
        <v>326</v>
      </c>
      <c r="Q83" s="924">
        <v>330</v>
      </c>
      <c r="R83" s="924">
        <v>333</v>
      </c>
      <c r="S83" s="924">
        <v>336</v>
      </c>
      <c r="T83" s="924">
        <v>339</v>
      </c>
      <c r="U83" s="924">
        <v>342</v>
      </c>
      <c r="V83" s="924">
        <v>347</v>
      </c>
      <c r="W83" s="924">
        <v>352</v>
      </c>
      <c r="X83" s="924">
        <v>356</v>
      </c>
      <c r="Y83" s="924">
        <v>360</v>
      </c>
      <c r="Z83" s="924">
        <v>363</v>
      </c>
      <c r="AA83" s="924">
        <v>371</v>
      </c>
      <c r="AB83" s="924">
        <v>378</v>
      </c>
      <c r="AC83" s="924">
        <v>384</v>
      </c>
    </row>
    <row r="84" spans="1:29" s="1878" customFormat="1">
      <c r="A84" s="1880">
        <v>28.5</v>
      </c>
      <c r="B84" s="924">
        <v>238</v>
      </c>
      <c r="C84" s="924">
        <v>238</v>
      </c>
      <c r="D84" s="924">
        <v>250</v>
      </c>
      <c r="E84" s="924">
        <v>261</v>
      </c>
      <c r="F84" s="924">
        <v>270</v>
      </c>
      <c r="G84" s="924">
        <v>278</v>
      </c>
      <c r="H84" s="924">
        <v>285</v>
      </c>
      <c r="I84" s="924">
        <v>292</v>
      </c>
      <c r="J84" s="924">
        <v>297</v>
      </c>
      <c r="K84" s="924">
        <v>303</v>
      </c>
      <c r="L84" s="924">
        <v>308</v>
      </c>
      <c r="M84" s="924">
        <v>312</v>
      </c>
      <c r="N84" s="924">
        <v>316</v>
      </c>
      <c r="O84" s="924">
        <v>320</v>
      </c>
      <c r="P84" s="924">
        <v>324</v>
      </c>
      <c r="Q84" s="924">
        <v>327</v>
      </c>
      <c r="R84" s="924">
        <v>331</v>
      </c>
      <c r="S84" s="924">
        <v>334</v>
      </c>
      <c r="T84" s="924">
        <v>337</v>
      </c>
      <c r="U84" s="924">
        <v>339</v>
      </c>
      <c r="V84" s="924">
        <v>344</v>
      </c>
      <c r="W84" s="924">
        <v>349</v>
      </c>
      <c r="X84" s="924">
        <v>353</v>
      </c>
      <c r="Y84" s="924">
        <v>357</v>
      </c>
      <c r="Z84" s="924">
        <v>361</v>
      </c>
      <c r="AA84" s="924">
        <v>369</v>
      </c>
      <c r="AB84" s="924">
        <v>375</v>
      </c>
      <c r="AC84" s="924">
        <v>381</v>
      </c>
    </row>
    <row r="85" spans="1:29" s="1878" customFormat="1">
      <c r="A85" s="1880">
        <v>28.6</v>
      </c>
      <c r="B85" s="924">
        <v>235</v>
      </c>
      <c r="C85" s="924">
        <v>235</v>
      </c>
      <c r="D85" s="924">
        <v>248</v>
      </c>
      <c r="E85" s="924">
        <v>259</v>
      </c>
      <c r="F85" s="924">
        <v>268</v>
      </c>
      <c r="G85" s="924">
        <v>276</v>
      </c>
      <c r="H85" s="924">
        <v>283</v>
      </c>
      <c r="I85" s="924">
        <v>289</v>
      </c>
      <c r="J85" s="924">
        <v>295</v>
      </c>
      <c r="K85" s="924">
        <v>300</v>
      </c>
      <c r="L85" s="924">
        <v>305</v>
      </c>
      <c r="M85" s="924">
        <v>310</v>
      </c>
      <c r="N85" s="924">
        <v>314</v>
      </c>
      <c r="O85" s="924">
        <v>316</v>
      </c>
      <c r="P85" s="924">
        <v>322</v>
      </c>
      <c r="Q85" s="924">
        <v>325</v>
      </c>
      <c r="R85" s="924">
        <v>328</v>
      </c>
      <c r="S85" s="924">
        <v>331</v>
      </c>
      <c r="T85" s="924">
        <v>334</v>
      </c>
      <c r="U85" s="924">
        <v>337</v>
      </c>
      <c r="V85" s="924">
        <v>342</v>
      </c>
      <c r="W85" s="924">
        <v>346</v>
      </c>
      <c r="X85" s="924">
        <v>351</v>
      </c>
      <c r="Y85" s="924">
        <v>354</v>
      </c>
      <c r="Z85" s="924">
        <v>358</v>
      </c>
      <c r="AA85" s="924">
        <v>366</v>
      </c>
      <c r="AB85" s="924">
        <v>372</v>
      </c>
      <c r="AC85" s="924">
        <v>378</v>
      </c>
    </row>
    <row r="86" spans="1:29" s="1878" customFormat="1">
      <c r="A86" s="1880">
        <v>28.7</v>
      </c>
      <c r="B86" s="924">
        <v>233</v>
      </c>
      <c r="C86" s="924">
        <v>233</v>
      </c>
      <c r="D86" s="924">
        <v>247</v>
      </c>
      <c r="E86" s="924">
        <v>257</v>
      </c>
      <c r="F86" s="924">
        <v>266</v>
      </c>
      <c r="G86" s="924">
        <v>274</v>
      </c>
      <c r="H86" s="924">
        <v>281</v>
      </c>
      <c r="I86" s="924">
        <v>287</v>
      </c>
      <c r="J86" s="924">
        <v>293</v>
      </c>
      <c r="K86" s="924">
        <v>298</v>
      </c>
      <c r="L86" s="924">
        <v>303</v>
      </c>
      <c r="M86" s="924">
        <v>308</v>
      </c>
      <c r="N86" s="924">
        <v>312</v>
      </c>
      <c r="O86" s="924">
        <v>316</v>
      </c>
      <c r="P86" s="924">
        <v>319</v>
      </c>
      <c r="Q86" s="924">
        <v>323</v>
      </c>
      <c r="R86" s="924">
        <v>326</v>
      </c>
      <c r="S86" s="924">
        <v>329</v>
      </c>
      <c r="T86" s="924">
        <v>332</v>
      </c>
      <c r="U86" s="924">
        <v>334</v>
      </c>
      <c r="V86" s="924">
        <v>339</v>
      </c>
      <c r="W86" s="924">
        <v>344</v>
      </c>
      <c r="X86" s="924">
        <v>348</v>
      </c>
      <c r="Y86" s="924">
        <v>352</v>
      </c>
      <c r="Z86" s="924">
        <v>355</v>
      </c>
      <c r="AA86" s="924">
        <v>363</v>
      </c>
      <c r="AB86" s="924">
        <v>370</v>
      </c>
      <c r="AC86" s="924">
        <v>375</v>
      </c>
    </row>
    <row r="87" spans="1:29" s="1878" customFormat="1">
      <c r="A87" s="1880">
        <v>28.8</v>
      </c>
      <c r="B87" s="924">
        <v>230</v>
      </c>
      <c r="C87" s="924">
        <v>230</v>
      </c>
      <c r="D87" s="924">
        <v>245</v>
      </c>
      <c r="E87" s="924">
        <v>255</v>
      </c>
      <c r="F87" s="924">
        <v>264</v>
      </c>
      <c r="G87" s="924">
        <v>272</v>
      </c>
      <c r="H87" s="924">
        <v>279</v>
      </c>
      <c r="I87" s="924">
        <v>285</v>
      </c>
      <c r="J87" s="924">
        <v>291</v>
      </c>
      <c r="K87" s="924">
        <v>296</v>
      </c>
      <c r="L87" s="924">
        <v>301</v>
      </c>
      <c r="M87" s="924">
        <v>305</v>
      </c>
      <c r="N87" s="924">
        <v>309</v>
      </c>
      <c r="O87" s="924">
        <v>313</v>
      </c>
      <c r="P87" s="924">
        <v>317</v>
      </c>
      <c r="Q87" s="924">
        <v>320</v>
      </c>
      <c r="R87" s="924">
        <v>323</v>
      </c>
      <c r="S87" s="924">
        <v>326</v>
      </c>
      <c r="T87" s="924">
        <v>329</v>
      </c>
      <c r="U87" s="924">
        <v>332</v>
      </c>
      <c r="V87" s="924">
        <v>337</v>
      </c>
      <c r="W87" s="924">
        <v>341</v>
      </c>
      <c r="X87" s="924">
        <v>345</v>
      </c>
      <c r="Y87" s="924">
        <v>349</v>
      </c>
      <c r="Z87" s="924">
        <v>353</v>
      </c>
      <c r="AA87" s="924">
        <v>360</v>
      </c>
      <c r="AB87" s="924">
        <v>367</v>
      </c>
      <c r="AC87" s="924">
        <v>372</v>
      </c>
    </row>
    <row r="88" spans="1:29" s="1878" customFormat="1">
      <c r="A88" s="1880">
        <v>28.9</v>
      </c>
      <c r="B88" s="924">
        <v>227</v>
      </c>
      <c r="C88" s="924">
        <v>227</v>
      </c>
      <c r="D88" s="924">
        <v>243</v>
      </c>
      <c r="E88" s="924">
        <v>253</v>
      </c>
      <c r="F88" s="924">
        <v>262</v>
      </c>
      <c r="G88" s="924">
        <v>270</v>
      </c>
      <c r="H88" s="924">
        <v>277</v>
      </c>
      <c r="I88" s="924">
        <v>283</v>
      </c>
      <c r="J88" s="924">
        <v>289</v>
      </c>
      <c r="K88" s="924">
        <v>294</v>
      </c>
      <c r="L88" s="924">
        <v>299</v>
      </c>
      <c r="M88" s="924">
        <v>303</v>
      </c>
      <c r="N88" s="924">
        <v>307</v>
      </c>
      <c r="O88" s="924">
        <v>311</v>
      </c>
      <c r="P88" s="924">
        <v>314</v>
      </c>
      <c r="Q88" s="924">
        <v>318</v>
      </c>
      <c r="R88" s="924">
        <v>321</v>
      </c>
      <c r="S88" s="924">
        <v>324</v>
      </c>
      <c r="T88" s="924">
        <v>327</v>
      </c>
      <c r="U88" s="924">
        <v>329</v>
      </c>
      <c r="V88" s="924">
        <v>334</v>
      </c>
      <c r="W88" s="924">
        <v>339</v>
      </c>
      <c r="X88" s="924">
        <v>343</v>
      </c>
      <c r="Y88" s="924">
        <v>347</v>
      </c>
      <c r="Z88" s="924">
        <v>350</v>
      </c>
      <c r="AA88" s="924">
        <v>358</v>
      </c>
      <c r="AB88" s="924">
        <v>364</v>
      </c>
      <c r="AC88" s="924">
        <v>370</v>
      </c>
    </row>
    <row r="89" spans="1:29" s="1878" customFormat="1">
      <c r="A89" s="1880">
        <v>29</v>
      </c>
      <c r="B89" s="924">
        <v>225</v>
      </c>
      <c r="C89" s="924">
        <v>225</v>
      </c>
      <c r="D89" s="924">
        <v>241</v>
      </c>
      <c r="E89" s="924">
        <v>251</v>
      </c>
      <c r="F89" s="924">
        <v>262</v>
      </c>
      <c r="G89" s="924">
        <v>268</v>
      </c>
      <c r="H89" s="924">
        <v>274</v>
      </c>
      <c r="I89" s="924">
        <v>281</v>
      </c>
      <c r="J89" s="924">
        <v>286</v>
      </c>
      <c r="K89" s="924">
        <v>291</v>
      </c>
      <c r="L89" s="924">
        <v>296</v>
      </c>
      <c r="M89" s="924">
        <v>301</v>
      </c>
      <c r="N89" s="924">
        <v>305</v>
      </c>
      <c r="O89" s="924">
        <v>308</v>
      </c>
      <c r="P89" s="924">
        <v>312</v>
      </c>
      <c r="Q89" s="924">
        <v>315</v>
      </c>
      <c r="R89" s="924">
        <v>318</v>
      </c>
      <c r="S89" s="924">
        <v>321</v>
      </c>
      <c r="T89" s="924">
        <v>324</v>
      </c>
      <c r="U89" s="924">
        <v>327</v>
      </c>
      <c r="V89" s="924">
        <v>332</v>
      </c>
      <c r="W89" s="924">
        <v>336</v>
      </c>
      <c r="X89" s="924">
        <v>340</v>
      </c>
      <c r="Y89" s="924">
        <v>344</v>
      </c>
      <c r="Z89" s="924">
        <v>347</v>
      </c>
      <c r="AA89" s="924">
        <v>355</v>
      </c>
      <c r="AB89" s="924">
        <v>361</v>
      </c>
      <c r="AC89" s="924">
        <v>367</v>
      </c>
    </row>
    <row r="90" spans="1:29" s="1878" customFormat="1">
      <c r="A90" s="1880">
        <v>29.1</v>
      </c>
      <c r="B90" s="924">
        <v>222</v>
      </c>
      <c r="C90" s="924">
        <v>222</v>
      </c>
      <c r="D90" s="924">
        <v>240</v>
      </c>
      <c r="E90" s="924">
        <v>249</v>
      </c>
      <c r="F90" s="924">
        <v>258</v>
      </c>
      <c r="G90" s="924">
        <v>265</v>
      </c>
      <c r="H90" s="924">
        <v>272</v>
      </c>
      <c r="I90" s="924">
        <v>278</v>
      </c>
      <c r="J90" s="924">
        <v>284</v>
      </c>
      <c r="K90" s="924">
        <v>289</v>
      </c>
      <c r="L90" s="924">
        <v>294</v>
      </c>
      <c r="M90" s="924">
        <v>398</v>
      </c>
      <c r="N90" s="924">
        <v>302</v>
      </c>
      <c r="O90" s="924">
        <v>306</v>
      </c>
      <c r="P90" s="924">
        <v>310</v>
      </c>
      <c r="Q90" s="924">
        <v>313</v>
      </c>
      <c r="R90" s="924">
        <v>318</v>
      </c>
      <c r="S90" s="924">
        <v>319</v>
      </c>
      <c r="T90" s="924">
        <v>322</v>
      </c>
      <c r="U90" s="924">
        <v>324</v>
      </c>
      <c r="V90" s="924">
        <v>329</v>
      </c>
      <c r="W90" s="924">
        <v>334</v>
      </c>
      <c r="X90" s="924">
        <v>338</v>
      </c>
      <c r="Y90" s="924">
        <v>341</v>
      </c>
      <c r="Z90" s="924">
        <v>345</v>
      </c>
      <c r="AA90" s="924">
        <v>352</v>
      </c>
      <c r="AB90" s="924">
        <v>358</v>
      </c>
      <c r="AC90" s="924">
        <v>364</v>
      </c>
    </row>
    <row r="91" spans="1:29" s="1878" customFormat="1">
      <c r="A91" s="1880">
        <v>29.2</v>
      </c>
      <c r="B91" s="924">
        <v>220</v>
      </c>
      <c r="C91" s="924">
        <v>220</v>
      </c>
      <c r="D91" s="924">
        <v>237</v>
      </c>
      <c r="E91" s="924">
        <v>247</v>
      </c>
      <c r="F91" s="924">
        <v>256</v>
      </c>
      <c r="G91" s="924">
        <v>263</v>
      </c>
      <c r="H91" s="924">
        <v>270</v>
      </c>
      <c r="I91" s="924">
        <v>276</v>
      </c>
      <c r="J91" s="924">
        <v>282</v>
      </c>
      <c r="K91" s="924">
        <v>287</v>
      </c>
      <c r="L91" s="924">
        <v>292</v>
      </c>
      <c r="M91" s="924">
        <v>296</v>
      </c>
      <c r="N91" s="924">
        <v>300</v>
      </c>
      <c r="O91" s="924">
        <v>304</v>
      </c>
      <c r="P91" s="924">
        <v>307</v>
      </c>
      <c r="Q91" s="924">
        <v>310</v>
      </c>
      <c r="R91" s="924">
        <v>313</v>
      </c>
      <c r="S91" s="924">
        <v>316</v>
      </c>
      <c r="T91" s="924">
        <v>319</v>
      </c>
      <c r="U91" s="924">
        <v>322</v>
      </c>
      <c r="V91" s="924">
        <v>327</v>
      </c>
      <c r="W91" s="924">
        <v>331</v>
      </c>
      <c r="X91" s="924">
        <v>335</v>
      </c>
      <c r="Y91" s="924">
        <v>339</v>
      </c>
      <c r="Z91" s="924">
        <v>342</v>
      </c>
      <c r="AA91" s="924">
        <v>349</v>
      </c>
      <c r="AB91" s="924">
        <v>356</v>
      </c>
      <c r="AC91" s="924">
        <v>361</v>
      </c>
    </row>
    <row r="92" spans="1:29" s="1878" customFormat="1">
      <c r="A92" s="1880">
        <v>29.3</v>
      </c>
      <c r="B92" s="924">
        <v>217</v>
      </c>
      <c r="C92" s="924">
        <v>217</v>
      </c>
      <c r="D92" s="924">
        <v>234</v>
      </c>
      <c r="E92" s="924">
        <v>245</v>
      </c>
      <c r="F92" s="924">
        <v>254</v>
      </c>
      <c r="G92" s="924">
        <v>281</v>
      </c>
      <c r="H92" s="924">
        <v>268</v>
      </c>
      <c r="I92" s="924">
        <v>274</v>
      </c>
      <c r="J92" s="924">
        <v>280</v>
      </c>
      <c r="K92" s="924">
        <v>285</v>
      </c>
      <c r="L92" s="924">
        <v>289</v>
      </c>
      <c r="M92" s="924">
        <v>294</v>
      </c>
      <c r="N92" s="924">
        <v>298</v>
      </c>
      <c r="O92" s="924">
        <v>301</v>
      </c>
      <c r="P92" s="924">
        <v>305</v>
      </c>
      <c r="Q92" s="924">
        <v>308</v>
      </c>
      <c r="R92" s="924">
        <v>311</v>
      </c>
      <c r="S92" s="924">
        <v>314</v>
      </c>
      <c r="T92" s="924">
        <v>317</v>
      </c>
      <c r="U92" s="924">
        <v>319</v>
      </c>
      <c r="V92" s="924">
        <v>324</v>
      </c>
      <c r="W92" s="924">
        <v>328</v>
      </c>
      <c r="X92" s="924">
        <v>332</v>
      </c>
      <c r="Y92" s="924">
        <v>336</v>
      </c>
      <c r="Z92" s="924">
        <v>339</v>
      </c>
      <c r="AA92" s="924">
        <v>347</v>
      </c>
      <c r="AB92" s="924">
        <v>353</v>
      </c>
      <c r="AC92" s="924">
        <v>358</v>
      </c>
    </row>
    <row r="93" spans="1:29" s="1878" customFormat="1">
      <c r="A93" s="1880">
        <v>29.4</v>
      </c>
      <c r="B93" s="924">
        <v>214</v>
      </c>
      <c r="C93" s="924">
        <v>214</v>
      </c>
      <c r="D93" s="924">
        <v>231</v>
      </c>
      <c r="E93" s="924">
        <v>243</v>
      </c>
      <c r="F93" s="924">
        <v>252</v>
      </c>
      <c r="G93" s="924">
        <v>259</v>
      </c>
      <c r="H93" s="924">
        <v>266</v>
      </c>
      <c r="I93" s="924">
        <v>272</v>
      </c>
      <c r="J93" s="924">
        <v>277</v>
      </c>
      <c r="K93" s="924">
        <v>282</v>
      </c>
      <c r="L93" s="924">
        <v>287</v>
      </c>
      <c r="M93" s="924">
        <v>291</v>
      </c>
      <c r="N93" s="924">
        <v>295</v>
      </c>
      <c r="O93" s="924">
        <v>299</v>
      </c>
      <c r="P93" s="924">
        <v>302</v>
      </c>
      <c r="Q93" s="924">
        <v>305</v>
      </c>
      <c r="R93" s="924">
        <v>308</v>
      </c>
      <c r="S93" s="924">
        <v>311</v>
      </c>
      <c r="T93" s="924">
        <v>314</v>
      </c>
      <c r="U93" s="924">
        <v>317</v>
      </c>
      <c r="V93" s="924">
        <v>321</v>
      </c>
      <c r="W93" s="924">
        <v>326</v>
      </c>
      <c r="X93" s="924">
        <v>330</v>
      </c>
      <c r="Y93" s="924">
        <v>333</v>
      </c>
      <c r="Z93" s="924">
        <v>336</v>
      </c>
      <c r="AA93" s="924">
        <v>344</v>
      </c>
      <c r="AB93" s="924">
        <v>350</v>
      </c>
      <c r="AC93" s="924">
        <v>355</v>
      </c>
    </row>
    <row r="94" spans="1:29" s="1878" customFormat="1">
      <c r="A94" s="1880">
        <v>29.5</v>
      </c>
      <c r="B94" s="924">
        <v>211</v>
      </c>
      <c r="C94" s="924">
        <v>211</v>
      </c>
      <c r="D94" s="924">
        <v>228</v>
      </c>
      <c r="E94" s="924">
        <v>241</v>
      </c>
      <c r="F94" s="924">
        <v>250</v>
      </c>
      <c r="G94" s="924">
        <v>257</v>
      </c>
      <c r="H94" s="924">
        <v>264</v>
      </c>
      <c r="I94" s="924">
        <v>270</v>
      </c>
      <c r="J94" s="924">
        <v>275</v>
      </c>
      <c r="K94" s="924">
        <v>280</v>
      </c>
      <c r="L94" s="924">
        <v>285</v>
      </c>
      <c r="M94" s="924">
        <v>289</v>
      </c>
      <c r="N94" s="924">
        <v>293</v>
      </c>
      <c r="O94" s="924">
        <v>296</v>
      </c>
      <c r="P94" s="924">
        <v>300</v>
      </c>
      <c r="Q94" s="924">
        <v>303</v>
      </c>
      <c r="R94" s="924">
        <v>306</v>
      </c>
      <c r="S94" s="924">
        <v>309</v>
      </c>
      <c r="T94" s="924">
        <v>311</v>
      </c>
      <c r="U94" s="924">
        <v>314</v>
      </c>
      <c r="V94" s="924">
        <v>319</v>
      </c>
      <c r="W94" s="924">
        <v>323</v>
      </c>
      <c r="X94" s="924">
        <v>327</v>
      </c>
      <c r="Y94" s="924">
        <v>330</v>
      </c>
      <c r="Z94" s="924">
        <v>334</v>
      </c>
      <c r="AA94" s="924">
        <v>341</v>
      </c>
      <c r="AB94" s="924">
        <v>345</v>
      </c>
      <c r="AC94" s="924">
        <v>352</v>
      </c>
    </row>
    <row r="95" spans="1:29" s="1878" customFormat="1">
      <c r="A95" s="1880">
        <v>29.6</v>
      </c>
      <c r="B95" s="924">
        <v>209</v>
      </c>
      <c r="C95" s="924">
        <v>209</v>
      </c>
      <c r="D95" s="924">
        <v>225</v>
      </c>
      <c r="E95" s="924">
        <v>240</v>
      </c>
      <c r="F95" s="924">
        <v>247</v>
      </c>
      <c r="G95" s="924">
        <v>255</v>
      </c>
      <c r="H95" s="924">
        <v>261</v>
      </c>
      <c r="I95" s="924">
        <v>267</v>
      </c>
      <c r="J95" s="924">
        <v>273</v>
      </c>
      <c r="K95" s="924">
        <v>278</v>
      </c>
      <c r="L95" s="924">
        <v>282</v>
      </c>
      <c r="M95" s="924">
        <v>286</v>
      </c>
      <c r="N95" s="924">
        <v>290</v>
      </c>
      <c r="O95" s="924">
        <v>294</v>
      </c>
      <c r="P95" s="924">
        <v>297</v>
      </c>
      <c r="Q95" s="924">
        <v>300</v>
      </c>
      <c r="R95" s="924">
        <v>303</v>
      </c>
      <c r="S95" s="924">
        <v>306</v>
      </c>
      <c r="T95" s="924">
        <v>309</v>
      </c>
      <c r="U95" s="924">
        <v>311</v>
      </c>
      <c r="V95" s="924">
        <v>316</v>
      </c>
      <c r="W95" s="924">
        <v>320</v>
      </c>
      <c r="X95" s="924">
        <v>324</v>
      </c>
      <c r="Y95" s="924">
        <v>328</v>
      </c>
      <c r="Z95" s="924">
        <v>331</v>
      </c>
      <c r="AA95" s="924">
        <v>338</v>
      </c>
      <c r="AB95" s="924">
        <v>341</v>
      </c>
      <c r="AC95" s="924">
        <v>350</v>
      </c>
    </row>
    <row r="96" spans="1:29" s="1878" customFormat="1">
      <c r="A96" s="1880">
        <v>29.7</v>
      </c>
      <c r="B96" s="924">
        <v>206</v>
      </c>
      <c r="C96" s="924">
        <v>206</v>
      </c>
      <c r="D96" s="924">
        <v>222</v>
      </c>
      <c r="E96" s="924">
        <v>237</v>
      </c>
      <c r="F96" s="924">
        <v>245</v>
      </c>
      <c r="G96" s="924">
        <v>253</v>
      </c>
      <c r="H96" s="924">
        <v>259</v>
      </c>
      <c r="I96" s="924">
        <v>265</v>
      </c>
      <c r="J96" s="924">
        <v>271</v>
      </c>
      <c r="K96" s="924">
        <v>275</v>
      </c>
      <c r="L96" s="924">
        <v>280</v>
      </c>
      <c r="M96" s="924">
        <v>284</v>
      </c>
      <c r="N96" s="924">
        <v>288</v>
      </c>
      <c r="O96" s="924">
        <v>291</v>
      </c>
      <c r="P96" s="924">
        <v>295</v>
      </c>
      <c r="Q96" s="924">
        <v>298</v>
      </c>
      <c r="R96" s="924">
        <v>301</v>
      </c>
      <c r="S96" s="924">
        <v>304</v>
      </c>
      <c r="T96" s="924">
        <v>305</v>
      </c>
      <c r="U96" s="924">
        <v>309</v>
      </c>
      <c r="V96" s="924">
        <v>313</v>
      </c>
      <c r="W96" s="924">
        <v>318</v>
      </c>
      <c r="X96" s="924">
        <v>321</v>
      </c>
      <c r="Y96" s="924">
        <v>325</v>
      </c>
      <c r="Z96" s="924">
        <v>328</v>
      </c>
      <c r="AA96" s="924">
        <v>335</v>
      </c>
      <c r="AB96" s="924">
        <v>340</v>
      </c>
      <c r="AC96" s="924">
        <v>347</v>
      </c>
    </row>
    <row r="97" spans="1:29" s="1878" customFormat="1">
      <c r="A97" s="1880">
        <v>29.8</v>
      </c>
      <c r="B97" s="924">
        <v>203</v>
      </c>
      <c r="C97" s="924">
        <v>203</v>
      </c>
      <c r="D97" s="924">
        <v>219</v>
      </c>
      <c r="E97" s="924">
        <v>234</v>
      </c>
      <c r="F97" s="924">
        <v>243</v>
      </c>
      <c r="G97" s="924">
        <v>251</v>
      </c>
      <c r="H97" s="924">
        <v>257</v>
      </c>
      <c r="I97" s="924">
        <v>263</v>
      </c>
      <c r="J97" s="924">
        <v>268</v>
      </c>
      <c r="K97" s="924">
        <v>273</v>
      </c>
      <c r="L97" s="924">
        <v>277</v>
      </c>
      <c r="M97" s="924">
        <v>282</v>
      </c>
      <c r="N97" s="924">
        <v>285</v>
      </c>
      <c r="O97" s="924">
        <v>289</v>
      </c>
      <c r="P97" s="924">
        <v>292</v>
      </c>
      <c r="Q97" s="924">
        <v>295</v>
      </c>
      <c r="R97" s="924">
        <v>298</v>
      </c>
      <c r="S97" s="924">
        <v>301</v>
      </c>
      <c r="T97" s="924">
        <v>304</v>
      </c>
      <c r="U97" s="924">
        <v>306</v>
      </c>
      <c r="V97" s="924">
        <v>311</v>
      </c>
      <c r="W97" s="924">
        <v>315</v>
      </c>
      <c r="X97" s="924">
        <v>319</v>
      </c>
      <c r="Y97" s="924">
        <v>322</v>
      </c>
      <c r="Z97" s="924">
        <v>325</v>
      </c>
      <c r="AA97" s="924">
        <v>333</v>
      </c>
      <c r="AB97" s="924">
        <v>339</v>
      </c>
      <c r="AC97" s="924">
        <v>344</v>
      </c>
    </row>
    <row r="98" spans="1:29" s="1878" customFormat="1">
      <c r="A98" s="1880">
        <v>29.9</v>
      </c>
      <c r="B98" s="924">
        <v>201</v>
      </c>
      <c r="C98" s="924">
        <v>201</v>
      </c>
      <c r="D98" s="924">
        <v>216</v>
      </c>
      <c r="E98" s="924">
        <v>230</v>
      </c>
      <c r="F98" s="924">
        <v>241</v>
      </c>
      <c r="G98" s="924">
        <v>248</v>
      </c>
      <c r="H98" s="924">
        <v>255</v>
      </c>
      <c r="I98" s="924">
        <v>261</v>
      </c>
      <c r="J98" s="924">
        <v>266</v>
      </c>
      <c r="K98" s="924">
        <v>271</v>
      </c>
      <c r="L98" s="924">
        <v>275</v>
      </c>
      <c r="M98" s="924">
        <v>279</v>
      </c>
      <c r="N98" s="924">
        <v>283</v>
      </c>
      <c r="O98" s="924">
        <v>286</v>
      </c>
      <c r="P98" s="924">
        <v>290</v>
      </c>
      <c r="Q98" s="924">
        <v>293</v>
      </c>
      <c r="R98" s="924">
        <v>296</v>
      </c>
      <c r="S98" s="924">
        <v>299</v>
      </c>
      <c r="T98" s="924">
        <v>301</v>
      </c>
      <c r="U98" s="924">
        <v>304</v>
      </c>
      <c r="V98" s="924">
        <v>308</v>
      </c>
      <c r="W98" s="924">
        <v>312</v>
      </c>
      <c r="X98" s="924">
        <v>316</v>
      </c>
      <c r="Y98" s="924">
        <v>319</v>
      </c>
      <c r="Z98" s="924">
        <v>323</v>
      </c>
      <c r="AA98" s="924">
        <v>330</v>
      </c>
      <c r="AB98" s="924">
        <v>336</v>
      </c>
      <c r="AC98" s="924">
        <v>341</v>
      </c>
    </row>
    <row r="99" spans="1:29" s="1878" customFormat="1">
      <c r="A99" s="1880">
        <v>30</v>
      </c>
      <c r="B99" s="924">
        <v>198</v>
      </c>
      <c r="C99" s="924">
        <v>198</v>
      </c>
      <c r="D99" s="924">
        <v>213</v>
      </c>
      <c r="E99" s="924">
        <v>227</v>
      </c>
      <c r="F99" s="924">
        <v>240</v>
      </c>
      <c r="G99" s="924">
        <v>246</v>
      </c>
      <c r="H99" s="924">
        <v>253</v>
      </c>
      <c r="I99" s="924">
        <v>258</v>
      </c>
      <c r="J99" s="924">
        <v>264</v>
      </c>
      <c r="K99" s="924">
        <v>268</v>
      </c>
      <c r="L99" s="924">
        <v>273</v>
      </c>
      <c r="M99" s="924">
        <v>277</v>
      </c>
      <c r="N99" s="924">
        <v>281</v>
      </c>
      <c r="O99" s="924">
        <v>284</v>
      </c>
      <c r="P99" s="924">
        <v>287</v>
      </c>
      <c r="Q99" s="924">
        <v>290</v>
      </c>
      <c r="R99" s="924">
        <v>293</v>
      </c>
      <c r="S99" s="924">
        <v>296</v>
      </c>
      <c r="T99" s="924">
        <v>298</v>
      </c>
      <c r="U99" s="924">
        <v>301</v>
      </c>
      <c r="V99" s="924">
        <v>305</v>
      </c>
      <c r="W99" s="924">
        <v>310</v>
      </c>
      <c r="X99" s="924">
        <v>313</v>
      </c>
      <c r="Y99" s="924">
        <v>317</v>
      </c>
      <c r="Z99" s="924">
        <v>320</v>
      </c>
      <c r="AA99" s="924">
        <v>327</v>
      </c>
      <c r="AB99" s="924">
        <v>333</v>
      </c>
      <c r="AC99" s="924">
        <v>338</v>
      </c>
    </row>
    <row r="100" spans="1:29" s="1878" customFormat="1">
      <c r="A100" s="1880">
        <v>30.1</v>
      </c>
      <c r="B100" s="924">
        <v>195</v>
      </c>
      <c r="C100" s="924">
        <v>195</v>
      </c>
      <c r="D100" s="924">
        <v>210</v>
      </c>
      <c r="E100" s="924">
        <v>224</v>
      </c>
      <c r="F100" s="924">
        <v>237</v>
      </c>
      <c r="G100" s="924">
        <v>244</v>
      </c>
      <c r="H100" s="924">
        <v>250</v>
      </c>
      <c r="I100" s="924">
        <v>256</v>
      </c>
      <c r="J100" s="924">
        <v>261</v>
      </c>
      <c r="K100" s="924">
        <v>266</v>
      </c>
      <c r="L100" s="924">
        <v>270</v>
      </c>
      <c r="M100" s="924">
        <v>274</v>
      </c>
      <c r="N100" s="924">
        <v>278</v>
      </c>
      <c r="O100" s="924">
        <v>282</v>
      </c>
      <c r="P100" s="924">
        <v>285</v>
      </c>
      <c r="Q100" s="924">
        <v>288</v>
      </c>
      <c r="R100" s="924">
        <v>291</v>
      </c>
      <c r="S100" s="924">
        <v>293</v>
      </c>
      <c r="T100" s="924">
        <v>296</v>
      </c>
      <c r="U100" s="924">
        <v>298</v>
      </c>
      <c r="V100" s="924">
        <v>303</v>
      </c>
      <c r="W100" s="924">
        <v>307</v>
      </c>
      <c r="X100" s="924">
        <v>311</v>
      </c>
      <c r="Y100" s="924">
        <v>314</v>
      </c>
      <c r="Z100" s="924">
        <v>317</v>
      </c>
      <c r="AA100" s="924">
        <v>324</v>
      </c>
      <c r="AB100" s="924">
        <v>330</v>
      </c>
      <c r="AC100" s="924">
        <v>335</v>
      </c>
    </row>
    <row r="101" spans="1:29" s="1878" customFormat="1">
      <c r="A101" s="1880">
        <v>30.2</v>
      </c>
      <c r="B101" s="924">
        <v>192</v>
      </c>
      <c r="C101" s="924">
        <v>192</v>
      </c>
      <c r="D101" s="924">
        <v>207</v>
      </c>
      <c r="E101" s="924">
        <v>221</v>
      </c>
      <c r="F101" s="924">
        <v>233</v>
      </c>
      <c r="G101" s="924">
        <v>242</v>
      </c>
      <c r="H101" s="924">
        <v>248</v>
      </c>
      <c r="I101" s="924">
        <v>254</v>
      </c>
      <c r="J101" s="924">
        <v>259</v>
      </c>
      <c r="K101" s="924">
        <v>264</v>
      </c>
      <c r="L101" s="924">
        <v>268</v>
      </c>
      <c r="M101" s="924">
        <v>272</v>
      </c>
      <c r="N101" s="924">
        <v>276</v>
      </c>
      <c r="O101" s="924">
        <v>279</v>
      </c>
      <c r="P101" s="924">
        <v>282</v>
      </c>
      <c r="Q101" s="924">
        <v>285</v>
      </c>
      <c r="R101" s="924">
        <v>288</v>
      </c>
      <c r="S101" s="924">
        <v>291</v>
      </c>
      <c r="T101" s="924">
        <v>293</v>
      </c>
      <c r="U101" s="924">
        <v>296</v>
      </c>
      <c r="V101" s="924">
        <v>300</v>
      </c>
      <c r="W101" s="924">
        <v>304</v>
      </c>
      <c r="X101" s="924">
        <v>308</v>
      </c>
      <c r="Y101" s="924">
        <v>311</v>
      </c>
      <c r="Z101" s="924">
        <v>314</v>
      </c>
      <c r="AA101" s="924">
        <v>321</v>
      </c>
      <c r="AB101" s="924">
        <v>327</v>
      </c>
      <c r="AC101" s="924">
        <v>332</v>
      </c>
    </row>
    <row r="102" spans="1:29" s="1878" customFormat="1">
      <c r="A102" s="1880">
        <v>30.3</v>
      </c>
      <c r="B102" s="924">
        <v>189</v>
      </c>
      <c r="C102" s="924">
        <v>189</v>
      </c>
      <c r="D102" s="924">
        <v>204</v>
      </c>
      <c r="E102" s="924">
        <v>218</v>
      </c>
      <c r="F102" s="924">
        <v>230</v>
      </c>
      <c r="G102" s="924">
        <v>240</v>
      </c>
      <c r="H102" s="924">
        <v>246</v>
      </c>
      <c r="I102" s="924">
        <v>252</v>
      </c>
      <c r="J102" s="924">
        <v>257</v>
      </c>
      <c r="K102" s="924">
        <v>261</v>
      </c>
      <c r="L102" s="924">
        <v>265</v>
      </c>
      <c r="M102" s="924">
        <v>269</v>
      </c>
      <c r="N102" s="924">
        <v>273</v>
      </c>
      <c r="O102" s="924">
        <v>276</v>
      </c>
      <c r="P102" s="924">
        <v>280</v>
      </c>
      <c r="Q102" s="924">
        <v>283</v>
      </c>
      <c r="R102" s="924">
        <v>285</v>
      </c>
      <c r="S102" s="924">
        <v>288</v>
      </c>
      <c r="T102" s="924">
        <v>291</v>
      </c>
      <c r="U102" s="924">
        <v>293</v>
      </c>
      <c r="V102" s="924">
        <v>297</v>
      </c>
      <c r="W102" s="924">
        <v>301</v>
      </c>
      <c r="X102" s="924">
        <v>305</v>
      </c>
      <c r="Y102" s="924">
        <v>308</v>
      </c>
      <c r="Z102" s="924">
        <v>311</v>
      </c>
      <c r="AA102" s="924">
        <v>318</v>
      </c>
      <c r="AB102" s="924">
        <v>324</v>
      </c>
      <c r="AC102" s="924">
        <v>329</v>
      </c>
    </row>
    <row r="103" spans="1:29" s="1878" customFormat="1">
      <c r="A103" s="1880">
        <v>30.4</v>
      </c>
      <c r="B103" s="924">
        <v>187</v>
      </c>
      <c r="C103" s="924">
        <v>187</v>
      </c>
      <c r="D103" s="924">
        <v>201</v>
      </c>
      <c r="E103" s="924">
        <v>215</v>
      </c>
      <c r="F103" s="924">
        <v>228</v>
      </c>
      <c r="G103" s="924">
        <v>237</v>
      </c>
      <c r="H103" s="924">
        <v>244</v>
      </c>
      <c r="I103" s="924">
        <v>249</v>
      </c>
      <c r="J103" s="924">
        <v>254</v>
      </c>
      <c r="K103" s="924">
        <v>259</v>
      </c>
      <c r="L103" s="924">
        <v>263</v>
      </c>
      <c r="M103" s="924">
        <v>267</v>
      </c>
      <c r="N103" s="924">
        <v>271</v>
      </c>
      <c r="O103" s="924">
        <v>274</v>
      </c>
      <c r="P103" s="924">
        <v>277</v>
      </c>
      <c r="Q103" s="924">
        <v>280</v>
      </c>
      <c r="R103" s="924">
        <v>283</v>
      </c>
      <c r="S103" s="924">
        <v>285</v>
      </c>
      <c r="T103" s="924">
        <v>288</v>
      </c>
      <c r="U103" s="924">
        <v>290</v>
      </c>
      <c r="V103" s="924">
        <v>295</v>
      </c>
      <c r="W103" s="924">
        <v>299</v>
      </c>
      <c r="X103" s="924">
        <v>302</v>
      </c>
      <c r="Y103" s="924">
        <v>306</v>
      </c>
      <c r="Z103" s="924">
        <v>309</v>
      </c>
      <c r="AA103" s="924">
        <v>315</v>
      </c>
      <c r="AB103" s="924">
        <v>321</v>
      </c>
      <c r="AC103" s="924">
        <v>326</v>
      </c>
    </row>
    <row r="104" spans="1:29" s="1878" customFormat="1">
      <c r="A104" s="1880">
        <v>30.5</v>
      </c>
      <c r="B104" s="924">
        <v>184</v>
      </c>
      <c r="C104" s="924">
        <v>184</v>
      </c>
      <c r="D104" s="924">
        <v>196</v>
      </c>
      <c r="E104" s="924">
        <v>211</v>
      </c>
      <c r="F104" s="924">
        <v>223</v>
      </c>
      <c r="G104" s="924">
        <v>234</v>
      </c>
      <c r="H104" s="924">
        <v>241</v>
      </c>
      <c r="I104" s="924">
        <v>247</v>
      </c>
      <c r="J104" s="924">
        <v>252</v>
      </c>
      <c r="K104" s="924">
        <v>256</v>
      </c>
      <c r="L104" s="924">
        <v>261</v>
      </c>
      <c r="M104" s="924">
        <v>264</v>
      </c>
      <c r="N104" s="924">
        <v>268</v>
      </c>
      <c r="O104" s="924">
        <v>271</v>
      </c>
      <c r="P104" s="924">
        <v>275</v>
      </c>
      <c r="Q104" s="924">
        <v>277</v>
      </c>
      <c r="R104" s="924">
        <v>280</v>
      </c>
      <c r="S104" s="924">
        <v>283</v>
      </c>
      <c r="T104" s="924">
        <v>285</v>
      </c>
      <c r="U104" s="924">
        <v>288</v>
      </c>
      <c r="V104" s="924">
        <v>292</v>
      </c>
      <c r="W104" s="924">
        <v>296</v>
      </c>
      <c r="X104" s="924">
        <v>299</v>
      </c>
      <c r="Y104" s="924">
        <v>303</v>
      </c>
      <c r="Z104" s="924">
        <v>306</v>
      </c>
      <c r="AA104" s="924">
        <v>312</v>
      </c>
      <c r="AB104" s="924">
        <v>318</v>
      </c>
      <c r="AC104" s="924">
        <v>323</v>
      </c>
    </row>
    <row r="105" spans="1:29" s="1878" customFormat="1">
      <c r="A105" s="1880">
        <v>30.6</v>
      </c>
      <c r="B105" s="924">
        <v>181</v>
      </c>
      <c r="C105" s="924">
        <v>181</v>
      </c>
      <c r="D105" s="924">
        <v>195</v>
      </c>
      <c r="E105" s="924">
        <v>208</v>
      </c>
      <c r="F105" s="924">
        <v>220</v>
      </c>
      <c r="G105" s="924">
        <v>230</v>
      </c>
      <c r="H105" s="924">
        <v>240</v>
      </c>
      <c r="I105" s="924">
        <v>245</v>
      </c>
      <c r="J105" s="924">
        <v>249</v>
      </c>
      <c r="K105" s="924">
        <v>254</v>
      </c>
      <c r="L105" s="924">
        <v>258</v>
      </c>
      <c r="M105" s="924">
        <v>262</v>
      </c>
      <c r="N105" s="924">
        <v>266</v>
      </c>
      <c r="O105" s="924">
        <v>269</v>
      </c>
      <c r="P105" s="924">
        <v>272</v>
      </c>
      <c r="Q105" s="924">
        <v>275</v>
      </c>
      <c r="R105" s="924">
        <v>278</v>
      </c>
      <c r="S105" s="924">
        <v>288</v>
      </c>
      <c r="T105" s="924">
        <v>283</v>
      </c>
      <c r="U105" s="924">
        <v>285</v>
      </c>
      <c r="V105" s="924">
        <v>289</v>
      </c>
      <c r="W105" s="924">
        <v>293</v>
      </c>
      <c r="X105" s="924">
        <v>297</v>
      </c>
      <c r="Y105" s="924">
        <v>300</v>
      </c>
      <c r="Z105" s="924">
        <v>303</v>
      </c>
      <c r="AA105" s="924">
        <v>309</v>
      </c>
      <c r="AB105" s="924">
        <v>315</v>
      </c>
      <c r="AC105" s="924">
        <v>320</v>
      </c>
    </row>
    <row r="106" spans="1:29" s="1878" customFormat="1">
      <c r="A106" s="1880">
        <v>30.7</v>
      </c>
      <c r="B106" s="924">
        <v>178</v>
      </c>
      <c r="C106" s="924">
        <v>178</v>
      </c>
      <c r="D106" s="924">
        <v>192</v>
      </c>
      <c r="E106" s="924">
        <v>205</v>
      </c>
      <c r="F106" s="924">
        <v>216</v>
      </c>
      <c r="G106" s="924">
        <v>227</v>
      </c>
      <c r="H106" s="924">
        <v>236</v>
      </c>
      <c r="I106" s="924">
        <v>242</v>
      </c>
      <c r="J106" s="924">
        <v>247</v>
      </c>
      <c r="K106" s="924">
        <v>252</v>
      </c>
      <c r="L106" s="924">
        <v>256</v>
      </c>
      <c r="M106" s="924">
        <v>259</v>
      </c>
      <c r="N106" s="924">
        <v>263</v>
      </c>
      <c r="O106" s="924">
        <v>266</v>
      </c>
      <c r="P106" s="924">
        <v>269</v>
      </c>
      <c r="Q106" s="924">
        <v>272</v>
      </c>
      <c r="R106" s="924">
        <v>275</v>
      </c>
      <c r="S106" s="924">
        <v>277</v>
      </c>
      <c r="T106" s="924">
        <v>280</v>
      </c>
      <c r="U106" s="924">
        <v>282</v>
      </c>
      <c r="V106" s="924">
        <v>286</v>
      </c>
      <c r="W106" s="924">
        <v>290</v>
      </c>
      <c r="X106" s="924">
        <v>294</v>
      </c>
      <c r="Y106" s="924">
        <v>297</v>
      </c>
      <c r="Z106" s="924">
        <v>300</v>
      </c>
      <c r="AA106" s="924">
        <v>307</v>
      </c>
      <c r="AB106" s="924">
        <v>312</v>
      </c>
      <c r="AC106" s="924">
        <v>318</v>
      </c>
    </row>
    <row r="107" spans="1:29" s="1878" customFormat="1">
      <c r="A107" s="1880">
        <v>30.8</v>
      </c>
      <c r="B107" s="924">
        <v>175</v>
      </c>
      <c r="C107" s="924">
        <v>175</v>
      </c>
      <c r="D107" s="924">
        <v>189</v>
      </c>
      <c r="E107" s="924">
        <v>202</v>
      </c>
      <c r="F107" s="924">
        <v>213</v>
      </c>
      <c r="G107" s="924">
        <v>223</v>
      </c>
      <c r="H107" s="924">
        <v>233</v>
      </c>
      <c r="I107" s="924">
        <v>240</v>
      </c>
      <c r="J107" s="924">
        <v>245</v>
      </c>
      <c r="K107" s="924">
        <v>249</v>
      </c>
      <c r="L107" s="924">
        <v>253</v>
      </c>
      <c r="M107" s="924">
        <v>257</v>
      </c>
      <c r="N107" s="924">
        <v>260</v>
      </c>
      <c r="O107" s="924">
        <v>264</v>
      </c>
      <c r="P107" s="924">
        <v>267</v>
      </c>
      <c r="Q107" s="924">
        <v>270</v>
      </c>
      <c r="R107" s="924">
        <v>272</v>
      </c>
      <c r="S107" s="924">
        <v>275</v>
      </c>
      <c r="T107" s="924">
        <v>277</v>
      </c>
      <c r="U107" s="924">
        <v>279</v>
      </c>
      <c r="V107" s="924">
        <v>284</v>
      </c>
      <c r="W107" s="924">
        <v>287</v>
      </c>
      <c r="X107" s="924">
        <v>291</v>
      </c>
      <c r="Y107" s="924">
        <v>294</v>
      </c>
      <c r="Z107" s="924">
        <v>297</v>
      </c>
      <c r="AA107" s="924">
        <v>304</v>
      </c>
      <c r="AB107" s="924">
        <v>308</v>
      </c>
      <c r="AC107" s="924">
        <v>314</v>
      </c>
    </row>
    <row r="108" spans="1:29" s="1878" customFormat="1">
      <c r="A108" s="1880">
        <v>30.9</v>
      </c>
      <c r="B108" s="924">
        <v>172</v>
      </c>
      <c r="C108" s="924">
        <v>172</v>
      </c>
      <c r="D108" s="924">
        <v>186</v>
      </c>
      <c r="E108" s="924">
        <v>198</v>
      </c>
      <c r="F108" s="924">
        <v>209</v>
      </c>
      <c r="G108" s="924">
        <v>220</v>
      </c>
      <c r="H108" s="924">
        <v>229</v>
      </c>
      <c r="I108" s="924">
        <v>237</v>
      </c>
      <c r="J108" s="924">
        <v>242</v>
      </c>
      <c r="K108" s="924">
        <v>247</v>
      </c>
      <c r="L108" s="924">
        <v>251</v>
      </c>
      <c r="M108" s="924">
        <v>254</v>
      </c>
      <c r="N108" s="924">
        <v>258</v>
      </c>
      <c r="O108" s="924">
        <v>261</v>
      </c>
      <c r="P108" s="924">
        <v>264</v>
      </c>
      <c r="Q108" s="924">
        <v>267</v>
      </c>
      <c r="R108" s="924">
        <v>270</v>
      </c>
      <c r="S108" s="924">
        <v>272</v>
      </c>
      <c r="T108" s="924">
        <v>274</v>
      </c>
      <c r="U108" s="924">
        <v>277</v>
      </c>
      <c r="V108" s="924">
        <v>281</v>
      </c>
      <c r="W108" s="924">
        <v>285</v>
      </c>
      <c r="X108" s="924">
        <v>288</v>
      </c>
      <c r="Y108" s="924">
        <v>291</v>
      </c>
      <c r="Z108" s="924">
        <v>294</v>
      </c>
      <c r="AA108" s="924">
        <v>301</v>
      </c>
      <c r="AB108" s="924">
        <v>306</v>
      </c>
      <c r="AC108" s="924">
        <v>310</v>
      </c>
    </row>
    <row r="109" spans="1:29" s="1878" customFormat="1">
      <c r="A109" s="1880">
        <v>31</v>
      </c>
      <c r="B109" s="924">
        <v>170</v>
      </c>
      <c r="C109" s="924">
        <v>170</v>
      </c>
      <c r="D109" s="924">
        <v>183</v>
      </c>
      <c r="E109" s="924">
        <v>195</v>
      </c>
      <c r="F109" s="924">
        <v>206</v>
      </c>
      <c r="G109" s="924">
        <v>216</v>
      </c>
      <c r="H109" s="924">
        <v>225</v>
      </c>
      <c r="I109" s="924">
        <v>233</v>
      </c>
      <c r="J109" s="924">
        <v>240</v>
      </c>
      <c r="K109" s="924">
        <v>244</v>
      </c>
      <c r="L109" s="924">
        <v>248</v>
      </c>
      <c r="M109" s="924">
        <v>252</v>
      </c>
      <c r="N109" s="924">
        <v>255</v>
      </c>
      <c r="O109" s="924">
        <v>259</v>
      </c>
      <c r="P109" s="924">
        <v>262</v>
      </c>
      <c r="Q109" s="924">
        <v>264</v>
      </c>
      <c r="R109" s="924">
        <v>267</v>
      </c>
      <c r="S109" s="924">
        <v>269</v>
      </c>
      <c r="T109" s="924">
        <v>272</v>
      </c>
      <c r="U109" s="924">
        <v>274</v>
      </c>
      <c r="V109" s="924">
        <v>278</v>
      </c>
      <c r="W109" s="924">
        <v>282</v>
      </c>
      <c r="X109" s="924">
        <v>285</v>
      </c>
      <c r="Y109" s="924">
        <v>290</v>
      </c>
      <c r="Z109" s="924">
        <v>291</v>
      </c>
      <c r="AA109" s="924">
        <v>298</v>
      </c>
      <c r="AB109" s="924">
        <v>303</v>
      </c>
      <c r="AC109" s="924">
        <v>308</v>
      </c>
    </row>
    <row r="110" spans="1:29" s="1878" customFormat="1">
      <c r="A110" s="1880">
        <v>31.1</v>
      </c>
      <c r="B110" s="924">
        <v>167</v>
      </c>
      <c r="C110" s="924">
        <v>167</v>
      </c>
      <c r="D110" s="924">
        <v>180</v>
      </c>
      <c r="E110" s="924">
        <v>192</v>
      </c>
      <c r="F110" s="924">
        <v>203</v>
      </c>
      <c r="G110" s="924">
        <v>212</v>
      </c>
      <c r="H110" s="924">
        <v>221</v>
      </c>
      <c r="I110" s="924">
        <v>230</v>
      </c>
      <c r="J110" s="924">
        <v>237</v>
      </c>
      <c r="K110" s="924">
        <v>242</v>
      </c>
      <c r="L110" s="924">
        <v>246</v>
      </c>
      <c r="M110" s="924">
        <v>249</v>
      </c>
      <c r="N110" s="924">
        <v>253</v>
      </c>
      <c r="O110" s="924">
        <v>256</v>
      </c>
      <c r="P110" s="924">
        <v>259</v>
      </c>
      <c r="Q110" s="924">
        <v>262</v>
      </c>
      <c r="R110" s="924">
        <v>264</v>
      </c>
      <c r="S110" s="924">
        <v>267</v>
      </c>
      <c r="T110" s="924">
        <v>269</v>
      </c>
      <c r="U110" s="924">
        <v>271</v>
      </c>
      <c r="V110" s="924">
        <v>275</v>
      </c>
      <c r="W110" s="924">
        <v>279</v>
      </c>
      <c r="X110" s="924">
        <v>282</v>
      </c>
      <c r="Y110" s="924">
        <v>285</v>
      </c>
      <c r="Z110" s="924">
        <v>288</v>
      </c>
      <c r="AA110" s="924">
        <v>295</v>
      </c>
      <c r="AB110" s="924">
        <v>300</v>
      </c>
      <c r="AC110" s="924">
        <v>305</v>
      </c>
    </row>
    <row r="111" spans="1:29" s="1878" customFormat="1">
      <c r="A111" s="1880">
        <v>31.2</v>
      </c>
      <c r="B111" s="924">
        <v>164</v>
      </c>
      <c r="C111" s="924">
        <v>164</v>
      </c>
      <c r="D111" s="924">
        <v>177</v>
      </c>
      <c r="E111" s="924">
        <v>189</v>
      </c>
      <c r="F111" s="924">
        <v>199</v>
      </c>
      <c r="G111" s="924">
        <v>209</v>
      </c>
      <c r="H111" s="924">
        <v>217</v>
      </c>
      <c r="I111" s="924">
        <v>226</v>
      </c>
      <c r="J111" s="924">
        <v>233</v>
      </c>
      <c r="K111" s="924">
        <v>239</v>
      </c>
      <c r="L111" s="924">
        <v>243</v>
      </c>
      <c r="M111" s="924">
        <v>247</v>
      </c>
      <c r="N111" s="924">
        <v>250</v>
      </c>
      <c r="O111" s="924">
        <v>253</v>
      </c>
      <c r="P111" s="924">
        <v>256</v>
      </c>
      <c r="Q111" s="924">
        <v>259</v>
      </c>
      <c r="R111" s="924">
        <v>262</v>
      </c>
      <c r="S111" s="924">
        <v>264</v>
      </c>
      <c r="T111" s="924">
        <v>266</v>
      </c>
      <c r="U111" s="924">
        <v>268</v>
      </c>
      <c r="V111" s="924">
        <v>273</v>
      </c>
      <c r="W111" s="924">
        <v>276</v>
      </c>
      <c r="X111" s="924">
        <v>280</v>
      </c>
      <c r="Y111" s="924">
        <v>283</v>
      </c>
      <c r="Z111" s="924">
        <v>285</v>
      </c>
      <c r="AA111" s="924">
        <v>292</v>
      </c>
      <c r="AB111" s="924">
        <v>297</v>
      </c>
      <c r="AC111" s="924">
        <v>301</v>
      </c>
    </row>
    <row r="112" spans="1:29" s="1878" customFormat="1">
      <c r="A112" s="1880">
        <v>31.3</v>
      </c>
      <c r="B112" s="924">
        <v>161</v>
      </c>
      <c r="C112" s="924">
        <v>161</v>
      </c>
      <c r="D112" s="924">
        <v>174</v>
      </c>
      <c r="E112" s="924">
        <v>185</v>
      </c>
      <c r="F112" s="924">
        <v>196</v>
      </c>
      <c r="G112" s="924">
        <v>205</v>
      </c>
      <c r="H112" s="924">
        <v>214</v>
      </c>
      <c r="I112" s="924">
        <v>222</v>
      </c>
      <c r="J112" s="924">
        <v>229</v>
      </c>
      <c r="K112" s="924">
        <v>238</v>
      </c>
      <c r="L112" s="924">
        <v>241</v>
      </c>
      <c r="M112" s="924">
        <v>244</v>
      </c>
      <c r="N112" s="924">
        <v>248</v>
      </c>
      <c r="O112" s="924">
        <v>251</v>
      </c>
      <c r="P112" s="924">
        <v>254</v>
      </c>
      <c r="Q112" s="924">
        <v>256</v>
      </c>
      <c r="R112" s="924">
        <v>259</v>
      </c>
      <c r="S112" s="924">
        <v>261</v>
      </c>
      <c r="T112" s="924">
        <v>264</v>
      </c>
      <c r="U112" s="924">
        <v>266</v>
      </c>
      <c r="V112" s="924">
        <v>270</v>
      </c>
      <c r="W112" s="924">
        <v>273</v>
      </c>
      <c r="X112" s="924">
        <v>277</v>
      </c>
      <c r="Y112" s="924">
        <v>280</v>
      </c>
      <c r="Z112" s="924">
        <v>282</v>
      </c>
      <c r="AA112" s="924">
        <v>289</v>
      </c>
      <c r="AB112" s="924">
        <v>294</v>
      </c>
      <c r="AC112" s="924">
        <v>298</v>
      </c>
    </row>
    <row r="113" spans="1:29" s="1878" customFormat="1">
      <c r="A113" s="1880">
        <v>31.4</v>
      </c>
      <c r="B113" s="924">
        <v>158</v>
      </c>
      <c r="C113" s="924">
        <v>158</v>
      </c>
      <c r="D113" s="924">
        <v>171</v>
      </c>
      <c r="E113" s="924">
        <v>182</v>
      </c>
      <c r="F113" s="924">
        <v>192</v>
      </c>
      <c r="G113" s="924">
        <v>201</v>
      </c>
      <c r="H113" s="924">
        <v>210</v>
      </c>
      <c r="I113" s="924">
        <v>218</v>
      </c>
      <c r="J113" s="924">
        <v>225</v>
      </c>
      <c r="K113" s="924">
        <v>232</v>
      </c>
      <c r="L113" s="924">
        <v>238</v>
      </c>
      <c r="M113" s="924">
        <v>242</v>
      </c>
      <c r="N113" s="924">
        <v>245</v>
      </c>
      <c r="O113" s="924">
        <v>248</v>
      </c>
      <c r="P113" s="924">
        <v>251</v>
      </c>
      <c r="Q113" s="924">
        <v>254</v>
      </c>
      <c r="R113" s="924">
        <v>256</v>
      </c>
      <c r="S113" s="924">
        <v>259</v>
      </c>
      <c r="T113" s="924">
        <v>261</v>
      </c>
      <c r="U113" s="924">
        <v>263</v>
      </c>
      <c r="V113" s="924">
        <v>267</v>
      </c>
      <c r="W113" s="924">
        <v>270</v>
      </c>
      <c r="X113" s="924">
        <v>274</v>
      </c>
      <c r="Y113" s="924">
        <v>277</v>
      </c>
      <c r="Z113" s="924">
        <v>280</v>
      </c>
      <c r="AA113" s="924">
        <v>286</v>
      </c>
      <c r="AB113" s="924">
        <v>291</v>
      </c>
      <c r="AC113" s="924">
        <v>295</v>
      </c>
    </row>
    <row r="114" spans="1:29" s="1878" customFormat="1">
      <c r="A114" s="1880">
        <v>31.5</v>
      </c>
      <c r="B114" s="924">
        <v>155</v>
      </c>
      <c r="C114" s="924">
        <v>155</v>
      </c>
      <c r="D114" s="924">
        <v>167</v>
      </c>
      <c r="E114" s="924">
        <v>179</v>
      </c>
      <c r="F114" s="924">
        <v>189</v>
      </c>
      <c r="G114" s="924">
        <v>196</v>
      </c>
      <c r="H114" s="924">
        <v>206</v>
      </c>
      <c r="I114" s="924">
        <v>214</v>
      </c>
      <c r="J114" s="924">
        <v>221</v>
      </c>
      <c r="K114" s="924">
        <v>228</v>
      </c>
      <c r="L114" s="924">
        <v>234</v>
      </c>
      <c r="M114" s="924">
        <v>239</v>
      </c>
      <c r="N114" s="924">
        <v>242</v>
      </c>
      <c r="O114" s="924">
        <v>245</v>
      </c>
      <c r="P114" s="924">
        <v>248</v>
      </c>
      <c r="Q114" s="924">
        <v>251</v>
      </c>
      <c r="R114" s="924">
        <v>253</v>
      </c>
      <c r="S114" s="924">
        <v>256</v>
      </c>
      <c r="T114" s="924">
        <v>258</v>
      </c>
      <c r="U114" s="924">
        <v>260</v>
      </c>
      <c r="V114" s="924">
        <v>264</v>
      </c>
      <c r="W114" s="924">
        <v>268</v>
      </c>
      <c r="X114" s="924">
        <v>271</v>
      </c>
      <c r="Y114" s="924">
        <v>274</v>
      </c>
      <c r="Z114" s="924">
        <v>277</v>
      </c>
      <c r="AA114" s="924">
        <v>283</v>
      </c>
      <c r="AB114" s="924">
        <v>288</v>
      </c>
      <c r="AC114" s="924">
        <v>292</v>
      </c>
    </row>
    <row r="115" spans="1:29" s="1878" customFormat="1">
      <c r="A115" s="1880">
        <v>31.6</v>
      </c>
      <c r="B115" s="924">
        <v>152</v>
      </c>
      <c r="C115" s="924">
        <v>152</v>
      </c>
      <c r="D115" s="924">
        <v>164</v>
      </c>
      <c r="E115" s="924">
        <v>175</v>
      </c>
      <c r="F115" s="924">
        <v>185</v>
      </c>
      <c r="G115" s="924">
        <v>194</v>
      </c>
      <c r="H115" s="924">
        <v>202</v>
      </c>
      <c r="I115" s="924">
        <v>210</v>
      </c>
      <c r="J115" s="924">
        <v>217</v>
      </c>
      <c r="K115" s="924">
        <v>224</v>
      </c>
      <c r="L115" s="924">
        <v>230</v>
      </c>
      <c r="M115" s="924">
        <v>236</v>
      </c>
      <c r="N115" s="924">
        <v>240</v>
      </c>
      <c r="O115" s="924">
        <v>243</v>
      </c>
      <c r="P115" s="924">
        <v>246</v>
      </c>
      <c r="Q115" s="924">
        <v>248</v>
      </c>
      <c r="R115" s="924">
        <v>251</v>
      </c>
      <c r="S115" s="924">
        <v>253</v>
      </c>
      <c r="T115" s="924">
        <v>255</v>
      </c>
      <c r="U115" s="924">
        <v>257</v>
      </c>
      <c r="V115" s="924">
        <v>261</v>
      </c>
      <c r="W115" s="924">
        <v>265</v>
      </c>
      <c r="X115" s="924">
        <v>268</v>
      </c>
      <c r="Y115" s="924">
        <v>271</v>
      </c>
      <c r="Z115" s="924">
        <v>274</v>
      </c>
      <c r="AA115" s="924">
        <v>280</v>
      </c>
      <c r="AB115" s="924">
        <v>285</v>
      </c>
      <c r="AC115" s="924">
        <v>289</v>
      </c>
    </row>
    <row r="116" spans="1:29" s="1878" customFormat="1">
      <c r="A116" s="1880">
        <v>31.7</v>
      </c>
      <c r="B116" s="924">
        <v>149</v>
      </c>
      <c r="C116" s="924">
        <v>149</v>
      </c>
      <c r="D116" s="924">
        <v>161</v>
      </c>
      <c r="E116" s="924">
        <v>172</v>
      </c>
      <c r="F116" s="924">
        <v>181</v>
      </c>
      <c r="G116" s="924">
        <v>190</v>
      </c>
      <c r="H116" s="924">
        <v>198</v>
      </c>
      <c r="I116" s="924">
        <v>206</v>
      </c>
      <c r="J116" s="924">
        <v>213</v>
      </c>
      <c r="K116" s="924">
        <v>219</v>
      </c>
      <c r="L116" s="924">
        <v>225</v>
      </c>
      <c r="M116" s="924">
        <v>231</v>
      </c>
      <c r="N116" s="924">
        <v>237</v>
      </c>
      <c r="O116" s="924">
        <v>240</v>
      </c>
      <c r="P116" s="924">
        <v>243</v>
      </c>
      <c r="Q116" s="924">
        <v>245</v>
      </c>
      <c r="R116" s="924">
        <v>246</v>
      </c>
      <c r="S116" s="924">
        <v>250</v>
      </c>
      <c r="T116" s="924">
        <v>252</v>
      </c>
      <c r="U116" s="924">
        <v>254</v>
      </c>
      <c r="V116" s="924">
        <v>258</v>
      </c>
      <c r="W116" s="924">
        <v>262</v>
      </c>
      <c r="X116" s="924">
        <v>265</v>
      </c>
      <c r="Y116" s="924">
        <v>268</v>
      </c>
      <c r="Z116" s="924">
        <v>271</v>
      </c>
      <c r="AA116" s="924">
        <v>276</v>
      </c>
      <c r="AB116" s="924">
        <v>281</v>
      </c>
      <c r="AC116" s="924">
        <v>285</v>
      </c>
    </row>
    <row r="117" spans="1:29" s="1878" customFormat="1">
      <c r="A117" s="1880">
        <v>31.8</v>
      </c>
      <c r="B117" s="924">
        <v>146</v>
      </c>
      <c r="C117" s="924">
        <v>146</v>
      </c>
      <c r="D117" s="924">
        <v>158</v>
      </c>
      <c r="E117" s="924">
        <v>168</v>
      </c>
      <c r="F117" s="924">
        <v>178</v>
      </c>
      <c r="G117" s="924">
        <v>187</v>
      </c>
      <c r="H117" s="924">
        <v>194</v>
      </c>
      <c r="I117" s="924">
        <v>202</v>
      </c>
      <c r="J117" s="924">
        <v>209</v>
      </c>
      <c r="K117" s="924">
        <v>215</v>
      </c>
      <c r="L117" s="924">
        <v>221</v>
      </c>
      <c r="M117" s="924">
        <v>227</v>
      </c>
      <c r="N117" s="924">
        <v>232</v>
      </c>
      <c r="O117" s="924">
        <v>237</v>
      </c>
      <c r="P117" s="924">
        <v>240</v>
      </c>
      <c r="Q117" s="924">
        <v>243</v>
      </c>
      <c r="R117" s="924">
        <v>245</v>
      </c>
      <c r="S117" s="924">
        <v>247</v>
      </c>
      <c r="T117" s="924">
        <v>250</v>
      </c>
      <c r="U117" s="924">
        <v>252</v>
      </c>
      <c r="V117" s="924">
        <v>255</v>
      </c>
      <c r="W117" s="924">
        <v>259</v>
      </c>
      <c r="X117" s="924">
        <v>262</v>
      </c>
      <c r="Y117" s="924">
        <v>265</v>
      </c>
      <c r="Z117" s="924">
        <v>268</v>
      </c>
      <c r="AA117" s="924">
        <v>273</v>
      </c>
      <c r="AB117" s="924">
        <v>278</v>
      </c>
      <c r="AC117" s="924">
        <v>283</v>
      </c>
    </row>
    <row r="118" spans="1:29" s="1878" customFormat="1">
      <c r="A118" s="1880">
        <v>31.9</v>
      </c>
      <c r="B118" s="924">
        <v>143</v>
      </c>
      <c r="C118" s="924">
        <v>143</v>
      </c>
      <c r="D118" s="924">
        <v>155</v>
      </c>
      <c r="E118" s="924">
        <v>165</v>
      </c>
      <c r="F118" s="924">
        <v>174</v>
      </c>
      <c r="G118" s="924">
        <v>183</v>
      </c>
      <c r="H118" s="924">
        <v>191</v>
      </c>
      <c r="I118" s="924">
        <v>198</v>
      </c>
      <c r="J118" s="924">
        <v>204</v>
      </c>
      <c r="K118" s="924">
        <v>211</v>
      </c>
      <c r="L118" s="924">
        <v>217</v>
      </c>
      <c r="M118" s="924">
        <v>222</v>
      </c>
      <c r="N118" s="924">
        <v>227</v>
      </c>
      <c r="O118" s="924">
        <v>232</v>
      </c>
      <c r="P118" s="924">
        <v>237</v>
      </c>
      <c r="Q118" s="924">
        <v>240</v>
      </c>
      <c r="R118" s="924">
        <v>242</v>
      </c>
      <c r="S118" s="924">
        <v>245</v>
      </c>
      <c r="T118" s="924">
        <v>247</v>
      </c>
      <c r="U118" s="924">
        <v>249</v>
      </c>
      <c r="V118" s="924">
        <v>253</v>
      </c>
      <c r="W118" s="924">
        <v>256</v>
      </c>
      <c r="X118" s="924">
        <v>259</v>
      </c>
      <c r="Y118" s="924">
        <v>262</v>
      </c>
      <c r="Z118" s="924">
        <v>265</v>
      </c>
      <c r="AA118" s="924">
        <v>271</v>
      </c>
      <c r="AB118" s="924">
        <v>275</v>
      </c>
      <c r="AC118" s="924">
        <v>279</v>
      </c>
    </row>
    <row r="119" spans="1:29" s="1878" customFormat="1">
      <c r="A119" s="1880">
        <v>32</v>
      </c>
      <c r="B119" s="924">
        <v>140</v>
      </c>
      <c r="C119" s="924">
        <v>140</v>
      </c>
      <c r="D119" s="924">
        <v>152</v>
      </c>
      <c r="E119" s="924">
        <v>162</v>
      </c>
      <c r="F119" s="924">
        <v>171</v>
      </c>
      <c r="G119" s="924">
        <v>179</v>
      </c>
      <c r="H119" s="924">
        <v>187</v>
      </c>
      <c r="I119" s="924">
        <v>194</v>
      </c>
      <c r="J119" s="924">
        <v>200</v>
      </c>
      <c r="K119" s="924">
        <v>206</v>
      </c>
      <c r="L119" s="924">
        <v>212</v>
      </c>
      <c r="M119" s="924">
        <v>218</v>
      </c>
      <c r="N119" s="924">
        <v>223</v>
      </c>
      <c r="O119" s="924">
        <v>228</v>
      </c>
      <c r="P119" s="924">
        <v>232</v>
      </c>
      <c r="Q119" s="924">
        <v>237</v>
      </c>
      <c r="R119" s="924">
        <v>240</v>
      </c>
      <c r="S119" s="924">
        <v>242</v>
      </c>
      <c r="T119" s="924">
        <v>244</v>
      </c>
      <c r="U119" s="924">
        <v>246</v>
      </c>
      <c r="V119" s="924">
        <v>250</v>
      </c>
      <c r="W119" s="924">
        <v>253</v>
      </c>
      <c r="X119" s="924">
        <v>256</v>
      </c>
      <c r="Y119" s="924">
        <v>259</v>
      </c>
      <c r="Z119" s="924">
        <v>261</v>
      </c>
      <c r="AA119" s="924">
        <v>267</v>
      </c>
      <c r="AB119" s="924">
        <v>272</v>
      </c>
      <c r="AC119" s="924">
        <v>276</v>
      </c>
    </row>
    <row r="120" spans="1:29" s="1878" customFormat="1">
      <c r="A120" s="1880">
        <v>32.1</v>
      </c>
      <c r="B120" s="924">
        <v>137</v>
      </c>
      <c r="C120" s="924">
        <v>137</v>
      </c>
      <c r="D120" s="924">
        <v>148</v>
      </c>
      <c r="E120" s="924">
        <v>158</v>
      </c>
      <c r="F120" s="924">
        <v>167</v>
      </c>
      <c r="G120" s="924">
        <v>175</v>
      </c>
      <c r="H120" s="924">
        <v>183</v>
      </c>
      <c r="I120" s="924">
        <v>190</v>
      </c>
      <c r="J120" s="924">
        <v>196</v>
      </c>
      <c r="K120" s="924">
        <v>202</v>
      </c>
      <c r="L120" s="924">
        <v>208</v>
      </c>
      <c r="M120" s="924">
        <v>213</v>
      </c>
      <c r="N120" s="924">
        <v>218</v>
      </c>
      <c r="O120" s="924">
        <v>223</v>
      </c>
      <c r="P120" s="924">
        <v>228</v>
      </c>
      <c r="Q120" s="924">
        <v>232</v>
      </c>
      <c r="R120" s="924">
        <v>236</v>
      </c>
      <c r="S120" s="924">
        <v>239</v>
      </c>
      <c r="T120" s="924">
        <v>241</v>
      </c>
      <c r="U120" s="924">
        <v>243</v>
      </c>
      <c r="V120" s="924">
        <v>247</v>
      </c>
      <c r="W120" s="924">
        <v>250</v>
      </c>
      <c r="X120" s="924">
        <v>253</v>
      </c>
      <c r="Y120" s="924">
        <v>256</v>
      </c>
      <c r="Z120" s="924">
        <v>258</v>
      </c>
      <c r="AA120" s="924">
        <v>264</v>
      </c>
      <c r="AB120" s="924">
        <v>269</v>
      </c>
      <c r="AC120" s="924">
        <v>273</v>
      </c>
    </row>
    <row r="121" spans="1:29" s="1878" customFormat="1">
      <c r="A121" s="1880">
        <v>32.200000000000003</v>
      </c>
      <c r="B121" s="924">
        <v>134</v>
      </c>
      <c r="C121" s="924">
        <v>134</v>
      </c>
      <c r="D121" s="924">
        <v>145</v>
      </c>
      <c r="E121" s="924">
        <v>155</v>
      </c>
      <c r="F121" s="924">
        <v>163</v>
      </c>
      <c r="G121" s="924">
        <v>171</v>
      </c>
      <c r="H121" s="924">
        <v>179</v>
      </c>
      <c r="I121" s="924">
        <v>186</v>
      </c>
      <c r="J121" s="924">
        <v>192</v>
      </c>
      <c r="K121" s="924">
        <v>198</v>
      </c>
      <c r="L121" s="924">
        <v>203</v>
      </c>
      <c r="M121" s="924">
        <v>209</v>
      </c>
      <c r="N121" s="924">
        <v>214</v>
      </c>
      <c r="O121" s="924">
        <v>218</v>
      </c>
      <c r="P121" s="924">
        <v>223</v>
      </c>
      <c r="Q121" s="924">
        <v>227</v>
      </c>
      <c r="R121" s="924">
        <v>231</v>
      </c>
      <c r="S121" s="924">
        <v>235</v>
      </c>
      <c r="T121" s="924">
        <v>239</v>
      </c>
      <c r="U121" s="924">
        <v>240</v>
      </c>
      <c r="V121" s="924">
        <v>244</v>
      </c>
      <c r="W121" s="924">
        <v>247</v>
      </c>
      <c r="X121" s="924">
        <v>250</v>
      </c>
      <c r="Y121" s="924">
        <v>253</v>
      </c>
      <c r="Z121" s="924">
        <v>255</v>
      </c>
      <c r="AA121" s="924">
        <v>261</v>
      </c>
      <c r="AB121" s="924">
        <v>266</v>
      </c>
      <c r="AC121" s="924">
        <v>270</v>
      </c>
    </row>
    <row r="122" spans="1:29" s="1878" customFormat="1">
      <c r="A122" s="1880">
        <v>32.299999999999997</v>
      </c>
      <c r="B122" s="924">
        <v>131</v>
      </c>
      <c r="C122" s="924">
        <v>131</v>
      </c>
      <c r="D122" s="924">
        <v>142</v>
      </c>
      <c r="E122" s="924">
        <v>151</v>
      </c>
      <c r="F122" s="924">
        <v>160</v>
      </c>
      <c r="G122" s="924">
        <v>168</v>
      </c>
      <c r="H122" s="924">
        <v>175</v>
      </c>
      <c r="I122" s="924">
        <v>181</v>
      </c>
      <c r="J122" s="924">
        <v>188</v>
      </c>
      <c r="K122" s="924">
        <v>193</v>
      </c>
      <c r="L122" s="924">
        <v>196</v>
      </c>
      <c r="M122" s="924">
        <v>204</v>
      </c>
      <c r="N122" s="924">
        <v>209</v>
      </c>
      <c r="O122" s="924">
        <v>213</v>
      </c>
      <c r="P122" s="924">
        <v>218</v>
      </c>
      <c r="Q122" s="924">
        <v>222</v>
      </c>
      <c r="R122" s="924">
        <v>226</v>
      </c>
      <c r="S122" s="924">
        <v>230</v>
      </c>
      <c r="T122" s="924">
        <v>233</v>
      </c>
      <c r="U122" s="924">
        <v>237</v>
      </c>
      <c r="V122" s="924">
        <v>241</v>
      </c>
      <c r="W122" s="924">
        <v>244</v>
      </c>
      <c r="X122" s="924">
        <v>247</v>
      </c>
      <c r="Y122" s="924">
        <v>250</v>
      </c>
      <c r="Z122" s="924">
        <v>252</v>
      </c>
      <c r="AA122" s="924">
        <v>258</v>
      </c>
      <c r="AB122" s="924">
        <v>262</v>
      </c>
      <c r="AC122" s="924">
        <v>267</v>
      </c>
    </row>
    <row r="123" spans="1:29" s="1878" customFormat="1">
      <c r="A123" s="1880">
        <v>32.4</v>
      </c>
      <c r="B123" s="924">
        <v>128</v>
      </c>
      <c r="C123" s="924">
        <v>129</v>
      </c>
      <c r="D123" s="924">
        <v>139</v>
      </c>
      <c r="E123" s="924">
        <v>148</v>
      </c>
      <c r="F123" s="924">
        <v>158</v>
      </c>
      <c r="G123" s="924">
        <v>164</v>
      </c>
      <c r="H123" s="924">
        <v>171</v>
      </c>
      <c r="I123" s="924">
        <v>177</v>
      </c>
      <c r="J123" s="924">
        <v>183</v>
      </c>
      <c r="K123" s="924">
        <v>189</v>
      </c>
      <c r="L123" s="924">
        <v>194</v>
      </c>
      <c r="M123" s="924">
        <v>199</v>
      </c>
      <c r="N123" s="924">
        <v>204</v>
      </c>
      <c r="O123" s="924">
        <v>209</v>
      </c>
      <c r="P123" s="924">
        <v>213</v>
      </c>
      <c r="Q123" s="924">
        <v>217</v>
      </c>
      <c r="R123" s="924">
        <v>221</v>
      </c>
      <c r="S123" s="924">
        <v>225</v>
      </c>
      <c r="T123" s="924">
        <v>228</v>
      </c>
      <c r="U123" s="924">
        <v>232</v>
      </c>
      <c r="V123" s="924">
        <v>238</v>
      </c>
      <c r="W123" s="924">
        <v>241</v>
      </c>
      <c r="X123" s="924">
        <v>244</v>
      </c>
      <c r="Y123" s="924">
        <v>247</v>
      </c>
      <c r="Z123" s="924">
        <v>249</v>
      </c>
      <c r="AA123" s="924">
        <v>255</v>
      </c>
      <c r="AB123" s="924">
        <v>259</v>
      </c>
      <c r="AC123" s="924">
        <v>263</v>
      </c>
    </row>
    <row r="124" spans="1:29" s="1878" customFormat="1">
      <c r="A124" s="1880">
        <v>32.5</v>
      </c>
      <c r="B124" s="924">
        <v>125</v>
      </c>
      <c r="C124" s="924">
        <v>125</v>
      </c>
      <c r="D124" s="924">
        <v>135</v>
      </c>
      <c r="E124" s="924">
        <v>144</v>
      </c>
      <c r="F124" s="924">
        <v>153</v>
      </c>
      <c r="G124" s="924">
        <v>160</v>
      </c>
      <c r="H124" s="924">
        <v>167</v>
      </c>
      <c r="I124" s="924">
        <v>173</v>
      </c>
      <c r="J124" s="924">
        <v>179</v>
      </c>
      <c r="K124" s="924">
        <v>185</v>
      </c>
      <c r="L124" s="924">
        <v>190</v>
      </c>
      <c r="M124" s="924">
        <v>195</v>
      </c>
      <c r="N124" s="924">
        <v>199</v>
      </c>
      <c r="O124" s="924">
        <v>204</v>
      </c>
      <c r="P124" s="924">
        <v>208</v>
      </c>
      <c r="Q124" s="924">
        <v>212</v>
      </c>
      <c r="R124" s="924">
        <v>216</v>
      </c>
      <c r="S124" s="924">
        <v>219</v>
      </c>
      <c r="T124" s="924">
        <v>223</v>
      </c>
      <c r="U124" s="924">
        <v>228</v>
      </c>
      <c r="V124" s="924">
        <v>233</v>
      </c>
      <c r="W124" s="924">
        <v>238</v>
      </c>
      <c r="X124" s="924">
        <v>241</v>
      </c>
      <c r="Y124" s="924">
        <v>244</v>
      </c>
      <c r="Z124" s="924">
        <v>246</v>
      </c>
      <c r="AA124" s="924">
        <v>252</v>
      </c>
      <c r="AB124" s="924">
        <v>258</v>
      </c>
      <c r="AC124" s="924">
        <v>260</v>
      </c>
    </row>
    <row r="125" spans="1:29" s="1878" customFormat="1">
      <c r="A125" s="1880">
        <v>32.6</v>
      </c>
      <c r="B125" s="924">
        <v>122</v>
      </c>
      <c r="C125" s="924">
        <v>122</v>
      </c>
      <c r="D125" s="924">
        <v>132</v>
      </c>
      <c r="E125" s="924">
        <v>141</v>
      </c>
      <c r="F125" s="924">
        <v>149</v>
      </c>
      <c r="G125" s="924">
        <v>156</v>
      </c>
      <c r="H125" s="924">
        <v>163</v>
      </c>
      <c r="I125" s="924">
        <v>169</v>
      </c>
      <c r="J125" s="924">
        <v>175</v>
      </c>
      <c r="K125" s="924">
        <v>180</v>
      </c>
      <c r="L125" s="924">
        <v>185</v>
      </c>
      <c r="M125" s="924">
        <v>190</v>
      </c>
      <c r="N125" s="924">
        <v>195</v>
      </c>
      <c r="O125" s="924">
        <v>199</v>
      </c>
      <c r="P125" s="924">
        <v>203</v>
      </c>
      <c r="Q125" s="924">
        <v>207</v>
      </c>
      <c r="R125" s="924">
        <v>211</v>
      </c>
      <c r="S125" s="924">
        <v>214</v>
      </c>
      <c r="T125" s="924">
        <v>218</v>
      </c>
      <c r="U125" s="924">
        <v>221</v>
      </c>
      <c r="V125" s="924">
        <v>227</v>
      </c>
      <c r="W125" s="924">
        <v>233</v>
      </c>
      <c r="X125" s="924">
        <v>238</v>
      </c>
      <c r="Y125" s="924">
        <v>241</v>
      </c>
      <c r="Z125" s="924">
        <v>243</v>
      </c>
      <c r="AA125" s="924">
        <v>248</v>
      </c>
      <c r="AB125" s="924">
        <v>253</v>
      </c>
      <c r="AC125" s="924">
        <v>257</v>
      </c>
    </row>
    <row r="126" spans="1:29" s="1878" customFormat="1">
      <c r="A126" s="1880">
        <v>32.700000000000003</v>
      </c>
      <c r="B126" s="924">
        <v>119</v>
      </c>
      <c r="C126" s="924">
        <v>119</v>
      </c>
      <c r="D126" s="924">
        <v>129</v>
      </c>
      <c r="E126" s="924">
        <v>137</v>
      </c>
      <c r="F126" s="924">
        <v>145</v>
      </c>
      <c r="G126" s="924">
        <v>152</v>
      </c>
      <c r="H126" s="924">
        <v>159</v>
      </c>
      <c r="I126" s="924">
        <v>164</v>
      </c>
      <c r="J126" s="924">
        <v>170</v>
      </c>
      <c r="K126" s="924">
        <v>176</v>
      </c>
      <c r="L126" s="924">
        <v>181</v>
      </c>
      <c r="M126" s="924">
        <v>185</v>
      </c>
      <c r="N126" s="924">
        <v>190</v>
      </c>
      <c r="O126" s="924">
        <v>194</v>
      </c>
      <c r="P126" s="924">
        <v>198</v>
      </c>
      <c r="Q126" s="924">
        <v>202</v>
      </c>
      <c r="R126" s="924">
        <v>205</v>
      </c>
      <c r="S126" s="924">
        <v>209</v>
      </c>
      <c r="T126" s="924">
        <v>212</v>
      </c>
      <c r="U126" s="924">
        <v>216</v>
      </c>
      <c r="V126" s="924">
        <v>222</v>
      </c>
      <c r="W126" s="924">
        <v>227</v>
      </c>
      <c r="X126" s="924">
        <v>232</v>
      </c>
      <c r="Y126" s="924">
        <v>237</v>
      </c>
      <c r="Z126" s="924">
        <v>240</v>
      </c>
      <c r="AA126" s="924">
        <v>245</v>
      </c>
      <c r="AB126" s="924">
        <v>250</v>
      </c>
      <c r="AC126" s="924">
        <v>253</v>
      </c>
    </row>
    <row r="127" spans="1:29" s="1878" customFormat="1">
      <c r="A127" s="1880">
        <v>32.799999999999997</v>
      </c>
      <c r="B127" s="924">
        <v>116</v>
      </c>
      <c r="C127" s="924">
        <v>116</v>
      </c>
      <c r="D127" s="924">
        <v>125</v>
      </c>
      <c r="E127" s="924">
        <v>134</v>
      </c>
      <c r="F127" s="924">
        <v>141</v>
      </c>
      <c r="G127" s="924">
        <v>148</v>
      </c>
      <c r="H127" s="924">
        <v>155</v>
      </c>
      <c r="I127" s="924">
        <v>161</v>
      </c>
      <c r="J127" s="924">
        <v>166</v>
      </c>
      <c r="K127" s="924">
        <v>171</v>
      </c>
      <c r="L127" s="924">
        <v>176</v>
      </c>
      <c r="M127" s="924">
        <v>181</v>
      </c>
      <c r="N127" s="924">
        <v>185</v>
      </c>
      <c r="O127" s="924">
        <v>189</v>
      </c>
      <c r="P127" s="924">
        <v>193</v>
      </c>
      <c r="Q127" s="924">
        <v>197</v>
      </c>
      <c r="R127" s="924">
        <v>200</v>
      </c>
      <c r="S127" s="924">
        <v>204</v>
      </c>
      <c r="T127" s="924">
        <v>207</v>
      </c>
      <c r="U127" s="924">
        <v>210</v>
      </c>
      <c r="V127" s="924">
        <v>216</v>
      </c>
      <c r="W127" s="924">
        <v>221</v>
      </c>
      <c r="X127" s="924">
        <v>227</v>
      </c>
      <c r="Y127" s="924">
        <v>231</v>
      </c>
      <c r="Z127" s="924">
        <v>236</v>
      </c>
      <c r="AA127" s="924">
        <v>242</v>
      </c>
      <c r="AB127" s="924">
        <v>246</v>
      </c>
      <c r="AC127" s="924">
        <v>250</v>
      </c>
    </row>
    <row r="128" spans="1:29" s="1878" customFormat="1">
      <c r="A128" s="1880">
        <v>32.9</v>
      </c>
      <c r="B128" s="924">
        <v>113</v>
      </c>
      <c r="C128" s="924">
        <v>113</v>
      </c>
      <c r="D128" s="924">
        <v>122</v>
      </c>
      <c r="E128" s="924">
        <v>130</v>
      </c>
      <c r="F128" s="924">
        <v>138</v>
      </c>
      <c r="G128" s="924">
        <v>144</v>
      </c>
      <c r="H128" s="924">
        <v>151</v>
      </c>
      <c r="I128" s="924">
        <v>156</v>
      </c>
      <c r="J128" s="924">
        <v>162</v>
      </c>
      <c r="K128" s="924">
        <v>167</v>
      </c>
      <c r="L128" s="924">
        <v>172</v>
      </c>
      <c r="M128" s="924">
        <v>176</v>
      </c>
      <c r="N128" s="924">
        <v>180</v>
      </c>
      <c r="O128" s="924">
        <v>184</v>
      </c>
      <c r="P128" s="924">
        <v>188</v>
      </c>
      <c r="Q128" s="924">
        <v>192</v>
      </c>
      <c r="R128" s="924">
        <v>195</v>
      </c>
      <c r="S128" s="924">
        <v>198</v>
      </c>
      <c r="T128" s="924">
        <v>202</v>
      </c>
      <c r="U128" s="924">
        <v>205</v>
      </c>
      <c r="V128" s="924">
        <v>210</v>
      </c>
      <c r="W128" s="924">
        <v>216</v>
      </c>
      <c r="X128" s="924">
        <v>221</v>
      </c>
      <c r="Y128" s="924">
        <v>225</v>
      </c>
      <c r="Z128" s="924">
        <v>238</v>
      </c>
      <c r="AA128" s="924">
        <v>240</v>
      </c>
      <c r="AB128" s="924">
        <v>243</v>
      </c>
      <c r="AC128" s="924">
        <v>247</v>
      </c>
    </row>
    <row r="129" spans="1:29" s="1878" customFormat="1">
      <c r="A129" s="1880">
        <v>33</v>
      </c>
      <c r="B129" s="924">
        <v>110</v>
      </c>
      <c r="C129" s="924">
        <v>110</v>
      </c>
      <c r="D129" s="924">
        <v>119</v>
      </c>
      <c r="E129" s="924">
        <v>127</v>
      </c>
      <c r="F129" s="924">
        <v>134</v>
      </c>
      <c r="G129" s="924">
        <v>140</v>
      </c>
      <c r="H129" s="924">
        <v>147</v>
      </c>
      <c r="I129" s="924">
        <v>152</v>
      </c>
      <c r="J129" s="924">
        <v>157</v>
      </c>
      <c r="K129" s="924">
        <v>162</v>
      </c>
      <c r="L129" s="924">
        <v>167</v>
      </c>
      <c r="M129" s="924">
        <v>171</v>
      </c>
      <c r="N129" s="924">
        <v>175</v>
      </c>
      <c r="O129" s="924">
        <v>179</v>
      </c>
      <c r="P129" s="924">
        <v>183</v>
      </c>
      <c r="Q129" s="924">
        <v>187</v>
      </c>
      <c r="R129" s="924">
        <v>190</v>
      </c>
      <c r="S129" s="924">
        <v>193</v>
      </c>
      <c r="T129" s="924">
        <v>196</v>
      </c>
      <c r="U129" s="924">
        <v>199</v>
      </c>
      <c r="V129" s="924">
        <v>205</v>
      </c>
      <c r="W129" s="924">
        <v>210</v>
      </c>
      <c r="X129" s="924">
        <v>215</v>
      </c>
      <c r="Y129" s="924">
        <v>219</v>
      </c>
      <c r="Z129" s="924">
        <v>224</v>
      </c>
      <c r="AA129" s="924">
        <v>233</v>
      </c>
      <c r="AB129" s="924">
        <v>240</v>
      </c>
      <c r="AC129" s="924">
        <v>243</v>
      </c>
    </row>
    <row r="130" spans="1:29" s="1878" customFormat="1">
      <c r="A130" s="1880">
        <v>33.1</v>
      </c>
      <c r="B130" s="924">
        <v>106</v>
      </c>
      <c r="C130" s="924">
        <v>106</v>
      </c>
      <c r="D130" s="924">
        <v>115</v>
      </c>
      <c r="E130" s="924">
        <v>123</v>
      </c>
      <c r="F130" s="924">
        <v>130</v>
      </c>
      <c r="G130" s="924">
        <v>137</v>
      </c>
      <c r="H130" s="924">
        <v>142</v>
      </c>
      <c r="I130" s="924">
        <v>148</v>
      </c>
      <c r="J130" s="924">
        <v>153</v>
      </c>
      <c r="K130" s="924">
        <v>158</v>
      </c>
      <c r="L130" s="924">
        <v>162</v>
      </c>
      <c r="M130" s="924">
        <v>167</v>
      </c>
      <c r="N130" s="924">
        <v>171</v>
      </c>
      <c r="O130" s="924">
        <v>174</v>
      </c>
      <c r="P130" s="924">
        <v>179</v>
      </c>
      <c r="Q130" s="924">
        <v>181</v>
      </c>
      <c r="R130" s="924">
        <v>185</v>
      </c>
      <c r="S130" s="924">
        <v>188</v>
      </c>
      <c r="T130" s="924">
        <v>191</v>
      </c>
      <c r="U130" s="924">
        <v>194</v>
      </c>
      <c r="V130" s="924">
        <v>199</v>
      </c>
      <c r="W130" s="924">
        <v>204</v>
      </c>
      <c r="X130" s="924">
        <v>209</v>
      </c>
      <c r="Y130" s="924">
        <v>213</v>
      </c>
      <c r="Z130" s="924">
        <v>219</v>
      </c>
      <c r="AA130" s="924">
        <v>227</v>
      </c>
      <c r="AB130" s="924">
        <v>235</v>
      </c>
      <c r="AC130" s="924">
        <v>240</v>
      </c>
    </row>
    <row r="131" spans="1:29" s="1878" customFormat="1">
      <c r="A131" s="1880">
        <v>33.200000000000003</v>
      </c>
      <c r="B131" s="924">
        <v>103</v>
      </c>
      <c r="C131" s="924">
        <v>103</v>
      </c>
      <c r="D131" s="924">
        <v>112</v>
      </c>
      <c r="E131" s="924">
        <v>119</v>
      </c>
      <c r="F131" s="924">
        <v>126</v>
      </c>
      <c r="G131" s="924">
        <v>133</v>
      </c>
      <c r="H131" s="924">
        <v>138</v>
      </c>
      <c r="I131" s="924">
        <v>144</v>
      </c>
      <c r="J131" s="924">
        <v>149</v>
      </c>
      <c r="K131" s="924">
        <v>153</v>
      </c>
      <c r="L131" s="924">
        <v>158</v>
      </c>
      <c r="M131" s="924">
        <v>162</v>
      </c>
      <c r="N131" s="924">
        <v>166</v>
      </c>
      <c r="O131" s="924">
        <v>169</v>
      </c>
      <c r="P131" s="924">
        <v>173</v>
      </c>
      <c r="Q131" s="924">
        <v>176</v>
      </c>
      <c r="R131" s="924">
        <v>179</v>
      </c>
      <c r="S131" s="924">
        <v>182</v>
      </c>
      <c r="T131" s="924">
        <v>185</v>
      </c>
      <c r="U131" s="924">
        <v>188</v>
      </c>
      <c r="V131" s="924">
        <v>193</v>
      </c>
      <c r="W131" s="924">
        <v>196</v>
      </c>
      <c r="X131" s="924">
        <v>203</v>
      </c>
      <c r="Y131" s="924">
        <v>207</v>
      </c>
      <c r="Z131" s="924">
        <v>211</v>
      </c>
      <c r="AA131" s="924">
        <v>221</v>
      </c>
      <c r="AB131" s="924">
        <v>229</v>
      </c>
      <c r="AC131" s="924">
        <v>236</v>
      </c>
    </row>
    <row r="132" spans="1:29" s="1878" customFormat="1">
      <c r="A132" s="1880">
        <v>33.299999999999997</v>
      </c>
      <c r="B132" s="924">
        <v>100</v>
      </c>
      <c r="C132" s="924">
        <v>100</v>
      </c>
      <c r="D132" s="924">
        <v>108</v>
      </c>
      <c r="E132" s="924">
        <v>116</v>
      </c>
      <c r="F132" s="924">
        <v>123</v>
      </c>
      <c r="G132" s="924">
        <v>129</v>
      </c>
      <c r="H132" s="924">
        <v>134</v>
      </c>
      <c r="I132" s="924">
        <v>139</v>
      </c>
      <c r="J132" s="924">
        <v>144</v>
      </c>
      <c r="K132" s="924">
        <v>149</v>
      </c>
      <c r="L132" s="924">
        <v>153</v>
      </c>
      <c r="M132" s="924">
        <v>157</v>
      </c>
      <c r="N132" s="924">
        <v>161</v>
      </c>
      <c r="O132" s="924">
        <v>164</v>
      </c>
      <c r="P132" s="924">
        <v>168</v>
      </c>
      <c r="Q132" s="924">
        <v>171</v>
      </c>
      <c r="R132" s="924">
        <v>174</v>
      </c>
      <c r="S132" s="924">
        <v>177</v>
      </c>
      <c r="T132" s="924">
        <v>180</v>
      </c>
      <c r="U132" s="924">
        <v>183</v>
      </c>
      <c r="V132" s="924">
        <v>188</v>
      </c>
      <c r="W132" s="924">
        <v>193</v>
      </c>
      <c r="X132" s="924">
        <v>197</v>
      </c>
      <c r="Y132" s="924">
        <v>201</v>
      </c>
      <c r="Z132" s="924">
        <v>205</v>
      </c>
      <c r="AA132" s="924">
        <v>214</v>
      </c>
      <c r="AB132" s="924">
        <v>222</v>
      </c>
      <c r="AC132" s="924">
        <v>229</v>
      </c>
    </row>
    <row r="133" spans="1:29" s="1878" customFormat="1">
      <c r="A133" s="1880">
        <v>33.4</v>
      </c>
      <c r="B133" s="924">
        <v>97</v>
      </c>
      <c r="C133" s="924">
        <v>97</v>
      </c>
      <c r="D133" s="924">
        <v>105</v>
      </c>
      <c r="E133" s="924">
        <v>112</v>
      </c>
      <c r="F133" s="924">
        <v>119</v>
      </c>
      <c r="G133" s="924">
        <v>125</v>
      </c>
      <c r="H133" s="924">
        <v>130</v>
      </c>
      <c r="I133" s="924">
        <v>135</v>
      </c>
      <c r="J133" s="924">
        <v>140</v>
      </c>
      <c r="K133" s="924">
        <v>144</v>
      </c>
      <c r="L133" s="924">
        <v>148</v>
      </c>
      <c r="M133" s="924">
        <v>152</v>
      </c>
      <c r="N133" s="924">
        <v>156</v>
      </c>
      <c r="O133" s="924">
        <v>159</v>
      </c>
      <c r="P133" s="924">
        <v>163</v>
      </c>
      <c r="Q133" s="924">
        <v>166</v>
      </c>
      <c r="R133" s="924">
        <v>169</v>
      </c>
      <c r="S133" s="924">
        <v>172</v>
      </c>
      <c r="T133" s="924">
        <v>174</v>
      </c>
      <c r="U133" s="924">
        <v>177</v>
      </c>
      <c r="V133" s="924">
        <v>182</v>
      </c>
      <c r="W133" s="924">
        <v>187</v>
      </c>
      <c r="X133" s="924">
        <v>191</v>
      </c>
      <c r="Y133" s="924">
        <v>195</v>
      </c>
      <c r="Z133" s="924">
        <v>199</v>
      </c>
      <c r="AA133" s="924">
        <v>208</v>
      </c>
      <c r="AB133" s="924">
        <v>215</v>
      </c>
      <c r="AC133" s="924">
        <v>222</v>
      </c>
    </row>
    <row r="134" spans="1:29" s="1878" customFormat="1">
      <c r="A134" s="1880">
        <v>33.5</v>
      </c>
      <c r="B134" s="924">
        <v>94</v>
      </c>
      <c r="C134" s="924">
        <v>94</v>
      </c>
      <c r="D134" s="924">
        <v>102</v>
      </c>
      <c r="E134" s="924">
        <v>109</v>
      </c>
      <c r="F134" s="924">
        <v>115</v>
      </c>
      <c r="G134" s="924">
        <v>121</v>
      </c>
      <c r="H134" s="924">
        <v>128</v>
      </c>
      <c r="I134" s="924">
        <v>131</v>
      </c>
      <c r="J134" s="924">
        <v>135</v>
      </c>
      <c r="K134" s="924">
        <v>140</v>
      </c>
      <c r="L134" s="924">
        <v>144</v>
      </c>
      <c r="M134" s="924">
        <v>147</v>
      </c>
      <c r="N134" s="924">
        <v>151</v>
      </c>
      <c r="O134" s="924">
        <v>154</v>
      </c>
      <c r="P134" s="924">
        <v>157</v>
      </c>
      <c r="Q134" s="924">
        <v>161</v>
      </c>
      <c r="R134" s="924">
        <v>163</v>
      </c>
      <c r="S134" s="924">
        <v>166</v>
      </c>
      <c r="T134" s="924">
        <v>169</v>
      </c>
      <c r="U134" s="924">
        <v>171</v>
      </c>
      <c r="V134" s="924">
        <v>176</v>
      </c>
      <c r="W134" s="924">
        <v>181</v>
      </c>
      <c r="X134" s="924">
        <v>185</v>
      </c>
      <c r="Y134" s="924">
        <v>189</v>
      </c>
      <c r="Z134" s="924">
        <v>193</v>
      </c>
      <c r="AA134" s="924">
        <v>201</v>
      </c>
      <c r="AB134" s="924">
        <v>208</v>
      </c>
      <c r="AC134" s="924">
        <v>215</v>
      </c>
    </row>
    <row r="135" spans="1:29">
      <c r="A135" s="1880">
        <v>33.6</v>
      </c>
      <c r="B135" s="924">
        <v>91</v>
      </c>
      <c r="C135" s="924">
        <v>91</v>
      </c>
      <c r="D135" s="924">
        <v>98</v>
      </c>
      <c r="E135" s="924">
        <v>105</v>
      </c>
      <c r="F135" s="924">
        <v>111</v>
      </c>
      <c r="G135" s="924">
        <v>117</v>
      </c>
      <c r="H135" s="924">
        <v>122</v>
      </c>
      <c r="I135" s="924">
        <v>126</v>
      </c>
      <c r="J135" s="924">
        <v>131</v>
      </c>
      <c r="K135" s="924">
        <v>135</v>
      </c>
      <c r="L135" s="924">
        <v>139</v>
      </c>
      <c r="M135" s="924">
        <v>142</v>
      </c>
      <c r="N135" s="924">
        <v>146</v>
      </c>
      <c r="O135" s="924">
        <v>149</v>
      </c>
      <c r="P135" s="924">
        <v>152</v>
      </c>
      <c r="Q135" s="924">
        <v>155</v>
      </c>
      <c r="R135" s="924">
        <v>158</v>
      </c>
      <c r="S135" s="924">
        <v>161</v>
      </c>
      <c r="T135" s="924">
        <v>163</v>
      </c>
      <c r="U135" s="924">
        <v>166</v>
      </c>
      <c r="V135" s="924">
        <v>171</v>
      </c>
      <c r="W135" s="924">
        <v>175</v>
      </c>
      <c r="X135" s="924">
        <v>179</v>
      </c>
      <c r="Y135" s="924">
        <v>183</v>
      </c>
      <c r="Z135" s="924">
        <v>186</v>
      </c>
      <c r="AA135" s="924">
        <v>193</v>
      </c>
      <c r="AB135" s="924">
        <v>202</v>
      </c>
      <c r="AC135" s="924">
        <v>206</v>
      </c>
    </row>
    <row r="136" spans="1:29">
      <c r="A136" s="1880">
        <v>33.700000000000003</v>
      </c>
      <c r="B136" s="924">
        <v>87</v>
      </c>
      <c r="C136" s="924">
        <v>87</v>
      </c>
      <c r="D136" s="924">
        <v>95</v>
      </c>
      <c r="E136" s="924">
        <v>101</v>
      </c>
      <c r="F136" s="924">
        <v>107</v>
      </c>
      <c r="G136" s="924">
        <v>113</v>
      </c>
      <c r="H136" s="924">
        <v>117</v>
      </c>
      <c r="I136" s="924">
        <v>122</v>
      </c>
      <c r="J136" s="924">
        <v>126</v>
      </c>
      <c r="K136" s="924">
        <v>130</v>
      </c>
      <c r="L136" s="924">
        <v>135</v>
      </c>
      <c r="M136" s="924">
        <v>138</v>
      </c>
      <c r="N136" s="924">
        <v>141</v>
      </c>
      <c r="O136" s="924">
        <v>144</v>
      </c>
      <c r="P136" s="924">
        <v>147</v>
      </c>
      <c r="Q136" s="924">
        <v>150</v>
      </c>
      <c r="R136" s="924">
        <v>153</v>
      </c>
      <c r="S136" s="924">
        <v>155</v>
      </c>
      <c r="T136" s="924">
        <v>158</v>
      </c>
      <c r="U136" s="924">
        <v>160</v>
      </c>
      <c r="V136" s="924">
        <v>165</v>
      </c>
      <c r="W136" s="924">
        <v>169</v>
      </c>
      <c r="X136" s="924">
        <v>173</v>
      </c>
      <c r="Y136" s="924">
        <v>177</v>
      </c>
      <c r="Z136" s="924">
        <v>180</v>
      </c>
      <c r="AA136" s="924">
        <v>188</v>
      </c>
      <c r="AB136" s="924">
        <v>195</v>
      </c>
      <c r="AC136" s="924">
        <v>201</v>
      </c>
    </row>
    <row r="137" spans="1:29">
      <c r="A137" s="1880">
        <v>33.799999999999997</v>
      </c>
      <c r="B137" s="924">
        <v>84</v>
      </c>
      <c r="C137" s="924">
        <v>84</v>
      </c>
      <c r="D137" s="924">
        <v>91</v>
      </c>
      <c r="E137" s="924">
        <v>98</v>
      </c>
      <c r="F137" s="924">
        <v>103</v>
      </c>
      <c r="G137" s="924">
        <v>108</v>
      </c>
      <c r="H137" s="924">
        <v>113</v>
      </c>
      <c r="I137" s="924">
        <v>118</v>
      </c>
      <c r="J137" s="924">
        <v>122</v>
      </c>
      <c r="K137" s="924">
        <v>128</v>
      </c>
      <c r="L137" s="924">
        <v>129</v>
      </c>
      <c r="M137" s="924">
        <v>133</v>
      </c>
      <c r="N137" s="924">
        <v>136</v>
      </c>
      <c r="O137" s="924">
        <v>139</v>
      </c>
      <c r="P137" s="924">
        <v>142</v>
      </c>
      <c r="Q137" s="924">
        <v>145</v>
      </c>
      <c r="R137" s="924">
        <v>147</v>
      </c>
      <c r="S137" s="924">
        <v>150</v>
      </c>
      <c r="T137" s="924">
        <v>152</v>
      </c>
      <c r="U137" s="924">
        <v>155</v>
      </c>
      <c r="V137" s="924">
        <v>159</v>
      </c>
      <c r="W137" s="924">
        <v>163</v>
      </c>
      <c r="X137" s="924">
        <v>167</v>
      </c>
      <c r="Y137" s="924">
        <v>170</v>
      </c>
      <c r="Z137" s="924">
        <v>174</v>
      </c>
      <c r="AA137" s="924">
        <v>181</v>
      </c>
      <c r="AB137" s="924">
        <v>188</v>
      </c>
      <c r="AC137" s="924">
        <v>194</v>
      </c>
    </row>
    <row r="138" spans="1:29">
      <c r="A138" s="1880">
        <v>33.9</v>
      </c>
      <c r="B138" s="924">
        <v>81</v>
      </c>
      <c r="C138" s="924">
        <v>81</v>
      </c>
      <c r="D138" s="924">
        <v>88</v>
      </c>
      <c r="E138" s="924">
        <v>94</v>
      </c>
      <c r="F138" s="924">
        <v>99</v>
      </c>
      <c r="G138" s="924">
        <v>104</v>
      </c>
      <c r="H138" s="924">
        <v>109</v>
      </c>
      <c r="I138" s="924">
        <v>113</v>
      </c>
      <c r="J138" s="924">
        <v>117</v>
      </c>
      <c r="K138" s="924">
        <v>121</v>
      </c>
      <c r="L138" s="924">
        <v>124</v>
      </c>
      <c r="M138" s="924">
        <v>128</v>
      </c>
      <c r="N138" s="924">
        <v>131</v>
      </c>
      <c r="O138" s="924">
        <v>134</v>
      </c>
      <c r="P138" s="924">
        <v>137</v>
      </c>
      <c r="Q138" s="924">
        <v>139</v>
      </c>
      <c r="R138" s="924">
        <v>142</v>
      </c>
      <c r="S138" s="924">
        <v>144</v>
      </c>
      <c r="T138" s="924">
        <v>147</v>
      </c>
      <c r="U138" s="924">
        <v>149</v>
      </c>
      <c r="V138" s="924">
        <v>153</v>
      </c>
      <c r="W138" s="924">
        <v>157</v>
      </c>
      <c r="X138" s="924">
        <v>161</v>
      </c>
      <c r="Y138" s="924">
        <v>164</v>
      </c>
      <c r="Z138" s="924">
        <v>167</v>
      </c>
      <c r="AA138" s="924">
        <v>173</v>
      </c>
      <c r="AB138" s="924">
        <v>181</v>
      </c>
      <c r="AC138" s="924">
        <v>187</v>
      </c>
    </row>
    <row r="139" spans="1:29">
      <c r="A139" s="1880">
        <v>34</v>
      </c>
      <c r="B139" s="924">
        <v>78</v>
      </c>
      <c r="C139" s="924">
        <v>78</v>
      </c>
      <c r="D139" s="924">
        <v>84</v>
      </c>
      <c r="E139" s="924">
        <v>90</v>
      </c>
      <c r="F139" s="924">
        <v>95</v>
      </c>
      <c r="G139" s="924">
        <v>100</v>
      </c>
      <c r="H139" s="924">
        <v>105</v>
      </c>
      <c r="I139" s="924">
        <v>109</v>
      </c>
      <c r="J139" s="924">
        <v>113</v>
      </c>
      <c r="K139" s="924">
        <v>115</v>
      </c>
      <c r="L139" s="924">
        <v>120</v>
      </c>
      <c r="M139" s="924">
        <v>123</v>
      </c>
      <c r="N139" s="924">
        <v>126</v>
      </c>
      <c r="O139" s="924">
        <v>129</v>
      </c>
      <c r="P139" s="924">
        <v>131</v>
      </c>
      <c r="Q139" s="924">
        <v>134</v>
      </c>
      <c r="R139" s="924">
        <v>136</v>
      </c>
      <c r="S139" s="924">
        <v>139</v>
      </c>
      <c r="T139" s="924">
        <v>141</v>
      </c>
      <c r="U139" s="924">
        <v>143</v>
      </c>
      <c r="V139" s="924">
        <v>147</v>
      </c>
      <c r="W139" s="924">
        <v>151</v>
      </c>
      <c r="X139" s="924">
        <v>155</v>
      </c>
      <c r="Y139" s="924">
        <v>158</v>
      </c>
      <c r="Z139" s="924">
        <v>161</v>
      </c>
      <c r="AA139" s="924">
        <v>166</v>
      </c>
      <c r="AB139" s="924">
        <v>174</v>
      </c>
      <c r="AC139" s="924">
        <v>180</v>
      </c>
    </row>
    <row r="140" spans="1:29">
      <c r="A140" s="1880">
        <v>34.1</v>
      </c>
      <c r="B140" s="924">
        <v>74</v>
      </c>
      <c r="C140" s="924">
        <v>74</v>
      </c>
      <c r="D140" s="924">
        <v>81</v>
      </c>
      <c r="E140" s="924">
        <v>86</v>
      </c>
      <c r="F140" s="924">
        <v>91</v>
      </c>
      <c r="G140" s="924">
        <v>96</v>
      </c>
      <c r="H140" s="924">
        <v>100</v>
      </c>
      <c r="I140" s="924">
        <v>104</v>
      </c>
      <c r="J140" s="924">
        <v>109</v>
      </c>
      <c r="K140" s="924">
        <v>112</v>
      </c>
      <c r="L140" s="924">
        <v>115</v>
      </c>
      <c r="M140" s="924">
        <v>118</v>
      </c>
      <c r="N140" s="924">
        <v>121</v>
      </c>
      <c r="O140" s="924">
        <v>123</v>
      </c>
      <c r="P140" s="924">
        <v>126</v>
      </c>
      <c r="Q140" s="924">
        <v>129</v>
      </c>
      <c r="R140" s="924">
        <v>131</v>
      </c>
      <c r="S140" s="924">
        <v>133</v>
      </c>
      <c r="T140" s="924">
        <v>135</v>
      </c>
      <c r="U140" s="924">
        <v>137</v>
      </c>
      <c r="V140" s="924">
        <v>141</v>
      </c>
      <c r="W140" s="924">
        <v>145</v>
      </c>
      <c r="X140" s="924">
        <v>148</v>
      </c>
      <c r="Y140" s="924">
        <v>152</v>
      </c>
      <c r="Z140" s="924">
        <v>155</v>
      </c>
      <c r="AA140" s="924">
        <v>161</v>
      </c>
      <c r="AB140" s="924">
        <v>167</v>
      </c>
      <c r="AC140" s="924">
        <v>173</v>
      </c>
    </row>
    <row r="141" spans="1:29">
      <c r="A141" s="1880">
        <v>34.200000000000003</v>
      </c>
      <c r="B141" s="924">
        <v>71</v>
      </c>
      <c r="C141" s="924">
        <v>71</v>
      </c>
      <c r="D141" s="924">
        <v>77</v>
      </c>
      <c r="E141" s="924">
        <v>83</v>
      </c>
      <c r="F141" s="924">
        <v>88</v>
      </c>
      <c r="G141" s="924">
        <v>92</v>
      </c>
      <c r="H141" s="924">
        <v>96</v>
      </c>
      <c r="I141" s="924">
        <v>100</v>
      </c>
      <c r="J141" s="924">
        <v>103</v>
      </c>
      <c r="K141" s="924">
        <v>107</v>
      </c>
      <c r="L141" s="924">
        <v>110</v>
      </c>
      <c r="M141" s="924">
        <v>113</v>
      </c>
      <c r="N141" s="924">
        <v>118</v>
      </c>
      <c r="O141" s="924">
        <v>118</v>
      </c>
      <c r="P141" s="924">
        <v>121</v>
      </c>
      <c r="Q141" s="924">
        <v>123</v>
      </c>
      <c r="R141" s="924">
        <v>125</v>
      </c>
      <c r="S141" s="924">
        <v>128</v>
      </c>
      <c r="T141" s="924">
        <v>130</v>
      </c>
      <c r="U141" s="924">
        <v>132</v>
      </c>
      <c r="V141" s="924">
        <v>135</v>
      </c>
      <c r="W141" s="924">
        <v>139</v>
      </c>
      <c r="X141" s="924">
        <v>142</v>
      </c>
      <c r="Y141" s="924">
        <v>145</v>
      </c>
      <c r="Z141" s="924">
        <v>148</v>
      </c>
      <c r="AA141" s="924">
        <v>155</v>
      </c>
      <c r="AB141" s="924">
        <v>160</v>
      </c>
      <c r="AC141" s="924">
        <v>166</v>
      </c>
    </row>
    <row r="142" spans="1:29">
      <c r="A142" s="1880">
        <v>34.299999999999997</v>
      </c>
      <c r="B142" s="924">
        <v>68</v>
      </c>
      <c r="C142" s="924">
        <v>68</v>
      </c>
      <c r="D142" s="924">
        <v>74</v>
      </c>
      <c r="E142" s="924">
        <v>79</v>
      </c>
      <c r="F142" s="924">
        <v>84</v>
      </c>
      <c r="G142" s="924">
        <v>88</v>
      </c>
      <c r="H142" s="924">
        <v>92</v>
      </c>
      <c r="I142" s="924">
        <v>95</v>
      </c>
      <c r="J142" s="924">
        <v>99</v>
      </c>
      <c r="K142" s="924">
        <v>102</v>
      </c>
      <c r="L142" s="924">
        <v>105</v>
      </c>
      <c r="M142" s="924">
        <v>108</v>
      </c>
      <c r="N142" s="924">
        <v>110</v>
      </c>
      <c r="O142" s="924">
        <v>113</v>
      </c>
      <c r="P142" s="924">
        <v>115</v>
      </c>
      <c r="Q142" s="924">
        <v>118</v>
      </c>
      <c r="R142" s="924">
        <v>120</v>
      </c>
      <c r="S142" s="924">
        <v>122</v>
      </c>
      <c r="T142" s="924">
        <v>124</v>
      </c>
      <c r="U142" s="924">
        <v>126</v>
      </c>
      <c r="V142" s="924">
        <v>130</v>
      </c>
      <c r="W142" s="924">
        <v>133</v>
      </c>
      <c r="X142" s="924">
        <v>136</v>
      </c>
      <c r="Y142" s="924">
        <v>139</v>
      </c>
      <c r="Z142" s="924">
        <v>142</v>
      </c>
      <c r="AA142" s="924">
        <v>146</v>
      </c>
      <c r="AB142" s="924">
        <v>153</v>
      </c>
      <c r="AC142" s="924">
        <v>158</v>
      </c>
    </row>
    <row r="143" spans="1:29">
      <c r="A143" s="1880">
        <v>34.4</v>
      </c>
      <c r="B143" s="924">
        <v>64</v>
      </c>
      <c r="C143" s="924">
        <v>64</v>
      </c>
      <c r="D143" s="924">
        <v>70</v>
      </c>
      <c r="E143" s="924">
        <v>75</v>
      </c>
      <c r="F143" s="924">
        <v>80</v>
      </c>
      <c r="G143" s="924">
        <v>84</v>
      </c>
      <c r="H143" s="924">
        <v>87</v>
      </c>
      <c r="I143" s="924">
        <v>91</v>
      </c>
      <c r="J143" s="924">
        <v>94</v>
      </c>
      <c r="K143" s="924">
        <v>97</v>
      </c>
      <c r="L143" s="924">
        <v>100</v>
      </c>
      <c r="M143" s="924">
        <v>103</v>
      </c>
      <c r="N143" s="924">
        <v>105</v>
      </c>
      <c r="O143" s="924">
        <v>108</v>
      </c>
      <c r="P143" s="924">
        <v>110</v>
      </c>
      <c r="Q143" s="924">
        <v>112</v>
      </c>
      <c r="R143" s="924">
        <v>114</v>
      </c>
      <c r="S143" s="924">
        <v>116</v>
      </c>
      <c r="T143" s="924">
        <v>118</v>
      </c>
      <c r="U143" s="924">
        <v>120</v>
      </c>
      <c r="V143" s="924">
        <v>124</v>
      </c>
      <c r="W143" s="924">
        <v>127</v>
      </c>
      <c r="X143" s="924">
        <v>130</v>
      </c>
      <c r="Y143" s="924">
        <v>133</v>
      </c>
      <c r="Z143" s="924">
        <v>135</v>
      </c>
      <c r="AA143" s="924">
        <v>141</v>
      </c>
      <c r="AB143" s="924">
        <v>146</v>
      </c>
      <c r="AC143" s="924">
        <v>151</v>
      </c>
    </row>
    <row r="144" spans="1:29">
      <c r="A144" s="1880">
        <v>34.5</v>
      </c>
      <c r="B144" s="924">
        <v>61</v>
      </c>
      <c r="C144" s="924">
        <v>61</v>
      </c>
      <c r="D144" s="924">
        <v>67</v>
      </c>
      <c r="E144" s="924">
        <v>71</v>
      </c>
      <c r="F144" s="924">
        <v>78</v>
      </c>
      <c r="G144" s="924">
        <v>79</v>
      </c>
      <c r="H144" s="924">
        <v>83</v>
      </c>
      <c r="I144" s="924">
        <v>86</v>
      </c>
      <c r="J144" s="924">
        <v>90</v>
      </c>
      <c r="K144" s="924">
        <v>92</v>
      </c>
      <c r="L144" s="924">
        <v>95</v>
      </c>
      <c r="M144" s="924">
        <v>98</v>
      </c>
      <c r="N144" s="924">
        <v>100</v>
      </c>
      <c r="O144" s="924">
        <v>102</v>
      </c>
      <c r="P144" s="924">
        <v>105</v>
      </c>
      <c r="Q144" s="924">
        <v>107</v>
      </c>
      <c r="R144" s="924">
        <v>109</v>
      </c>
      <c r="S144" s="924">
        <v>111</v>
      </c>
      <c r="T144" s="924">
        <v>112</v>
      </c>
      <c r="U144" s="924">
        <v>114</v>
      </c>
      <c r="V144" s="924">
        <v>118</v>
      </c>
      <c r="W144" s="924">
        <v>121</v>
      </c>
      <c r="X144" s="924">
        <v>123</v>
      </c>
      <c r="Y144" s="924">
        <v>126</v>
      </c>
      <c r="Z144" s="924">
        <v>129</v>
      </c>
      <c r="AA144" s="924">
        <v>134</v>
      </c>
      <c r="AB144" s="924">
        <v>139</v>
      </c>
      <c r="AC144" s="924">
        <v>144</v>
      </c>
    </row>
    <row r="145" spans="1:29">
      <c r="A145" s="1880">
        <v>34.6</v>
      </c>
      <c r="B145" s="924">
        <v>58</v>
      </c>
      <c r="C145" s="924">
        <v>58</v>
      </c>
      <c r="D145" s="924">
        <v>63</v>
      </c>
      <c r="E145" s="924">
        <v>67</v>
      </c>
      <c r="F145" s="924">
        <v>72</v>
      </c>
      <c r="G145" s="924">
        <v>75</v>
      </c>
      <c r="H145" s="924">
        <v>79</v>
      </c>
      <c r="I145" s="924">
        <v>82</v>
      </c>
      <c r="J145" s="924">
        <v>85</v>
      </c>
      <c r="K145" s="924">
        <v>88</v>
      </c>
      <c r="L145" s="924">
        <v>90</v>
      </c>
      <c r="M145" s="924">
        <v>93</v>
      </c>
      <c r="N145" s="924">
        <v>95</v>
      </c>
      <c r="O145" s="924">
        <v>97</v>
      </c>
      <c r="P145" s="924">
        <v>99</v>
      </c>
      <c r="Q145" s="924">
        <v>101</v>
      </c>
      <c r="R145" s="924">
        <v>103</v>
      </c>
      <c r="S145" s="924">
        <v>105</v>
      </c>
      <c r="T145" s="924">
        <v>107</v>
      </c>
      <c r="U145" s="924">
        <v>106</v>
      </c>
      <c r="V145" s="924">
        <v>112</v>
      </c>
      <c r="W145" s="924">
        <v>114</v>
      </c>
      <c r="X145" s="924">
        <v>117</v>
      </c>
      <c r="Y145" s="924">
        <v>120</v>
      </c>
      <c r="Z145" s="924">
        <v>122</v>
      </c>
      <c r="AA145" s="924">
        <v>128</v>
      </c>
      <c r="AB145" s="924">
        <v>132</v>
      </c>
      <c r="AC145" s="924">
        <v>137</v>
      </c>
    </row>
    <row r="146" spans="1:29">
      <c r="A146" s="1880">
        <v>34.700000000000003</v>
      </c>
      <c r="B146" s="924">
        <v>54</v>
      </c>
      <c r="C146" s="924">
        <v>54</v>
      </c>
      <c r="D146" s="924">
        <v>59</v>
      </c>
      <c r="E146" s="924">
        <v>64</v>
      </c>
      <c r="F146" s="924">
        <v>67</v>
      </c>
      <c r="G146" s="924">
        <v>71</v>
      </c>
      <c r="H146" s="924">
        <v>74</v>
      </c>
      <c r="I146" s="924">
        <v>77</v>
      </c>
      <c r="J146" s="924">
        <v>80</v>
      </c>
      <c r="K146" s="924">
        <v>83</v>
      </c>
      <c r="L146" s="924">
        <v>85</v>
      </c>
      <c r="M146" s="924">
        <v>88</v>
      </c>
      <c r="N146" s="924">
        <v>90</v>
      </c>
      <c r="O146" s="924">
        <v>92</v>
      </c>
      <c r="P146" s="924">
        <v>94</v>
      </c>
      <c r="Q146" s="924">
        <v>96</v>
      </c>
      <c r="R146" s="924">
        <v>98</v>
      </c>
      <c r="S146" s="924">
        <v>99</v>
      </c>
      <c r="T146" s="924">
        <v>101</v>
      </c>
      <c r="U146" s="924">
        <v>102</v>
      </c>
      <c r="V146" s="924">
        <v>105</v>
      </c>
      <c r="W146" s="924">
        <v>108</v>
      </c>
      <c r="X146" s="924">
        <v>111</v>
      </c>
      <c r="Y146" s="924">
        <v>113</v>
      </c>
      <c r="Z146" s="924">
        <v>116</v>
      </c>
      <c r="AA146" s="924">
        <v>121</v>
      </c>
      <c r="AB146" s="924">
        <v>125</v>
      </c>
      <c r="AC146" s="924">
        <v>129</v>
      </c>
    </row>
    <row r="147" spans="1:29">
      <c r="A147" s="1880">
        <v>34.799999999999997</v>
      </c>
      <c r="B147" s="924">
        <v>51</v>
      </c>
      <c r="C147" s="924">
        <v>51</v>
      </c>
      <c r="D147" s="924">
        <v>56</v>
      </c>
      <c r="E147" s="924">
        <v>60</v>
      </c>
      <c r="F147" s="924">
        <v>63</v>
      </c>
      <c r="G147" s="924">
        <v>67</v>
      </c>
      <c r="H147" s="924">
        <v>70</v>
      </c>
      <c r="I147" s="924">
        <v>73</v>
      </c>
      <c r="J147" s="924">
        <v>75</v>
      </c>
      <c r="K147" s="924">
        <v>78</v>
      </c>
      <c r="L147" s="924">
        <v>80</v>
      </c>
      <c r="M147" s="924">
        <v>82</v>
      </c>
      <c r="N147" s="924">
        <v>84</v>
      </c>
      <c r="O147" s="924">
        <v>88</v>
      </c>
      <c r="P147" s="924">
        <v>88</v>
      </c>
      <c r="Q147" s="924">
        <v>90</v>
      </c>
      <c r="R147" s="924">
        <v>92</v>
      </c>
      <c r="S147" s="924">
        <v>93</v>
      </c>
      <c r="T147" s="924">
        <v>95</v>
      </c>
      <c r="U147" s="924">
        <v>97</v>
      </c>
      <c r="V147" s="924">
        <v>99</v>
      </c>
      <c r="W147" s="924">
        <v>102</v>
      </c>
      <c r="X147" s="924">
        <v>104</v>
      </c>
      <c r="Y147" s="924">
        <v>107</v>
      </c>
      <c r="Z147" s="924">
        <v>109</v>
      </c>
      <c r="AA147" s="924">
        <v>114</v>
      </c>
      <c r="AB147" s="924">
        <v>118</v>
      </c>
      <c r="AC147" s="924">
        <v>122</v>
      </c>
    </row>
    <row r="148" spans="1:29">
      <c r="A148" s="1880">
        <v>34.9</v>
      </c>
      <c r="B148" s="924">
        <v>48</v>
      </c>
      <c r="C148" s="924">
        <v>48</v>
      </c>
      <c r="D148" s="924">
        <v>52</v>
      </c>
      <c r="E148" s="924">
        <v>56</v>
      </c>
      <c r="F148" s="924">
        <v>59</v>
      </c>
      <c r="G148" s="924">
        <v>63</v>
      </c>
      <c r="H148" s="924">
        <v>65</v>
      </c>
      <c r="I148" s="924">
        <v>68</v>
      </c>
      <c r="J148" s="924">
        <v>71</v>
      </c>
      <c r="K148" s="924">
        <v>73</v>
      </c>
      <c r="L148" s="924">
        <v>75</v>
      </c>
      <c r="M148" s="924">
        <v>77</v>
      </c>
      <c r="N148" s="924">
        <v>78</v>
      </c>
      <c r="O148" s="924">
        <v>81</v>
      </c>
      <c r="P148" s="924">
        <v>83</v>
      </c>
      <c r="Q148" s="924">
        <v>85</v>
      </c>
      <c r="R148" s="924">
        <v>86</v>
      </c>
      <c r="S148" s="924">
        <v>88</v>
      </c>
      <c r="T148" s="924">
        <v>89</v>
      </c>
      <c r="U148" s="924">
        <v>91</v>
      </c>
      <c r="V148" s="924">
        <v>93</v>
      </c>
      <c r="W148" s="924">
        <v>96</v>
      </c>
      <c r="X148" s="924">
        <v>98</v>
      </c>
      <c r="Y148" s="924">
        <v>100</v>
      </c>
      <c r="Z148" s="924">
        <v>102</v>
      </c>
      <c r="AA148" s="924">
        <v>107</v>
      </c>
      <c r="AB148" s="924">
        <v>111</v>
      </c>
      <c r="AC148" s="924">
        <v>115</v>
      </c>
    </row>
  </sheetData>
  <mergeCells count="1">
    <mergeCell ref="A1:AC1"/>
  </mergeCells>
  <pageMargins left="0.75" right="0.75" top="1" bottom="1" header="0.5" footer="0.5"/>
  <pageSetup paperSize="9" scale="32" orientation="portrait" r:id="rId1"/>
  <headerFooter alignWithMargins="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800000"/>
  </sheetPr>
  <dimension ref="A1:EA70"/>
  <sheetViews>
    <sheetView showGridLines="0" showRowColHeaders="0" zoomScale="124" zoomScaleNormal="124" workbookViewId="0">
      <selection activeCell="V1" sqref="V1:Y1"/>
    </sheetView>
  </sheetViews>
  <sheetFormatPr defaultRowHeight="15" customHeight="1"/>
  <cols>
    <col min="1" max="1" width="2.7109375" style="939" customWidth="1"/>
    <col min="2" max="2" width="9.140625" style="925" customWidth="1"/>
    <col min="3" max="3" width="9.42578125" style="925" customWidth="1"/>
    <col min="4" max="4" width="0" style="925" hidden="1" customWidth="1"/>
    <col min="5" max="5" width="9.140625" style="925" customWidth="1"/>
    <col min="6" max="6" width="2.42578125" style="925" customWidth="1"/>
    <col min="7" max="7" width="9.140625" style="925" customWidth="1"/>
    <col min="8" max="8" width="9.42578125" style="925" customWidth="1"/>
    <col min="9" max="9" width="0" style="925" hidden="1" customWidth="1"/>
    <col min="10" max="10" width="9.140625" style="925" customWidth="1"/>
    <col min="11" max="11" width="2.28515625" style="925" customWidth="1"/>
    <col min="12" max="12" width="9.140625" style="925" customWidth="1"/>
    <col min="13" max="13" width="9.42578125" style="925" customWidth="1"/>
    <col min="14" max="14" width="0" style="925" hidden="1" customWidth="1"/>
    <col min="15" max="15" width="9.140625" style="925" customWidth="1"/>
    <col min="16" max="16" width="2.5703125" style="925" customWidth="1"/>
    <col min="17" max="17" width="9.140625" style="925" customWidth="1"/>
    <col min="18" max="18" width="9.5703125" style="925" customWidth="1"/>
    <col min="19" max="19" width="0" style="925" hidden="1" customWidth="1"/>
    <col min="20" max="20" width="9.140625" style="925" customWidth="1"/>
    <col min="21" max="21" width="2.7109375" style="927" customWidth="1"/>
    <col min="22" max="23" width="9.140625" style="927" customWidth="1"/>
    <col min="24" max="24" width="3.140625" style="927" customWidth="1"/>
    <col min="25" max="25" width="4" style="934" customWidth="1"/>
    <col min="26" max="26" width="9.42578125" style="927" customWidth="1"/>
    <col min="27" max="27" width="9.140625" style="927" customWidth="1"/>
    <col min="28" max="28" width="9.140625" style="935" customWidth="1"/>
    <col min="29" max="29" width="10.5703125" style="935" customWidth="1"/>
    <col min="30" max="30" width="9.140625" style="927" customWidth="1"/>
    <col min="31" max="31" width="4" style="934" customWidth="1"/>
    <col min="32" max="32" width="9.42578125" style="927" customWidth="1"/>
    <col min="33" max="33" width="9.140625" style="927" customWidth="1"/>
    <col min="34" max="34" width="9.140625" style="935" customWidth="1"/>
    <col min="35" max="35" width="10.5703125" style="935" customWidth="1"/>
    <col min="36" max="36" width="9.140625" style="927" customWidth="1"/>
    <col min="37" max="37" width="4" style="934" customWidth="1"/>
    <col min="38" max="38" width="9.42578125" style="927" customWidth="1"/>
    <col min="39" max="39" width="9.140625" style="927" customWidth="1"/>
    <col min="40" max="40" width="9.140625" style="935" customWidth="1"/>
    <col min="41" max="41" width="10.5703125" style="935" customWidth="1"/>
    <col min="42" max="42" width="9.140625" style="927" customWidth="1"/>
    <col min="43" max="43" width="4" style="934" customWidth="1"/>
    <col min="44" max="44" width="9.42578125" style="927" customWidth="1"/>
    <col min="45" max="45" width="9.140625" style="927" customWidth="1"/>
    <col min="46" max="46" width="9.140625" style="935" customWidth="1"/>
    <col min="47" max="47" width="10.5703125" style="935" customWidth="1"/>
    <col min="48" max="48" width="9.140625" style="927" customWidth="1"/>
    <col min="49" max="49" width="4" style="934" customWidth="1"/>
    <col min="50" max="50" width="9.42578125" style="927" customWidth="1"/>
    <col min="51" max="51" width="9.140625" style="927" customWidth="1"/>
    <col min="52" max="52" width="9.140625" style="935" customWidth="1"/>
    <col min="53" max="53" width="10.5703125" style="935" customWidth="1"/>
    <col min="54" max="54" width="9.140625" style="927" customWidth="1"/>
    <col min="55" max="55" width="4" style="934" customWidth="1"/>
    <col min="56" max="56" width="9.42578125" style="927" customWidth="1"/>
    <col min="57" max="57" width="9.140625" style="927" customWidth="1"/>
    <col min="58" max="58" width="9.140625" style="935" customWidth="1"/>
    <col min="59" max="59" width="10.5703125" style="935" customWidth="1"/>
    <col min="60" max="60" width="9.140625" style="927" customWidth="1"/>
    <col min="61" max="61" width="4" style="934" customWidth="1"/>
    <col min="62" max="62" width="9.42578125" style="927" customWidth="1"/>
    <col min="63" max="63" width="9.140625" style="927" customWidth="1"/>
    <col min="64" max="64" width="9.140625" style="935" customWidth="1"/>
    <col min="65" max="65" width="10.5703125" style="935" customWidth="1"/>
    <col min="66" max="66" width="9.140625" style="927" customWidth="1"/>
    <col min="67" max="67" width="4" style="934" customWidth="1"/>
    <col min="68" max="68" width="9.42578125" style="927" customWidth="1"/>
    <col min="69" max="69" width="9.140625" style="927" customWidth="1"/>
    <col min="70" max="70" width="9.140625" style="935" customWidth="1"/>
    <col min="71" max="71" width="10.5703125" style="935" customWidth="1"/>
    <col min="72" max="72" width="9.140625" style="927" customWidth="1"/>
    <col min="73" max="73" width="4" style="934" customWidth="1"/>
    <col min="74" max="74" width="9.42578125" style="927" customWidth="1"/>
    <col min="75" max="75" width="9.140625" style="927" customWidth="1"/>
    <col min="76" max="76" width="9.140625" style="935" customWidth="1"/>
    <col min="77" max="77" width="10.5703125" style="935" customWidth="1"/>
    <col min="78" max="78" width="9.140625" style="927" customWidth="1"/>
    <col min="79" max="79" width="4" style="934" customWidth="1"/>
    <col min="80" max="80" width="9.42578125" style="927" customWidth="1"/>
    <col min="81" max="81" width="9.140625" style="927" customWidth="1"/>
    <col min="82" max="82" width="9.140625" style="935" customWidth="1"/>
    <col min="83" max="83" width="10.5703125" style="935" customWidth="1"/>
    <col min="84" max="84" width="9.140625" style="927" customWidth="1"/>
    <col min="85" max="85" width="4" style="934" customWidth="1"/>
    <col min="86" max="86" width="9.42578125" style="927" customWidth="1"/>
    <col min="87" max="87" width="9.140625" style="927" customWidth="1"/>
    <col min="88" max="88" width="9.140625" style="935" customWidth="1"/>
    <col min="89" max="89" width="10.5703125" style="935" customWidth="1"/>
    <col min="90" max="90" width="9.140625" style="927" customWidth="1"/>
    <col min="91" max="91" width="4" style="934" customWidth="1"/>
    <col min="92" max="92" width="9.42578125" style="927" customWidth="1"/>
    <col min="93" max="93" width="9.140625" style="927" customWidth="1"/>
    <col min="94" max="94" width="9.140625" style="935" customWidth="1"/>
    <col min="95" max="95" width="10.5703125" style="935" customWidth="1"/>
    <col min="96" max="96" width="9.140625" style="927" customWidth="1"/>
    <col min="97" max="97" width="4" style="934" customWidth="1"/>
    <col min="98" max="98" width="9.42578125" style="927" customWidth="1"/>
    <col min="99" max="99" width="9.140625" style="927" customWidth="1"/>
    <col min="100" max="100" width="9.140625" style="935" customWidth="1"/>
    <col min="101" max="101" width="10.5703125" style="935" customWidth="1"/>
    <col min="102" max="102" width="9.140625" style="927" customWidth="1"/>
    <col min="103" max="103" width="4" style="934" customWidth="1"/>
    <col min="104" max="104" width="12.42578125" style="927" customWidth="1"/>
    <col min="105" max="105" width="9.140625" style="927" customWidth="1"/>
    <col min="106" max="106" width="9.140625" style="935" customWidth="1"/>
    <col min="107" max="107" width="10.5703125" style="935" customWidth="1"/>
    <col min="108" max="108" width="9.140625" style="927" customWidth="1"/>
    <col min="109" max="109" width="4" style="934" customWidth="1"/>
    <col min="110" max="110" width="12.42578125" style="927" customWidth="1"/>
    <col min="111" max="111" width="9.140625" style="927" customWidth="1"/>
    <col min="112" max="112" width="9.140625" style="935" customWidth="1"/>
    <col min="113" max="113" width="10.5703125" style="935" customWidth="1"/>
    <col min="114" max="114" width="9.140625" style="927" customWidth="1"/>
    <col min="115" max="115" width="4" style="934" customWidth="1"/>
    <col min="116" max="116" width="12.42578125" style="927" customWidth="1"/>
    <col min="117" max="117" width="9.140625" style="927" customWidth="1"/>
    <col min="118" max="118" width="9.140625" style="935" customWidth="1"/>
    <col min="119" max="119" width="10.5703125" style="935" customWidth="1"/>
    <col min="120" max="120" width="9.140625" style="927" customWidth="1"/>
    <col min="121" max="121" width="4" style="934" customWidth="1"/>
    <col min="122" max="122" width="12.42578125" style="927" customWidth="1"/>
    <col min="123" max="123" width="9.140625" style="927" customWidth="1"/>
    <col min="124" max="124" width="9.140625" style="935" customWidth="1"/>
    <col min="125" max="125" width="10.5703125" style="935" customWidth="1"/>
    <col min="126" max="126" width="9.140625" style="927" customWidth="1"/>
    <col min="127" max="127" width="4" style="934" customWidth="1"/>
    <col min="128" max="128" width="12.42578125" style="927" customWidth="1"/>
    <col min="129" max="129" width="9.140625" style="927" customWidth="1"/>
    <col min="130" max="130" width="9.140625" style="935" customWidth="1"/>
    <col min="131" max="131" width="10.5703125" style="935" customWidth="1"/>
    <col min="132" max="256" width="9.140625" style="927"/>
    <col min="257" max="257" width="2.7109375" style="927" customWidth="1"/>
    <col min="258" max="258" width="9.140625" style="927" customWidth="1"/>
    <col min="259" max="259" width="9.42578125" style="927" customWidth="1"/>
    <col min="260" max="260" width="0" style="927" hidden="1" customWidth="1"/>
    <col min="261" max="261" width="9.140625" style="927" customWidth="1"/>
    <col min="262" max="262" width="2.42578125" style="927" customWidth="1"/>
    <col min="263" max="263" width="9.140625" style="927" customWidth="1"/>
    <col min="264" max="264" width="9.42578125" style="927" customWidth="1"/>
    <col min="265" max="265" width="0" style="927" hidden="1" customWidth="1"/>
    <col min="266" max="266" width="9.140625" style="927" customWidth="1"/>
    <col min="267" max="267" width="2.28515625" style="927" customWidth="1"/>
    <col min="268" max="268" width="9.140625" style="927" customWidth="1"/>
    <col min="269" max="269" width="9.42578125" style="927" customWidth="1"/>
    <col min="270" max="270" width="0" style="927" hidden="1" customWidth="1"/>
    <col min="271" max="271" width="9.140625" style="927" customWidth="1"/>
    <col min="272" max="272" width="2.5703125" style="927" customWidth="1"/>
    <col min="273" max="273" width="9.140625" style="927" customWidth="1"/>
    <col min="274" max="274" width="9.5703125" style="927" customWidth="1"/>
    <col min="275" max="275" width="0" style="927" hidden="1" customWidth="1"/>
    <col min="276" max="276" width="9.140625" style="927" customWidth="1"/>
    <col min="277" max="277" width="2.7109375" style="927" customWidth="1"/>
    <col min="278" max="279" width="9.140625" style="927" customWidth="1"/>
    <col min="280" max="280" width="3.140625" style="927" customWidth="1"/>
    <col min="281" max="281" width="4" style="927" customWidth="1"/>
    <col min="282" max="282" width="9.42578125" style="927" customWidth="1"/>
    <col min="283" max="284" width="9.140625" style="927" customWidth="1"/>
    <col min="285" max="285" width="10.5703125" style="927" customWidth="1"/>
    <col min="286" max="286" width="9.140625" style="927" customWidth="1"/>
    <col min="287" max="287" width="4" style="927" customWidth="1"/>
    <col min="288" max="288" width="9.42578125" style="927" customWidth="1"/>
    <col min="289" max="290" width="9.140625" style="927" customWidth="1"/>
    <col min="291" max="291" width="10.5703125" style="927" customWidth="1"/>
    <col min="292" max="292" width="9.140625" style="927" customWidth="1"/>
    <col min="293" max="293" width="4" style="927" customWidth="1"/>
    <col min="294" max="294" width="9.42578125" style="927" customWidth="1"/>
    <col min="295" max="296" width="9.140625" style="927" customWidth="1"/>
    <col min="297" max="297" width="10.5703125" style="927" customWidth="1"/>
    <col min="298" max="298" width="9.140625" style="927" customWidth="1"/>
    <col min="299" max="299" width="4" style="927" customWidth="1"/>
    <col min="300" max="300" width="9.42578125" style="927" customWidth="1"/>
    <col min="301" max="302" width="9.140625" style="927" customWidth="1"/>
    <col min="303" max="303" width="10.5703125" style="927" customWidth="1"/>
    <col min="304" max="304" width="9.140625" style="927" customWidth="1"/>
    <col min="305" max="305" width="4" style="927" customWidth="1"/>
    <col min="306" max="306" width="9.42578125" style="927" customWidth="1"/>
    <col min="307" max="308" width="9.140625" style="927" customWidth="1"/>
    <col min="309" max="309" width="10.5703125" style="927" customWidth="1"/>
    <col min="310" max="310" width="9.140625" style="927" customWidth="1"/>
    <col min="311" max="311" width="4" style="927" customWidth="1"/>
    <col min="312" max="312" width="9.42578125" style="927" customWidth="1"/>
    <col min="313" max="314" width="9.140625" style="927" customWidth="1"/>
    <col min="315" max="315" width="10.5703125" style="927" customWidth="1"/>
    <col min="316" max="316" width="9.140625" style="927" customWidth="1"/>
    <col min="317" max="317" width="4" style="927" customWidth="1"/>
    <col min="318" max="318" width="9.42578125" style="927" customWidth="1"/>
    <col min="319" max="320" width="9.140625" style="927" customWidth="1"/>
    <col min="321" max="321" width="10.5703125" style="927" customWidth="1"/>
    <col min="322" max="322" width="9.140625" style="927" customWidth="1"/>
    <col min="323" max="323" width="4" style="927" customWidth="1"/>
    <col min="324" max="324" width="9.42578125" style="927" customWidth="1"/>
    <col min="325" max="326" width="9.140625" style="927" customWidth="1"/>
    <col min="327" max="327" width="10.5703125" style="927" customWidth="1"/>
    <col min="328" max="328" width="9.140625" style="927" customWidth="1"/>
    <col min="329" max="329" width="4" style="927" customWidth="1"/>
    <col min="330" max="330" width="9.42578125" style="927" customWidth="1"/>
    <col min="331" max="332" width="9.140625" style="927" customWidth="1"/>
    <col min="333" max="333" width="10.5703125" style="927" customWidth="1"/>
    <col min="334" max="334" width="9.140625" style="927" customWidth="1"/>
    <col min="335" max="335" width="4" style="927" customWidth="1"/>
    <col min="336" max="336" width="9.42578125" style="927" customWidth="1"/>
    <col min="337" max="338" width="9.140625" style="927" customWidth="1"/>
    <col min="339" max="339" width="10.5703125" style="927" customWidth="1"/>
    <col min="340" max="340" width="9.140625" style="927" customWidth="1"/>
    <col min="341" max="341" width="4" style="927" customWidth="1"/>
    <col min="342" max="342" width="9.42578125" style="927" customWidth="1"/>
    <col min="343" max="344" width="9.140625" style="927" customWidth="1"/>
    <col min="345" max="345" width="10.5703125" style="927" customWidth="1"/>
    <col min="346" max="346" width="9.140625" style="927" customWidth="1"/>
    <col min="347" max="347" width="4" style="927" customWidth="1"/>
    <col min="348" max="348" width="9.42578125" style="927" customWidth="1"/>
    <col min="349" max="350" width="9.140625" style="927" customWidth="1"/>
    <col min="351" max="351" width="10.5703125" style="927" customWidth="1"/>
    <col min="352" max="352" width="9.140625" style="927" customWidth="1"/>
    <col min="353" max="353" width="4" style="927" customWidth="1"/>
    <col min="354" max="354" width="9.42578125" style="927" customWidth="1"/>
    <col min="355" max="356" width="9.140625" style="927" customWidth="1"/>
    <col min="357" max="357" width="10.5703125" style="927" customWidth="1"/>
    <col min="358" max="358" width="9.140625" style="927" customWidth="1"/>
    <col min="359" max="359" width="4" style="927" customWidth="1"/>
    <col min="360" max="360" width="12.42578125" style="927" customWidth="1"/>
    <col min="361" max="362" width="9.140625" style="927" customWidth="1"/>
    <col min="363" max="363" width="10.5703125" style="927" customWidth="1"/>
    <col min="364" max="364" width="9.140625" style="927" customWidth="1"/>
    <col min="365" max="365" width="4" style="927" customWidth="1"/>
    <col min="366" max="366" width="12.42578125" style="927" customWidth="1"/>
    <col min="367" max="368" width="9.140625" style="927" customWidth="1"/>
    <col min="369" max="369" width="10.5703125" style="927" customWidth="1"/>
    <col min="370" max="370" width="9.140625" style="927" customWidth="1"/>
    <col min="371" max="371" width="4" style="927" customWidth="1"/>
    <col min="372" max="372" width="12.42578125" style="927" customWidth="1"/>
    <col min="373" max="374" width="9.140625" style="927" customWidth="1"/>
    <col min="375" max="375" width="10.5703125" style="927" customWidth="1"/>
    <col min="376" max="376" width="9.140625" style="927" customWidth="1"/>
    <col min="377" max="377" width="4" style="927" customWidth="1"/>
    <col min="378" max="378" width="12.42578125" style="927" customWidth="1"/>
    <col min="379" max="380" width="9.140625" style="927" customWidth="1"/>
    <col min="381" max="381" width="10.5703125" style="927" customWidth="1"/>
    <col min="382" max="382" width="9.140625" style="927" customWidth="1"/>
    <col min="383" max="383" width="4" style="927" customWidth="1"/>
    <col min="384" max="384" width="12.42578125" style="927" customWidth="1"/>
    <col min="385" max="386" width="9.140625" style="927" customWidth="1"/>
    <col min="387" max="387" width="10.5703125" style="927" customWidth="1"/>
    <col min="388" max="512" width="9.140625" style="927"/>
    <col min="513" max="513" width="2.7109375" style="927" customWidth="1"/>
    <col min="514" max="514" width="9.140625" style="927" customWidth="1"/>
    <col min="515" max="515" width="9.42578125" style="927" customWidth="1"/>
    <col min="516" max="516" width="0" style="927" hidden="1" customWidth="1"/>
    <col min="517" max="517" width="9.140625" style="927" customWidth="1"/>
    <col min="518" max="518" width="2.42578125" style="927" customWidth="1"/>
    <col min="519" max="519" width="9.140625" style="927" customWidth="1"/>
    <col min="520" max="520" width="9.42578125" style="927" customWidth="1"/>
    <col min="521" max="521" width="0" style="927" hidden="1" customWidth="1"/>
    <col min="522" max="522" width="9.140625" style="927" customWidth="1"/>
    <col min="523" max="523" width="2.28515625" style="927" customWidth="1"/>
    <col min="524" max="524" width="9.140625" style="927" customWidth="1"/>
    <col min="525" max="525" width="9.42578125" style="927" customWidth="1"/>
    <col min="526" max="526" width="0" style="927" hidden="1" customWidth="1"/>
    <col min="527" max="527" width="9.140625" style="927" customWidth="1"/>
    <col min="528" max="528" width="2.5703125" style="927" customWidth="1"/>
    <col min="529" max="529" width="9.140625" style="927" customWidth="1"/>
    <col min="530" max="530" width="9.5703125" style="927" customWidth="1"/>
    <col min="531" max="531" width="0" style="927" hidden="1" customWidth="1"/>
    <col min="532" max="532" width="9.140625" style="927" customWidth="1"/>
    <col min="533" max="533" width="2.7109375" style="927" customWidth="1"/>
    <col min="534" max="535" width="9.140625" style="927" customWidth="1"/>
    <col min="536" max="536" width="3.140625" style="927" customWidth="1"/>
    <col min="537" max="537" width="4" style="927" customWidth="1"/>
    <col min="538" max="538" width="9.42578125" style="927" customWidth="1"/>
    <col min="539" max="540" width="9.140625" style="927" customWidth="1"/>
    <col min="541" max="541" width="10.5703125" style="927" customWidth="1"/>
    <col min="542" max="542" width="9.140625" style="927" customWidth="1"/>
    <col min="543" max="543" width="4" style="927" customWidth="1"/>
    <col min="544" max="544" width="9.42578125" style="927" customWidth="1"/>
    <col min="545" max="546" width="9.140625" style="927" customWidth="1"/>
    <col min="547" max="547" width="10.5703125" style="927" customWidth="1"/>
    <col min="548" max="548" width="9.140625" style="927" customWidth="1"/>
    <col min="549" max="549" width="4" style="927" customWidth="1"/>
    <col min="550" max="550" width="9.42578125" style="927" customWidth="1"/>
    <col min="551" max="552" width="9.140625" style="927" customWidth="1"/>
    <col min="553" max="553" width="10.5703125" style="927" customWidth="1"/>
    <col min="554" max="554" width="9.140625" style="927" customWidth="1"/>
    <col min="555" max="555" width="4" style="927" customWidth="1"/>
    <col min="556" max="556" width="9.42578125" style="927" customWidth="1"/>
    <col min="557" max="558" width="9.140625" style="927" customWidth="1"/>
    <col min="559" max="559" width="10.5703125" style="927" customWidth="1"/>
    <col min="560" max="560" width="9.140625" style="927" customWidth="1"/>
    <col min="561" max="561" width="4" style="927" customWidth="1"/>
    <col min="562" max="562" width="9.42578125" style="927" customWidth="1"/>
    <col min="563" max="564" width="9.140625" style="927" customWidth="1"/>
    <col min="565" max="565" width="10.5703125" style="927" customWidth="1"/>
    <col min="566" max="566" width="9.140625" style="927" customWidth="1"/>
    <col min="567" max="567" width="4" style="927" customWidth="1"/>
    <col min="568" max="568" width="9.42578125" style="927" customWidth="1"/>
    <col min="569" max="570" width="9.140625" style="927" customWidth="1"/>
    <col min="571" max="571" width="10.5703125" style="927" customWidth="1"/>
    <col min="572" max="572" width="9.140625" style="927" customWidth="1"/>
    <col min="573" max="573" width="4" style="927" customWidth="1"/>
    <col min="574" max="574" width="9.42578125" style="927" customWidth="1"/>
    <col min="575" max="576" width="9.140625" style="927" customWidth="1"/>
    <col min="577" max="577" width="10.5703125" style="927" customWidth="1"/>
    <col min="578" max="578" width="9.140625" style="927" customWidth="1"/>
    <col min="579" max="579" width="4" style="927" customWidth="1"/>
    <col min="580" max="580" width="9.42578125" style="927" customWidth="1"/>
    <col min="581" max="582" width="9.140625" style="927" customWidth="1"/>
    <col min="583" max="583" width="10.5703125" style="927" customWidth="1"/>
    <col min="584" max="584" width="9.140625" style="927" customWidth="1"/>
    <col min="585" max="585" width="4" style="927" customWidth="1"/>
    <col min="586" max="586" width="9.42578125" style="927" customWidth="1"/>
    <col min="587" max="588" width="9.140625" style="927" customWidth="1"/>
    <col min="589" max="589" width="10.5703125" style="927" customWidth="1"/>
    <col min="590" max="590" width="9.140625" style="927" customWidth="1"/>
    <col min="591" max="591" width="4" style="927" customWidth="1"/>
    <col min="592" max="592" width="9.42578125" style="927" customWidth="1"/>
    <col min="593" max="594" width="9.140625" style="927" customWidth="1"/>
    <col min="595" max="595" width="10.5703125" style="927" customWidth="1"/>
    <col min="596" max="596" width="9.140625" style="927" customWidth="1"/>
    <col min="597" max="597" width="4" style="927" customWidth="1"/>
    <col min="598" max="598" width="9.42578125" style="927" customWidth="1"/>
    <col min="599" max="600" width="9.140625" style="927" customWidth="1"/>
    <col min="601" max="601" width="10.5703125" style="927" customWidth="1"/>
    <col min="602" max="602" width="9.140625" style="927" customWidth="1"/>
    <col min="603" max="603" width="4" style="927" customWidth="1"/>
    <col min="604" max="604" width="9.42578125" style="927" customWidth="1"/>
    <col min="605" max="606" width="9.140625" style="927" customWidth="1"/>
    <col min="607" max="607" width="10.5703125" style="927" customWidth="1"/>
    <col min="608" max="608" width="9.140625" style="927" customWidth="1"/>
    <col min="609" max="609" width="4" style="927" customWidth="1"/>
    <col min="610" max="610" width="9.42578125" style="927" customWidth="1"/>
    <col min="611" max="612" width="9.140625" style="927" customWidth="1"/>
    <col min="613" max="613" width="10.5703125" style="927" customWidth="1"/>
    <col min="614" max="614" width="9.140625" style="927" customWidth="1"/>
    <col min="615" max="615" width="4" style="927" customWidth="1"/>
    <col min="616" max="616" width="12.42578125" style="927" customWidth="1"/>
    <col min="617" max="618" width="9.140625" style="927" customWidth="1"/>
    <col min="619" max="619" width="10.5703125" style="927" customWidth="1"/>
    <col min="620" max="620" width="9.140625" style="927" customWidth="1"/>
    <col min="621" max="621" width="4" style="927" customWidth="1"/>
    <col min="622" max="622" width="12.42578125" style="927" customWidth="1"/>
    <col min="623" max="624" width="9.140625" style="927" customWidth="1"/>
    <col min="625" max="625" width="10.5703125" style="927" customWidth="1"/>
    <col min="626" max="626" width="9.140625" style="927" customWidth="1"/>
    <col min="627" max="627" width="4" style="927" customWidth="1"/>
    <col min="628" max="628" width="12.42578125" style="927" customWidth="1"/>
    <col min="629" max="630" width="9.140625" style="927" customWidth="1"/>
    <col min="631" max="631" width="10.5703125" style="927" customWidth="1"/>
    <col min="632" max="632" width="9.140625" style="927" customWidth="1"/>
    <col min="633" max="633" width="4" style="927" customWidth="1"/>
    <col min="634" max="634" width="12.42578125" style="927" customWidth="1"/>
    <col min="635" max="636" width="9.140625" style="927" customWidth="1"/>
    <col min="637" max="637" width="10.5703125" style="927" customWidth="1"/>
    <col min="638" max="638" width="9.140625" style="927" customWidth="1"/>
    <col min="639" max="639" width="4" style="927" customWidth="1"/>
    <col min="640" max="640" width="12.42578125" style="927" customWidth="1"/>
    <col min="641" max="642" width="9.140625" style="927" customWidth="1"/>
    <col min="643" max="643" width="10.5703125" style="927" customWidth="1"/>
    <col min="644" max="768" width="9.140625" style="927"/>
    <col min="769" max="769" width="2.7109375" style="927" customWidth="1"/>
    <col min="770" max="770" width="9.140625" style="927" customWidth="1"/>
    <col min="771" max="771" width="9.42578125" style="927" customWidth="1"/>
    <col min="772" max="772" width="0" style="927" hidden="1" customWidth="1"/>
    <col min="773" max="773" width="9.140625" style="927" customWidth="1"/>
    <col min="774" max="774" width="2.42578125" style="927" customWidth="1"/>
    <col min="775" max="775" width="9.140625" style="927" customWidth="1"/>
    <col min="776" max="776" width="9.42578125" style="927" customWidth="1"/>
    <col min="777" max="777" width="0" style="927" hidden="1" customWidth="1"/>
    <col min="778" max="778" width="9.140625" style="927" customWidth="1"/>
    <col min="779" max="779" width="2.28515625" style="927" customWidth="1"/>
    <col min="780" max="780" width="9.140625" style="927" customWidth="1"/>
    <col min="781" max="781" width="9.42578125" style="927" customWidth="1"/>
    <col min="782" max="782" width="0" style="927" hidden="1" customWidth="1"/>
    <col min="783" max="783" width="9.140625" style="927" customWidth="1"/>
    <col min="784" max="784" width="2.5703125" style="927" customWidth="1"/>
    <col min="785" max="785" width="9.140625" style="927" customWidth="1"/>
    <col min="786" max="786" width="9.5703125" style="927" customWidth="1"/>
    <col min="787" max="787" width="0" style="927" hidden="1" customWidth="1"/>
    <col min="788" max="788" width="9.140625" style="927" customWidth="1"/>
    <col min="789" max="789" width="2.7109375" style="927" customWidth="1"/>
    <col min="790" max="791" width="9.140625" style="927" customWidth="1"/>
    <col min="792" max="792" width="3.140625" style="927" customWidth="1"/>
    <col min="793" max="793" width="4" style="927" customWidth="1"/>
    <col min="794" max="794" width="9.42578125" style="927" customWidth="1"/>
    <col min="795" max="796" width="9.140625" style="927" customWidth="1"/>
    <col min="797" max="797" width="10.5703125" style="927" customWidth="1"/>
    <col min="798" max="798" width="9.140625" style="927" customWidth="1"/>
    <col min="799" max="799" width="4" style="927" customWidth="1"/>
    <col min="800" max="800" width="9.42578125" style="927" customWidth="1"/>
    <col min="801" max="802" width="9.140625" style="927" customWidth="1"/>
    <col min="803" max="803" width="10.5703125" style="927" customWidth="1"/>
    <col min="804" max="804" width="9.140625" style="927" customWidth="1"/>
    <col min="805" max="805" width="4" style="927" customWidth="1"/>
    <col min="806" max="806" width="9.42578125" style="927" customWidth="1"/>
    <col min="807" max="808" width="9.140625" style="927" customWidth="1"/>
    <col min="809" max="809" width="10.5703125" style="927" customWidth="1"/>
    <col min="810" max="810" width="9.140625" style="927" customWidth="1"/>
    <col min="811" max="811" width="4" style="927" customWidth="1"/>
    <col min="812" max="812" width="9.42578125" style="927" customWidth="1"/>
    <col min="813" max="814" width="9.140625" style="927" customWidth="1"/>
    <col min="815" max="815" width="10.5703125" style="927" customWidth="1"/>
    <col min="816" max="816" width="9.140625" style="927" customWidth="1"/>
    <col min="817" max="817" width="4" style="927" customWidth="1"/>
    <col min="818" max="818" width="9.42578125" style="927" customWidth="1"/>
    <col min="819" max="820" width="9.140625" style="927" customWidth="1"/>
    <col min="821" max="821" width="10.5703125" style="927" customWidth="1"/>
    <col min="822" max="822" width="9.140625" style="927" customWidth="1"/>
    <col min="823" max="823" width="4" style="927" customWidth="1"/>
    <col min="824" max="824" width="9.42578125" style="927" customWidth="1"/>
    <col min="825" max="826" width="9.140625" style="927" customWidth="1"/>
    <col min="827" max="827" width="10.5703125" style="927" customWidth="1"/>
    <col min="828" max="828" width="9.140625" style="927" customWidth="1"/>
    <col min="829" max="829" width="4" style="927" customWidth="1"/>
    <col min="830" max="830" width="9.42578125" style="927" customWidth="1"/>
    <col min="831" max="832" width="9.140625" style="927" customWidth="1"/>
    <col min="833" max="833" width="10.5703125" style="927" customWidth="1"/>
    <col min="834" max="834" width="9.140625" style="927" customWidth="1"/>
    <col min="835" max="835" width="4" style="927" customWidth="1"/>
    <col min="836" max="836" width="9.42578125" style="927" customWidth="1"/>
    <col min="837" max="838" width="9.140625" style="927" customWidth="1"/>
    <col min="839" max="839" width="10.5703125" style="927" customWidth="1"/>
    <col min="840" max="840" width="9.140625" style="927" customWidth="1"/>
    <col min="841" max="841" width="4" style="927" customWidth="1"/>
    <col min="842" max="842" width="9.42578125" style="927" customWidth="1"/>
    <col min="843" max="844" width="9.140625" style="927" customWidth="1"/>
    <col min="845" max="845" width="10.5703125" style="927" customWidth="1"/>
    <col min="846" max="846" width="9.140625" style="927" customWidth="1"/>
    <col min="847" max="847" width="4" style="927" customWidth="1"/>
    <col min="848" max="848" width="9.42578125" style="927" customWidth="1"/>
    <col min="849" max="850" width="9.140625" style="927" customWidth="1"/>
    <col min="851" max="851" width="10.5703125" style="927" customWidth="1"/>
    <col min="852" max="852" width="9.140625" style="927" customWidth="1"/>
    <col min="853" max="853" width="4" style="927" customWidth="1"/>
    <col min="854" max="854" width="9.42578125" style="927" customWidth="1"/>
    <col min="855" max="856" width="9.140625" style="927" customWidth="1"/>
    <col min="857" max="857" width="10.5703125" style="927" customWidth="1"/>
    <col min="858" max="858" width="9.140625" style="927" customWidth="1"/>
    <col min="859" max="859" width="4" style="927" customWidth="1"/>
    <col min="860" max="860" width="9.42578125" style="927" customWidth="1"/>
    <col min="861" max="862" width="9.140625" style="927" customWidth="1"/>
    <col min="863" max="863" width="10.5703125" style="927" customWidth="1"/>
    <col min="864" max="864" width="9.140625" style="927" customWidth="1"/>
    <col min="865" max="865" width="4" style="927" customWidth="1"/>
    <col min="866" max="866" width="9.42578125" style="927" customWidth="1"/>
    <col min="867" max="868" width="9.140625" style="927" customWidth="1"/>
    <col min="869" max="869" width="10.5703125" style="927" customWidth="1"/>
    <col min="870" max="870" width="9.140625" style="927" customWidth="1"/>
    <col min="871" max="871" width="4" style="927" customWidth="1"/>
    <col min="872" max="872" width="12.42578125" style="927" customWidth="1"/>
    <col min="873" max="874" width="9.140625" style="927" customWidth="1"/>
    <col min="875" max="875" width="10.5703125" style="927" customWidth="1"/>
    <col min="876" max="876" width="9.140625" style="927" customWidth="1"/>
    <col min="877" max="877" width="4" style="927" customWidth="1"/>
    <col min="878" max="878" width="12.42578125" style="927" customWidth="1"/>
    <col min="879" max="880" width="9.140625" style="927" customWidth="1"/>
    <col min="881" max="881" width="10.5703125" style="927" customWidth="1"/>
    <col min="882" max="882" width="9.140625" style="927" customWidth="1"/>
    <col min="883" max="883" width="4" style="927" customWidth="1"/>
    <col min="884" max="884" width="12.42578125" style="927" customWidth="1"/>
    <col min="885" max="886" width="9.140625" style="927" customWidth="1"/>
    <col min="887" max="887" width="10.5703125" style="927" customWidth="1"/>
    <col min="888" max="888" width="9.140625" style="927" customWidth="1"/>
    <col min="889" max="889" width="4" style="927" customWidth="1"/>
    <col min="890" max="890" width="12.42578125" style="927" customWidth="1"/>
    <col min="891" max="892" width="9.140625" style="927" customWidth="1"/>
    <col min="893" max="893" width="10.5703125" style="927" customWidth="1"/>
    <col min="894" max="894" width="9.140625" style="927" customWidth="1"/>
    <col min="895" max="895" width="4" style="927" customWidth="1"/>
    <col min="896" max="896" width="12.42578125" style="927" customWidth="1"/>
    <col min="897" max="898" width="9.140625" style="927" customWidth="1"/>
    <col min="899" max="899" width="10.5703125" style="927" customWidth="1"/>
    <col min="900" max="1024" width="9.140625" style="927"/>
    <col min="1025" max="1025" width="2.7109375" style="927" customWidth="1"/>
    <col min="1026" max="1026" width="9.140625" style="927" customWidth="1"/>
    <col min="1027" max="1027" width="9.42578125" style="927" customWidth="1"/>
    <col min="1028" max="1028" width="0" style="927" hidden="1" customWidth="1"/>
    <col min="1029" max="1029" width="9.140625" style="927" customWidth="1"/>
    <col min="1030" max="1030" width="2.42578125" style="927" customWidth="1"/>
    <col min="1031" max="1031" width="9.140625" style="927" customWidth="1"/>
    <col min="1032" max="1032" width="9.42578125" style="927" customWidth="1"/>
    <col min="1033" max="1033" width="0" style="927" hidden="1" customWidth="1"/>
    <col min="1034" max="1034" width="9.140625" style="927" customWidth="1"/>
    <col min="1035" max="1035" width="2.28515625" style="927" customWidth="1"/>
    <col min="1036" max="1036" width="9.140625" style="927" customWidth="1"/>
    <col min="1037" max="1037" width="9.42578125" style="927" customWidth="1"/>
    <col min="1038" max="1038" width="0" style="927" hidden="1" customWidth="1"/>
    <col min="1039" max="1039" width="9.140625" style="927" customWidth="1"/>
    <col min="1040" max="1040" width="2.5703125" style="927" customWidth="1"/>
    <col min="1041" max="1041" width="9.140625" style="927" customWidth="1"/>
    <col min="1042" max="1042" width="9.5703125" style="927" customWidth="1"/>
    <col min="1043" max="1043" width="0" style="927" hidden="1" customWidth="1"/>
    <col min="1044" max="1044" width="9.140625" style="927" customWidth="1"/>
    <col min="1045" max="1045" width="2.7109375" style="927" customWidth="1"/>
    <col min="1046" max="1047" width="9.140625" style="927" customWidth="1"/>
    <col min="1048" max="1048" width="3.140625" style="927" customWidth="1"/>
    <col min="1049" max="1049" width="4" style="927" customWidth="1"/>
    <col min="1050" max="1050" width="9.42578125" style="927" customWidth="1"/>
    <col min="1051" max="1052" width="9.140625" style="927" customWidth="1"/>
    <col min="1053" max="1053" width="10.5703125" style="927" customWidth="1"/>
    <col min="1054" max="1054" width="9.140625" style="927" customWidth="1"/>
    <col min="1055" max="1055" width="4" style="927" customWidth="1"/>
    <col min="1056" max="1056" width="9.42578125" style="927" customWidth="1"/>
    <col min="1057" max="1058" width="9.140625" style="927" customWidth="1"/>
    <col min="1059" max="1059" width="10.5703125" style="927" customWidth="1"/>
    <col min="1060" max="1060" width="9.140625" style="927" customWidth="1"/>
    <col min="1061" max="1061" width="4" style="927" customWidth="1"/>
    <col min="1062" max="1062" width="9.42578125" style="927" customWidth="1"/>
    <col min="1063" max="1064" width="9.140625" style="927" customWidth="1"/>
    <col min="1065" max="1065" width="10.5703125" style="927" customWidth="1"/>
    <col min="1066" max="1066" width="9.140625" style="927" customWidth="1"/>
    <col min="1067" max="1067" width="4" style="927" customWidth="1"/>
    <col min="1068" max="1068" width="9.42578125" style="927" customWidth="1"/>
    <col min="1069" max="1070" width="9.140625" style="927" customWidth="1"/>
    <col min="1071" max="1071" width="10.5703125" style="927" customWidth="1"/>
    <col min="1072" max="1072" width="9.140625" style="927" customWidth="1"/>
    <col min="1073" max="1073" width="4" style="927" customWidth="1"/>
    <col min="1074" max="1074" width="9.42578125" style="927" customWidth="1"/>
    <col min="1075" max="1076" width="9.140625" style="927" customWidth="1"/>
    <col min="1077" max="1077" width="10.5703125" style="927" customWidth="1"/>
    <col min="1078" max="1078" width="9.140625" style="927" customWidth="1"/>
    <col min="1079" max="1079" width="4" style="927" customWidth="1"/>
    <col min="1080" max="1080" width="9.42578125" style="927" customWidth="1"/>
    <col min="1081" max="1082" width="9.140625" style="927" customWidth="1"/>
    <col min="1083" max="1083" width="10.5703125" style="927" customWidth="1"/>
    <col min="1084" max="1084" width="9.140625" style="927" customWidth="1"/>
    <col min="1085" max="1085" width="4" style="927" customWidth="1"/>
    <col min="1086" max="1086" width="9.42578125" style="927" customWidth="1"/>
    <col min="1087" max="1088" width="9.140625" style="927" customWidth="1"/>
    <col min="1089" max="1089" width="10.5703125" style="927" customWidth="1"/>
    <col min="1090" max="1090" width="9.140625" style="927" customWidth="1"/>
    <col min="1091" max="1091" width="4" style="927" customWidth="1"/>
    <col min="1092" max="1092" width="9.42578125" style="927" customWidth="1"/>
    <col min="1093" max="1094" width="9.140625" style="927" customWidth="1"/>
    <col min="1095" max="1095" width="10.5703125" style="927" customWidth="1"/>
    <col min="1096" max="1096" width="9.140625" style="927" customWidth="1"/>
    <col min="1097" max="1097" width="4" style="927" customWidth="1"/>
    <col min="1098" max="1098" width="9.42578125" style="927" customWidth="1"/>
    <col min="1099" max="1100" width="9.140625" style="927" customWidth="1"/>
    <col min="1101" max="1101" width="10.5703125" style="927" customWidth="1"/>
    <col min="1102" max="1102" width="9.140625" style="927" customWidth="1"/>
    <col min="1103" max="1103" width="4" style="927" customWidth="1"/>
    <col min="1104" max="1104" width="9.42578125" style="927" customWidth="1"/>
    <col min="1105" max="1106" width="9.140625" style="927" customWidth="1"/>
    <col min="1107" max="1107" width="10.5703125" style="927" customWidth="1"/>
    <col min="1108" max="1108" width="9.140625" style="927" customWidth="1"/>
    <col min="1109" max="1109" width="4" style="927" customWidth="1"/>
    <col min="1110" max="1110" width="9.42578125" style="927" customWidth="1"/>
    <col min="1111" max="1112" width="9.140625" style="927" customWidth="1"/>
    <col min="1113" max="1113" width="10.5703125" style="927" customWidth="1"/>
    <col min="1114" max="1114" width="9.140625" style="927" customWidth="1"/>
    <col min="1115" max="1115" width="4" style="927" customWidth="1"/>
    <col min="1116" max="1116" width="9.42578125" style="927" customWidth="1"/>
    <col min="1117" max="1118" width="9.140625" style="927" customWidth="1"/>
    <col min="1119" max="1119" width="10.5703125" style="927" customWidth="1"/>
    <col min="1120" max="1120" width="9.140625" style="927" customWidth="1"/>
    <col min="1121" max="1121" width="4" style="927" customWidth="1"/>
    <col min="1122" max="1122" width="9.42578125" style="927" customWidth="1"/>
    <col min="1123" max="1124" width="9.140625" style="927" customWidth="1"/>
    <col min="1125" max="1125" width="10.5703125" style="927" customWidth="1"/>
    <col min="1126" max="1126" width="9.140625" style="927" customWidth="1"/>
    <col min="1127" max="1127" width="4" style="927" customWidth="1"/>
    <col min="1128" max="1128" width="12.42578125" style="927" customWidth="1"/>
    <col min="1129" max="1130" width="9.140625" style="927" customWidth="1"/>
    <col min="1131" max="1131" width="10.5703125" style="927" customWidth="1"/>
    <col min="1132" max="1132" width="9.140625" style="927" customWidth="1"/>
    <col min="1133" max="1133" width="4" style="927" customWidth="1"/>
    <col min="1134" max="1134" width="12.42578125" style="927" customWidth="1"/>
    <col min="1135" max="1136" width="9.140625" style="927" customWidth="1"/>
    <col min="1137" max="1137" width="10.5703125" style="927" customWidth="1"/>
    <col min="1138" max="1138" width="9.140625" style="927" customWidth="1"/>
    <col min="1139" max="1139" width="4" style="927" customWidth="1"/>
    <col min="1140" max="1140" width="12.42578125" style="927" customWidth="1"/>
    <col min="1141" max="1142" width="9.140625" style="927" customWidth="1"/>
    <col min="1143" max="1143" width="10.5703125" style="927" customWidth="1"/>
    <col min="1144" max="1144" width="9.140625" style="927" customWidth="1"/>
    <col min="1145" max="1145" width="4" style="927" customWidth="1"/>
    <col min="1146" max="1146" width="12.42578125" style="927" customWidth="1"/>
    <col min="1147" max="1148" width="9.140625" style="927" customWidth="1"/>
    <col min="1149" max="1149" width="10.5703125" style="927" customWidth="1"/>
    <col min="1150" max="1150" width="9.140625" style="927" customWidth="1"/>
    <col min="1151" max="1151" width="4" style="927" customWidth="1"/>
    <col min="1152" max="1152" width="12.42578125" style="927" customWidth="1"/>
    <col min="1153" max="1154" width="9.140625" style="927" customWidth="1"/>
    <col min="1155" max="1155" width="10.5703125" style="927" customWidth="1"/>
    <col min="1156" max="1280" width="9.140625" style="927"/>
    <col min="1281" max="1281" width="2.7109375" style="927" customWidth="1"/>
    <col min="1282" max="1282" width="9.140625" style="927" customWidth="1"/>
    <col min="1283" max="1283" width="9.42578125" style="927" customWidth="1"/>
    <col min="1284" max="1284" width="0" style="927" hidden="1" customWidth="1"/>
    <col min="1285" max="1285" width="9.140625" style="927" customWidth="1"/>
    <col min="1286" max="1286" width="2.42578125" style="927" customWidth="1"/>
    <col min="1287" max="1287" width="9.140625" style="927" customWidth="1"/>
    <col min="1288" max="1288" width="9.42578125" style="927" customWidth="1"/>
    <col min="1289" max="1289" width="0" style="927" hidden="1" customWidth="1"/>
    <col min="1290" max="1290" width="9.140625" style="927" customWidth="1"/>
    <col min="1291" max="1291" width="2.28515625" style="927" customWidth="1"/>
    <col min="1292" max="1292" width="9.140625" style="927" customWidth="1"/>
    <col min="1293" max="1293" width="9.42578125" style="927" customWidth="1"/>
    <col min="1294" max="1294" width="0" style="927" hidden="1" customWidth="1"/>
    <col min="1295" max="1295" width="9.140625" style="927" customWidth="1"/>
    <col min="1296" max="1296" width="2.5703125" style="927" customWidth="1"/>
    <col min="1297" max="1297" width="9.140625" style="927" customWidth="1"/>
    <col min="1298" max="1298" width="9.5703125" style="927" customWidth="1"/>
    <col min="1299" max="1299" width="0" style="927" hidden="1" customWidth="1"/>
    <col min="1300" max="1300" width="9.140625" style="927" customWidth="1"/>
    <col min="1301" max="1301" width="2.7109375" style="927" customWidth="1"/>
    <col min="1302" max="1303" width="9.140625" style="927" customWidth="1"/>
    <col min="1304" max="1304" width="3.140625" style="927" customWidth="1"/>
    <col min="1305" max="1305" width="4" style="927" customWidth="1"/>
    <col min="1306" max="1306" width="9.42578125" style="927" customWidth="1"/>
    <col min="1307" max="1308" width="9.140625" style="927" customWidth="1"/>
    <col min="1309" max="1309" width="10.5703125" style="927" customWidth="1"/>
    <col min="1310" max="1310" width="9.140625" style="927" customWidth="1"/>
    <col min="1311" max="1311" width="4" style="927" customWidth="1"/>
    <col min="1312" max="1312" width="9.42578125" style="927" customWidth="1"/>
    <col min="1313" max="1314" width="9.140625" style="927" customWidth="1"/>
    <col min="1315" max="1315" width="10.5703125" style="927" customWidth="1"/>
    <col min="1316" max="1316" width="9.140625" style="927" customWidth="1"/>
    <col min="1317" max="1317" width="4" style="927" customWidth="1"/>
    <col min="1318" max="1318" width="9.42578125" style="927" customWidth="1"/>
    <col min="1319" max="1320" width="9.140625" style="927" customWidth="1"/>
    <col min="1321" max="1321" width="10.5703125" style="927" customWidth="1"/>
    <col min="1322" max="1322" width="9.140625" style="927" customWidth="1"/>
    <col min="1323" max="1323" width="4" style="927" customWidth="1"/>
    <col min="1324" max="1324" width="9.42578125" style="927" customWidth="1"/>
    <col min="1325" max="1326" width="9.140625" style="927" customWidth="1"/>
    <col min="1327" max="1327" width="10.5703125" style="927" customWidth="1"/>
    <col min="1328" max="1328" width="9.140625" style="927" customWidth="1"/>
    <col min="1329" max="1329" width="4" style="927" customWidth="1"/>
    <col min="1330" max="1330" width="9.42578125" style="927" customWidth="1"/>
    <col min="1331" max="1332" width="9.140625" style="927" customWidth="1"/>
    <col min="1333" max="1333" width="10.5703125" style="927" customWidth="1"/>
    <col min="1334" max="1334" width="9.140625" style="927" customWidth="1"/>
    <col min="1335" max="1335" width="4" style="927" customWidth="1"/>
    <col min="1336" max="1336" width="9.42578125" style="927" customWidth="1"/>
    <col min="1337" max="1338" width="9.140625" style="927" customWidth="1"/>
    <col min="1339" max="1339" width="10.5703125" style="927" customWidth="1"/>
    <col min="1340" max="1340" width="9.140625" style="927" customWidth="1"/>
    <col min="1341" max="1341" width="4" style="927" customWidth="1"/>
    <col min="1342" max="1342" width="9.42578125" style="927" customWidth="1"/>
    <col min="1343" max="1344" width="9.140625" style="927" customWidth="1"/>
    <col min="1345" max="1345" width="10.5703125" style="927" customWidth="1"/>
    <col min="1346" max="1346" width="9.140625" style="927" customWidth="1"/>
    <col min="1347" max="1347" width="4" style="927" customWidth="1"/>
    <col min="1348" max="1348" width="9.42578125" style="927" customWidth="1"/>
    <col min="1349" max="1350" width="9.140625" style="927" customWidth="1"/>
    <col min="1351" max="1351" width="10.5703125" style="927" customWidth="1"/>
    <col min="1352" max="1352" width="9.140625" style="927" customWidth="1"/>
    <col min="1353" max="1353" width="4" style="927" customWidth="1"/>
    <col min="1354" max="1354" width="9.42578125" style="927" customWidth="1"/>
    <col min="1355" max="1356" width="9.140625" style="927" customWidth="1"/>
    <col min="1357" max="1357" width="10.5703125" style="927" customWidth="1"/>
    <col min="1358" max="1358" width="9.140625" style="927" customWidth="1"/>
    <col min="1359" max="1359" width="4" style="927" customWidth="1"/>
    <col min="1360" max="1360" width="9.42578125" style="927" customWidth="1"/>
    <col min="1361" max="1362" width="9.140625" style="927" customWidth="1"/>
    <col min="1363" max="1363" width="10.5703125" style="927" customWidth="1"/>
    <col min="1364" max="1364" width="9.140625" style="927" customWidth="1"/>
    <col min="1365" max="1365" width="4" style="927" customWidth="1"/>
    <col min="1366" max="1366" width="9.42578125" style="927" customWidth="1"/>
    <col min="1367" max="1368" width="9.140625" style="927" customWidth="1"/>
    <col min="1369" max="1369" width="10.5703125" style="927" customWidth="1"/>
    <col min="1370" max="1370" width="9.140625" style="927" customWidth="1"/>
    <col min="1371" max="1371" width="4" style="927" customWidth="1"/>
    <col min="1372" max="1372" width="9.42578125" style="927" customWidth="1"/>
    <col min="1373" max="1374" width="9.140625" style="927" customWidth="1"/>
    <col min="1375" max="1375" width="10.5703125" style="927" customWidth="1"/>
    <col min="1376" max="1376" width="9.140625" style="927" customWidth="1"/>
    <col min="1377" max="1377" width="4" style="927" customWidth="1"/>
    <col min="1378" max="1378" width="9.42578125" style="927" customWidth="1"/>
    <col min="1379" max="1380" width="9.140625" style="927" customWidth="1"/>
    <col min="1381" max="1381" width="10.5703125" style="927" customWidth="1"/>
    <col min="1382" max="1382" width="9.140625" style="927" customWidth="1"/>
    <col min="1383" max="1383" width="4" style="927" customWidth="1"/>
    <col min="1384" max="1384" width="12.42578125" style="927" customWidth="1"/>
    <col min="1385" max="1386" width="9.140625" style="927" customWidth="1"/>
    <col min="1387" max="1387" width="10.5703125" style="927" customWidth="1"/>
    <col min="1388" max="1388" width="9.140625" style="927" customWidth="1"/>
    <col min="1389" max="1389" width="4" style="927" customWidth="1"/>
    <col min="1390" max="1390" width="12.42578125" style="927" customWidth="1"/>
    <col min="1391" max="1392" width="9.140625" style="927" customWidth="1"/>
    <col min="1393" max="1393" width="10.5703125" style="927" customWidth="1"/>
    <col min="1394" max="1394" width="9.140625" style="927" customWidth="1"/>
    <col min="1395" max="1395" width="4" style="927" customWidth="1"/>
    <col min="1396" max="1396" width="12.42578125" style="927" customWidth="1"/>
    <col min="1397" max="1398" width="9.140625" style="927" customWidth="1"/>
    <col min="1399" max="1399" width="10.5703125" style="927" customWidth="1"/>
    <col min="1400" max="1400" width="9.140625" style="927" customWidth="1"/>
    <col min="1401" max="1401" width="4" style="927" customWidth="1"/>
    <col min="1402" max="1402" width="12.42578125" style="927" customWidth="1"/>
    <col min="1403" max="1404" width="9.140625" style="927" customWidth="1"/>
    <col min="1405" max="1405" width="10.5703125" style="927" customWidth="1"/>
    <col min="1406" max="1406" width="9.140625" style="927" customWidth="1"/>
    <col min="1407" max="1407" width="4" style="927" customWidth="1"/>
    <col min="1408" max="1408" width="12.42578125" style="927" customWidth="1"/>
    <col min="1409" max="1410" width="9.140625" style="927" customWidth="1"/>
    <col min="1411" max="1411" width="10.5703125" style="927" customWidth="1"/>
    <col min="1412" max="1536" width="9.140625" style="927"/>
    <col min="1537" max="1537" width="2.7109375" style="927" customWidth="1"/>
    <col min="1538" max="1538" width="9.140625" style="927" customWidth="1"/>
    <col min="1539" max="1539" width="9.42578125" style="927" customWidth="1"/>
    <col min="1540" max="1540" width="0" style="927" hidden="1" customWidth="1"/>
    <col min="1541" max="1541" width="9.140625" style="927" customWidth="1"/>
    <col min="1542" max="1542" width="2.42578125" style="927" customWidth="1"/>
    <col min="1543" max="1543" width="9.140625" style="927" customWidth="1"/>
    <col min="1544" max="1544" width="9.42578125" style="927" customWidth="1"/>
    <col min="1545" max="1545" width="0" style="927" hidden="1" customWidth="1"/>
    <col min="1546" max="1546" width="9.140625" style="927" customWidth="1"/>
    <col min="1547" max="1547" width="2.28515625" style="927" customWidth="1"/>
    <col min="1548" max="1548" width="9.140625" style="927" customWidth="1"/>
    <col min="1549" max="1549" width="9.42578125" style="927" customWidth="1"/>
    <col min="1550" max="1550" width="0" style="927" hidden="1" customWidth="1"/>
    <col min="1551" max="1551" width="9.140625" style="927" customWidth="1"/>
    <col min="1552" max="1552" width="2.5703125" style="927" customWidth="1"/>
    <col min="1553" max="1553" width="9.140625" style="927" customWidth="1"/>
    <col min="1554" max="1554" width="9.5703125" style="927" customWidth="1"/>
    <col min="1555" max="1555" width="0" style="927" hidden="1" customWidth="1"/>
    <col min="1556" max="1556" width="9.140625" style="927" customWidth="1"/>
    <col min="1557" max="1557" width="2.7109375" style="927" customWidth="1"/>
    <col min="1558" max="1559" width="9.140625" style="927" customWidth="1"/>
    <col min="1560" max="1560" width="3.140625" style="927" customWidth="1"/>
    <col min="1561" max="1561" width="4" style="927" customWidth="1"/>
    <col min="1562" max="1562" width="9.42578125" style="927" customWidth="1"/>
    <col min="1563" max="1564" width="9.140625" style="927" customWidth="1"/>
    <col min="1565" max="1565" width="10.5703125" style="927" customWidth="1"/>
    <col min="1566" max="1566" width="9.140625" style="927" customWidth="1"/>
    <col min="1567" max="1567" width="4" style="927" customWidth="1"/>
    <col min="1568" max="1568" width="9.42578125" style="927" customWidth="1"/>
    <col min="1569" max="1570" width="9.140625" style="927" customWidth="1"/>
    <col min="1571" max="1571" width="10.5703125" style="927" customWidth="1"/>
    <col min="1572" max="1572" width="9.140625" style="927" customWidth="1"/>
    <col min="1573" max="1573" width="4" style="927" customWidth="1"/>
    <col min="1574" max="1574" width="9.42578125" style="927" customWidth="1"/>
    <col min="1575" max="1576" width="9.140625" style="927" customWidth="1"/>
    <col min="1577" max="1577" width="10.5703125" style="927" customWidth="1"/>
    <col min="1578" max="1578" width="9.140625" style="927" customWidth="1"/>
    <col min="1579" max="1579" width="4" style="927" customWidth="1"/>
    <col min="1580" max="1580" width="9.42578125" style="927" customWidth="1"/>
    <col min="1581" max="1582" width="9.140625" style="927" customWidth="1"/>
    <col min="1583" max="1583" width="10.5703125" style="927" customWidth="1"/>
    <col min="1584" max="1584" width="9.140625" style="927" customWidth="1"/>
    <col min="1585" max="1585" width="4" style="927" customWidth="1"/>
    <col min="1586" max="1586" width="9.42578125" style="927" customWidth="1"/>
    <col min="1587" max="1588" width="9.140625" style="927" customWidth="1"/>
    <col min="1589" max="1589" width="10.5703125" style="927" customWidth="1"/>
    <col min="1590" max="1590" width="9.140625" style="927" customWidth="1"/>
    <col min="1591" max="1591" width="4" style="927" customWidth="1"/>
    <col min="1592" max="1592" width="9.42578125" style="927" customWidth="1"/>
    <col min="1593" max="1594" width="9.140625" style="927" customWidth="1"/>
    <col min="1595" max="1595" width="10.5703125" style="927" customWidth="1"/>
    <col min="1596" max="1596" width="9.140625" style="927" customWidth="1"/>
    <col min="1597" max="1597" width="4" style="927" customWidth="1"/>
    <col min="1598" max="1598" width="9.42578125" style="927" customWidth="1"/>
    <col min="1599" max="1600" width="9.140625" style="927" customWidth="1"/>
    <col min="1601" max="1601" width="10.5703125" style="927" customWidth="1"/>
    <col min="1602" max="1602" width="9.140625" style="927" customWidth="1"/>
    <col min="1603" max="1603" width="4" style="927" customWidth="1"/>
    <col min="1604" max="1604" width="9.42578125" style="927" customWidth="1"/>
    <col min="1605" max="1606" width="9.140625" style="927" customWidth="1"/>
    <col min="1607" max="1607" width="10.5703125" style="927" customWidth="1"/>
    <col min="1608" max="1608" width="9.140625" style="927" customWidth="1"/>
    <col min="1609" max="1609" width="4" style="927" customWidth="1"/>
    <col min="1610" max="1610" width="9.42578125" style="927" customWidth="1"/>
    <col min="1611" max="1612" width="9.140625" style="927" customWidth="1"/>
    <col min="1613" max="1613" width="10.5703125" style="927" customWidth="1"/>
    <col min="1614" max="1614" width="9.140625" style="927" customWidth="1"/>
    <col min="1615" max="1615" width="4" style="927" customWidth="1"/>
    <col min="1616" max="1616" width="9.42578125" style="927" customWidth="1"/>
    <col min="1617" max="1618" width="9.140625" style="927" customWidth="1"/>
    <col min="1619" max="1619" width="10.5703125" style="927" customWidth="1"/>
    <col min="1620" max="1620" width="9.140625" style="927" customWidth="1"/>
    <col min="1621" max="1621" width="4" style="927" customWidth="1"/>
    <col min="1622" max="1622" width="9.42578125" style="927" customWidth="1"/>
    <col min="1623" max="1624" width="9.140625" style="927" customWidth="1"/>
    <col min="1625" max="1625" width="10.5703125" style="927" customWidth="1"/>
    <col min="1626" max="1626" width="9.140625" style="927" customWidth="1"/>
    <col min="1627" max="1627" width="4" style="927" customWidth="1"/>
    <col min="1628" max="1628" width="9.42578125" style="927" customWidth="1"/>
    <col min="1629" max="1630" width="9.140625" style="927" customWidth="1"/>
    <col min="1631" max="1631" width="10.5703125" style="927" customWidth="1"/>
    <col min="1632" max="1632" width="9.140625" style="927" customWidth="1"/>
    <col min="1633" max="1633" width="4" style="927" customWidth="1"/>
    <col min="1634" max="1634" width="9.42578125" style="927" customWidth="1"/>
    <col min="1635" max="1636" width="9.140625" style="927" customWidth="1"/>
    <col min="1637" max="1637" width="10.5703125" style="927" customWidth="1"/>
    <col min="1638" max="1638" width="9.140625" style="927" customWidth="1"/>
    <col min="1639" max="1639" width="4" style="927" customWidth="1"/>
    <col min="1640" max="1640" width="12.42578125" style="927" customWidth="1"/>
    <col min="1641" max="1642" width="9.140625" style="927" customWidth="1"/>
    <col min="1643" max="1643" width="10.5703125" style="927" customWidth="1"/>
    <col min="1644" max="1644" width="9.140625" style="927" customWidth="1"/>
    <col min="1645" max="1645" width="4" style="927" customWidth="1"/>
    <col min="1646" max="1646" width="12.42578125" style="927" customWidth="1"/>
    <col min="1647" max="1648" width="9.140625" style="927" customWidth="1"/>
    <col min="1649" max="1649" width="10.5703125" style="927" customWidth="1"/>
    <col min="1650" max="1650" width="9.140625" style="927" customWidth="1"/>
    <col min="1651" max="1651" width="4" style="927" customWidth="1"/>
    <col min="1652" max="1652" width="12.42578125" style="927" customWidth="1"/>
    <col min="1653" max="1654" width="9.140625" style="927" customWidth="1"/>
    <col min="1655" max="1655" width="10.5703125" style="927" customWidth="1"/>
    <col min="1656" max="1656" width="9.140625" style="927" customWidth="1"/>
    <col min="1657" max="1657" width="4" style="927" customWidth="1"/>
    <col min="1658" max="1658" width="12.42578125" style="927" customWidth="1"/>
    <col min="1659" max="1660" width="9.140625" style="927" customWidth="1"/>
    <col min="1661" max="1661" width="10.5703125" style="927" customWidth="1"/>
    <col min="1662" max="1662" width="9.140625" style="927" customWidth="1"/>
    <col min="1663" max="1663" width="4" style="927" customWidth="1"/>
    <col min="1664" max="1664" width="12.42578125" style="927" customWidth="1"/>
    <col min="1665" max="1666" width="9.140625" style="927" customWidth="1"/>
    <col min="1667" max="1667" width="10.5703125" style="927" customWidth="1"/>
    <col min="1668" max="1792" width="9.140625" style="927"/>
    <col min="1793" max="1793" width="2.7109375" style="927" customWidth="1"/>
    <col min="1794" max="1794" width="9.140625" style="927" customWidth="1"/>
    <col min="1795" max="1795" width="9.42578125" style="927" customWidth="1"/>
    <col min="1796" max="1796" width="0" style="927" hidden="1" customWidth="1"/>
    <col min="1797" max="1797" width="9.140625" style="927" customWidth="1"/>
    <col min="1798" max="1798" width="2.42578125" style="927" customWidth="1"/>
    <col min="1799" max="1799" width="9.140625" style="927" customWidth="1"/>
    <col min="1800" max="1800" width="9.42578125" style="927" customWidth="1"/>
    <col min="1801" max="1801" width="0" style="927" hidden="1" customWidth="1"/>
    <col min="1802" max="1802" width="9.140625" style="927" customWidth="1"/>
    <col min="1803" max="1803" width="2.28515625" style="927" customWidth="1"/>
    <col min="1804" max="1804" width="9.140625" style="927" customWidth="1"/>
    <col min="1805" max="1805" width="9.42578125" style="927" customWidth="1"/>
    <col min="1806" max="1806" width="0" style="927" hidden="1" customWidth="1"/>
    <col min="1807" max="1807" width="9.140625" style="927" customWidth="1"/>
    <col min="1808" max="1808" width="2.5703125" style="927" customWidth="1"/>
    <col min="1809" max="1809" width="9.140625" style="927" customWidth="1"/>
    <col min="1810" max="1810" width="9.5703125" style="927" customWidth="1"/>
    <col min="1811" max="1811" width="0" style="927" hidden="1" customWidth="1"/>
    <col min="1812" max="1812" width="9.140625" style="927" customWidth="1"/>
    <col min="1813" max="1813" width="2.7109375" style="927" customWidth="1"/>
    <col min="1814" max="1815" width="9.140625" style="927" customWidth="1"/>
    <col min="1816" max="1816" width="3.140625" style="927" customWidth="1"/>
    <col min="1817" max="1817" width="4" style="927" customWidth="1"/>
    <col min="1818" max="1818" width="9.42578125" style="927" customWidth="1"/>
    <col min="1819" max="1820" width="9.140625" style="927" customWidth="1"/>
    <col min="1821" max="1821" width="10.5703125" style="927" customWidth="1"/>
    <col min="1822" max="1822" width="9.140625" style="927" customWidth="1"/>
    <col min="1823" max="1823" width="4" style="927" customWidth="1"/>
    <col min="1824" max="1824" width="9.42578125" style="927" customWidth="1"/>
    <col min="1825" max="1826" width="9.140625" style="927" customWidth="1"/>
    <col min="1827" max="1827" width="10.5703125" style="927" customWidth="1"/>
    <col min="1828" max="1828" width="9.140625" style="927" customWidth="1"/>
    <col min="1829" max="1829" width="4" style="927" customWidth="1"/>
    <col min="1830" max="1830" width="9.42578125" style="927" customWidth="1"/>
    <col min="1831" max="1832" width="9.140625" style="927" customWidth="1"/>
    <col min="1833" max="1833" width="10.5703125" style="927" customWidth="1"/>
    <col min="1834" max="1834" width="9.140625" style="927" customWidth="1"/>
    <col min="1835" max="1835" width="4" style="927" customWidth="1"/>
    <col min="1836" max="1836" width="9.42578125" style="927" customWidth="1"/>
    <col min="1837" max="1838" width="9.140625" style="927" customWidth="1"/>
    <col min="1839" max="1839" width="10.5703125" style="927" customWidth="1"/>
    <col min="1840" max="1840" width="9.140625" style="927" customWidth="1"/>
    <col min="1841" max="1841" width="4" style="927" customWidth="1"/>
    <col min="1842" max="1842" width="9.42578125" style="927" customWidth="1"/>
    <col min="1843" max="1844" width="9.140625" style="927" customWidth="1"/>
    <col min="1845" max="1845" width="10.5703125" style="927" customWidth="1"/>
    <col min="1846" max="1846" width="9.140625" style="927" customWidth="1"/>
    <col min="1847" max="1847" width="4" style="927" customWidth="1"/>
    <col min="1848" max="1848" width="9.42578125" style="927" customWidth="1"/>
    <col min="1849" max="1850" width="9.140625" style="927" customWidth="1"/>
    <col min="1851" max="1851" width="10.5703125" style="927" customWidth="1"/>
    <col min="1852" max="1852" width="9.140625" style="927" customWidth="1"/>
    <col min="1853" max="1853" width="4" style="927" customWidth="1"/>
    <col min="1854" max="1854" width="9.42578125" style="927" customWidth="1"/>
    <col min="1855" max="1856" width="9.140625" style="927" customWidth="1"/>
    <col min="1857" max="1857" width="10.5703125" style="927" customWidth="1"/>
    <col min="1858" max="1858" width="9.140625" style="927" customWidth="1"/>
    <col min="1859" max="1859" width="4" style="927" customWidth="1"/>
    <col min="1860" max="1860" width="9.42578125" style="927" customWidth="1"/>
    <col min="1861" max="1862" width="9.140625" style="927" customWidth="1"/>
    <col min="1863" max="1863" width="10.5703125" style="927" customWidth="1"/>
    <col min="1864" max="1864" width="9.140625" style="927" customWidth="1"/>
    <col min="1865" max="1865" width="4" style="927" customWidth="1"/>
    <col min="1866" max="1866" width="9.42578125" style="927" customWidth="1"/>
    <col min="1867" max="1868" width="9.140625" style="927" customWidth="1"/>
    <col min="1869" max="1869" width="10.5703125" style="927" customWidth="1"/>
    <col min="1870" max="1870" width="9.140625" style="927" customWidth="1"/>
    <col min="1871" max="1871" width="4" style="927" customWidth="1"/>
    <col min="1872" max="1872" width="9.42578125" style="927" customWidth="1"/>
    <col min="1873" max="1874" width="9.140625" style="927" customWidth="1"/>
    <col min="1875" max="1875" width="10.5703125" style="927" customWidth="1"/>
    <col min="1876" max="1876" width="9.140625" style="927" customWidth="1"/>
    <col min="1877" max="1877" width="4" style="927" customWidth="1"/>
    <col min="1878" max="1878" width="9.42578125" style="927" customWidth="1"/>
    <col min="1879" max="1880" width="9.140625" style="927" customWidth="1"/>
    <col min="1881" max="1881" width="10.5703125" style="927" customWidth="1"/>
    <col min="1882" max="1882" width="9.140625" style="927" customWidth="1"/>
    <col min="1883" max="1883" width="4" style="927" customWidth="1"/>
    <col min="1884" max="1884" width="9.42578125" style="927" customWidth="1"/>
    <col min="1885" max="1886" width="9.140625" style="927" customWidth="1"/>
    <col min="1887" max="1887" width="10.5703125" style="927" customWidth="1"/>
    <col min="1888" max="1888" width="9.140625" style="927" customWidth="1"/>
    <col min="1889" max="1889" width="4" style="927" customWidth="1"/>
    <col min="1890" max="1890" width="9.42578125" style="927" customWidth="1"/>
    <col min="1891" max="1892" width="9.140625" style="927" customWidth="1"/>
    <col min="1893" max="1893" width="10.5703125" style="927" customWidth="1"/>
    <col min="1894" max="1894" width="9.140625" style="927" customWidth="1"/>
    <col min="1895" max="1895" width="4" style="927" customWidth="1"/>
    <col min="1896" max="1896" width="12.42578125" style="927" customWidth="1"/>
    <col min="1897" max="1898" width="9.140625" style="927" customWidth="1"/>
    <col min="1899" max="1899" width="10.5703125" style="927" customWidth="1"/>
    <col min="1900" max="1900" width="9.140625" style="927" customWidth="1"/>
    <col min="1901" max="1901" width="4" style="927" customWidth="1"/>
    <col min="1902" max="1902" width="12.42578125" style="927" customWidth="1"/>
    <col min="1903" max="1904" width="9.140625" style="927" customWidth="1"/>
    <col min="1905" max="1905" width="10.5703125" style="927" customWidth="1"/>
    <col min="1906" max="1906" width="9.140625" style="927" customWidth="1"/>
    <col min="1907" max="1907" width="4" style="927" customWidth="1"/>
    <col min="1908" max="1908" width="12.42578125" style="927" customWidth="1"/>
    <col min="1909" max="1910" width="9.140625" style="927" customWidth="1"/>
    <col min="1911" max="1911" width="10.5703125" style="927" customWidth="1"/>
    <col min="1912" max="1912" width="9.140625" style="927" customWidth="1"/>
    <col min="1913" max="1913" width="4" style="927" customWidth="1"/>
    <col min="1914" max="1914" width="12.42578125" style="927" customWidth="1"/>
    <col min="1915" max="1916" width="9.140625" style="927" customWidth="1"/>
    <col min="1917" max="1917" width="10.5703125" style="927" customWidth="1"/>
    <col min="1918" max="1918" width="9.140625" style="927" customWidth="1"/>
    <col min="1919" max="1919" width="4" style="927" customWidth="1"/>
    <col min="1920" max="1920" width="12.42578125" style="927" customWidth="1"/>
    <col min="1921" max="1922" width="9.140625" style="927" customWidth="1"/>
    <col min="1923" max="1923" width="10.5703125" style="927" customWidth="1"/>
    <col min="1924" max="2048" width="9.140625" style="927"/>
    <col min="2049" max="2049" width="2.7109375" style="927" customWidth="1"/>
    <col min="2050" max="2050" width="9.140625" style="927" customWidth="1"/>
    <col min="2051" max="2051" width="9.42578125" style="927" customWidth="1"/>
    <col min="2052" max="2052" width="0" style="927" hidden="1" customWidth="1"/>
    <col min="2053" max="2053" width="9.140625" style="927" customWidth="1"/>
    <col min="2054" max="2054" width="2.42578125" style="927" customWidth="1"/>
    <col min="2055" max="2055" width="9.140625" style="927" customWidth="1"/>
    <col min="2056" max="2056" width="9.42578125" style="927" customWidth="1"/>
    <col min="2057" max="2057" width="0" style="927" hidden="1" customWidth="1"/>
    <col min="2058" max="2058" width="9.140625" style="927" customWidth="1"/>
    <col min="2059" max="2059" width="2.28515625" style="927" customWidth="1"/>
    <col min="2060" max="2060" width="9.140625" style="927" customWidth="1"/>
    <col min="2061" max="2061" width="9.42578125" style="927" customWidth="1"/>
    <col min="2062" max="2062" width="0" style="927" hidden="1" customWidth="1"/>
    <col min="2063" max="2063" width="9.140625" style="927" customWidth="1"/>
    <col min="2064" max="2064" width="2.5703125" style="927" customWidth="1"/>
    <col min="2065" max="2065" width="9.140625" style="927" customWidth="1"/>
    <col min="2066" max="2066" width="9.5703125" style="927" customWidth="1"/>
    <col min="2067" max="2067" width="0" style="927" hidden="1" customWidth="1"/>
    <col min="2068" max="2068" width="9.140625" style="927" customWidth="1"/>
    <col min="2069" max="2069" width="2.7109375" style="927" customWidth="1"/>
    <col min="2070" max="2071" width="9.140625" style="927" customWidth="1"/>
    <col min="2072" max="2072" width="3.140625" style="927" customWidth="1"/>
    <col min="2073" max="2073" width="4" style="927" customWidth="1"/>
    <col min="2074" max="2074" width="9.42578125" style="927" customWidth="1"/>
    <col min="2075" max="2076" width="9.140625" style="927" customWidth="1"/>
    <col min="2077" max="2077" width="10.5703125" style="927" customWidth="1"/>
    <col min="2078" max="2078" width="9.140625" style="927" customWidth="1"/>
    <col min="2079" max="2079" width="4" style="927" customWidth="1"/>
    <col min="2080" max="2080" width="9.42578125" style="927" customWidth="1"/>
    <col min="2081" max="2082" width="9.140625" style="927" customWidth="1"/>
    <col min="2083" max="2083" width="10.5703125" style="927" customWidth="1"/>
    <col min="2084" max="2084" width="9.140625" style="927" customWidth="1"/>
    <col min="2085" max="2085" width="4" style="927" customWidth="1"/>
    <col min="2086" max="2086" width="9.42578125" style="927" customWidth="1"/>
    <col min="2087" max="2088" width="9.140625" style="927" customWidth="1"/>
    <col min="2089" max="2089" width="10.5703125" style="927" customWidth="1"/>
    <col min="2090" max="2090" width="9.140625" style="927" customWidth="1"/>
    <col min="2091" max="2091" width="4" style="927" customWidth="1"/>
    <col min="2092" max="2092" width="9.42578125" style="927" customWidth="1"/>
    <col min="2093" max="2094" width="9.140625" style="927" customWidth="1"/>
    <col min="2095" max="2095" width="10.5703125" style="927" customWidth="1"/>
    <col min="2096" max="2096" width="9.140625" style="927" customWidth="1"/>
    <col min="2097" max="2097" width="4" style="927" customWidth="1"/>
    <col min="2098" max="2098" width="9.42578125" style="927" customWidth="1"/>
    <col min="2099" max="2100" width="9.140625" style="927" customWidth="1"/>
    <col min="2101" max="2101" width="10.5703125" style="927" customWidth="1"/>
    <col min="2102" max="2102" width="9.140625" style="927" customWidth="1"/>
    <col min="2103" max="2103" width="4" style="927" customWidth="1"/>
    <col min="2104" max="2104" width="9.42578125" style="927" customWidth="1"/>
    <col min="2105" max="2106" width="9.140625" style="927" customWidth="1"/>
    <col min="2107" max="2107" width="10.5703125" style="927" customWidth="1"/>
    <col min="2108" max="2108" width="9.140625" style="927" customWidth="1"/>
    <col min="2109" max="2109" width="4" style="927" customWidth="1"/>
    <col min="2110" max="2110" width="9.42578125" style="927" customWidth="1"/>
    <col min="2111" max="2112" width="9.140625" style="927" customWidth="1"/>
    <col min="2113" max="2113" width="10.5703125" style="927" customWidth="1"/>
    <col min="2114" max="2114" width="9.140625" style="927" customWidth="1"/>
    <col min="2115" max="2115" width="4" style="927" customWidth="1"/>
    <col min="2116" max="2116" width="9.42578125" style="927" customWidth="1"/>
    <col min="2117" max="2118" width="9.140625" style="927" customWidth="1"/>
    <col min="2119" max="2119" width="10.5703125" style="927" customWidth="1"/>
    <col min="2120" max="2120" width="9.140625" style="927" customWidth="1"/>
    <col min="2121" max="2121" width="4" style="927" customWidth="1"/>
    <col min="2122" max="2122" width="9.42578125" style="927" customWidth="1"/>
    <col min="2123" max="2124" width="9.140625" style="927" customWidth="1"/>
    <col min="2125" max="2125" width="10.5703125" style="927" customWidth="1"/>
    <col min="2126" max="2126" width="9.140625" style="927" customWidth="1"/>
    <col min="2127" max="2127" width="4" style="927" customWidth="1"/>
    <col min="2128" max="2128" width="9.42578125" style="927" customWidth="1"/>
    <col min="2129" max="2130" width="9.140625" style="927" customWidth="1"/>
    <col min="2131" max="2131" width="10.5703125" style="927" customWidth="1"/>
    <col min="2132" max="2132" width="9.140625" style="927" customWidth="1"/>
    <col min="2133" max="2133" width="4" style="927" customWidth="1"/>
    <col min="2134" max="2134" width="9.42578125" style="927" customWidth="1"/>
    <col min="2135" max="2136" width="9.140625" style="927" customWidth="1"/>
    <col min="2137" max="2137" width="10.5703125" style="927" customWidth="1"/>
    <col min="2138" max="2138" width="9.140625" style="927" customWidth="1"/>
    <col min="2139" max="2139" width="4" style="927" customWidth="1"/>
    <col min="2140" max="2140" width="9.42578125" style="927" customWidth="1"/>
    <col min="2141" max="2142" width="9.140625" style="927" customWidth="1"/>
    <col min="2143" max="2143" width="10.5703125" style="927" customWidth="1"/>
    <col min="2144" max="2144" width="9.140625" style="927" customWidth="1"/>
    <col min="2145" max="2145" width="4" style="927" customWidth="1"/>
    <col min="2146" max="2146" width="9.42578125" style="927" customWidth="1"/>
    <col min="2147" max="2148" width="9.140625" style="927" customWidth="1"/>
    <col min="2149" max="2149" width="10.5703125" style="927" customWidth="1"/>
    <col min="2150" max="2150" width="9.140625" style="927" customWidth="1"/>
    <col min="2151" max="2151" width="4" style="927" customWidth="1"/>
    <col min="2152" max="2152" width="12.42578125" style="927" customWidth="1"/>
    <col min="2153" max="2154" width="9.140625" style="927" customWidth="1"/>
    <col min="2155" max="2155" width="10.5703125" style="927" customWidth="1"/>
    <col min="2156" max="2156" width="9.140625" style="927" customWidth="1"/>
    <col min="2157" max="2157" width="4" style="927" customWidth="1"/>
    <col min="2158" max="2158" width="12.42578125" style="927" customWidth="1"/>
    <col min="2159" max="2160" width="9.140625" style="927" customWidth="1"/>
    <col min="2161" max="2161" width="10.5703125" style="927" customWidth="1"/>
    <col min="2162" max="2162" width="9.140625" style="927" customWidth="1"/>
    <col min="2163" max="2163" width="4" style="927" customWidth="1"/>
    <col min="2164" max="2164" width="12.42578125" style="927" customWidth="1"/>
    <col min="2165" max="2166" width="9.140625" style="927" customWidth="1"/>
    <col min="2167" max="2167" width="10.5703125" style="927" customWidth="1"/>
    <col min="2168" max="2168" width="9.140625" style="927" customWidth="1"/>
    <col min="2169" max="2169" width="4" style="927" customWidth="1"/>
    <col min="2170" max="2170" width="12.42578125" style="927" customWidth="1"/>
    <col min="2171" max="2172" width="9.140625" style="927" customWidth="1"/>
    <col min="2173" max="2173" width="10.5703125" style="927" customWidth="1"/>
    <col min="2174" max="2174" width="9.140625" style="927" customWidth="1"/>
    <col min="2175" max="2175" width="4" style="927" customWidth="1"/>
    <col min="2176" max="2176" width="12.42578125" style="927" customWidth="1"/>
    <col min="2177" max="2178" width="9.140625" style="927" customWidth="1"/>
    <col min="2179" max="2179" width="10.5703125" style="927" customWidth="1"/>
    <col min="2180" max="2304" width="9.140625" style="927"/>
    <col min="2305" max="2305" width="2.7109375" style="927" customWidth="1"/>
    <col min="2306" max="2306" width="9.140625" style="927" customWidth="1"/>
    <col min="2307" max="2307" width="9.42578125" style="927" customWidth="1"/>
    <col min="2308" max="2308" width="0" style="927" hidden="1" customWidth="1"/>
    <col min="2309" max="2309" width="9.140625" style="927" customWidth="1"/>
    <col min="2310" max="2310" width="2.42578125" style="927" customWidth="1"/>
    <col min="2311" max="2311" width="9.140625" style="927" customWidth="1"/>
    <col min="2312" max="2312" width="9.42578125" style="927" customWidth="1"/>
    <col min="2313" max="2313" width="0" style="927" hidden="1" customWidth="1"/>
    <col min="2314" max="2314" width="9.140625" style="927" customWidth="1"/>
    <col min="2315" max="2315" width="2.28515625" style="927" customWidth="1"/>
    <col min="2316" max="2316" width="9.140625" style="927" customWidth="1"/>
    <col min="2317" max="2317" width="9.42578125" style="927" customWidth="1"/>
    <col min="2318" max="2318" width="0" style="927" hidden="1" customWidth="1"/>
    <col min="2319" max="2319" width="9.140625" style="927" customWidth="1"/>
    <col min="2320" max="2320" width="2.5703125" style="927" customWidth="1"/>
    <col min="2321" max="2321" width="9.140625" style="927" customWidth="1"/>
    <col min="2322" max="2322" width="9.5703125" style="927" customWidth="1"/>
    <col min="2323" max="2323" width="0" style="927" hidden="1" customWidth="1"/>
    <col min="2324" max="2324" width="9.140625" style="927" customWidth="1"/>
    <col min="2325" max="2325" width="2.7109375" style="927" customWidth="1"/>
    <col min="2326" max="2327" width="9.140625" style="927" customWidth="1"/>
    <col min="2328" max="2328" width="3.140625" style="927" customWidth="1"/>
    <col min="2329" max="2329" width="4" style="927" customWidth="1"/>
    <col min="2330" max="2330" width="9.42578125" style="927" customWidth="1"/>
    <col min="2331" max="2332" width="9.140625" style="927" customWidth="1"/>
    <col min="2333" max="2333" width="10.5703125" style="927" customWidth="1"/>
    <col min="2334" max="2334" width="9.140625" style="927" customWidth="1"/>
    <col min="2335" max="2335" width="4" style="927" customWidth="1"/>
    <col min="2336" max="2336" width="9.42578125" style="927" customWidth="1"/>
    <col min="2337" max="2338" width="9.140625" style="927" customWidth="1"/>
    <col min="2339" max="2339" width="10.5703125" style="927" customWidth="1"/>
    <col min="2340" max="2340" width="9.140625" style="927" customWidth="1"/>
    <col min="2341" max="2341" width="4" style="927" customWidth="1"/>
    <col min="2342" max="2342" width="9.42578125" style="927" customWidth="1"/>
    <col min="2343" max="2344" width="9.140625" style="927" customWidth="1"/>
    <col min="2345" max="2345" width="10.5703125" style="927" customWidth="1"/>
    <col min="2346" max="2346" width="9.140625" style="927" customWidth="1"/>
    <col min="2347" max="2347" width="4" style="927" customWidth="1"/>
    <col min="2348" max="2348" width="9.42578125" style="927" customWidth="1"/>
    <col min="2349" max="2350" width="9.140625" style="927" customWidth="1"/>
    <col min="2351" max="2351" width="10.5703125" style="927" customWidth="1"/>
    <col min="2352" max="2352" width="9.140625" style="927" customWidth="1"/>
    <col min="2353" max="2353" width="4" style="927" customWidth="1"/>
    <col min="2354" max="2354" width="9.42578125" style="927" customWidth="1"/>
    <col min="2355" max="2356" width="9.140625" style="927" customWidth="1"/>
    <col min="2357" max="2357" width="10.5703125" style="927" customWidth="1"/>
    <col min="2358" max="2358" width="9.140625" style="927" customWidth="1"/>
    <col min="2359" max="2359" width="4" style="927" customWidth="1"/>
    <col min="2360" max="2360" width="9.42578125" style="927" customWidth="1"/>
    <col min="2361" max="2362" width="9.140625" style="927" customWidth="1"/>
    <col min="2363" max="2363" width="10.5703125" style="927" customWidth="1"/>
    <col min="2364" max="2364" width="9.140625" style="927" customWidth="1"/>
    <col min="2365" max="2365" width="4" style="927" customWidth="1"/>
    <col min="2366" max="2366" width="9.42578125" style="927" customWidth="1"/>
    <col min="2367" max="2368" width="9.140625" style="927" customWidth="1"/>
    <col min="2369" max="2369" width="10.5703125" style="927" customWidth="1"/>
    <col min="2370" max="2370" width="9.140625" style="927" customWidth="1"/>
    <col min="2371" max="2371" width="4" style="927" customWidth="1"/>
    <col min="2372" max="2372" width="9.42578125" style="927" customWidth="1"/>
    <col min="2373" max="2374" width="9.140625" style="927" customWidth="1"/>
    <col min="2375" max="2375" width="10.5703125" style="927" customWidth="1"/>
    <col min="2376" max="2376" width="9.140625" style="927" customWidth="1"/>
    <col min="2377" max="2377" width="4" style="927" customWidth="1"/>
    <col min="2378" max="2378" width="9.42578125" style="927" customWidth="1"/>
    <col min="2379" max="2380" width="9.140625" style="927" customWidth="1"/>
    <col min="2381" max="2381" width="10.5703125" style="927" customWidth="1"/>
    <col min="2382" max="2382" width="9.140625" style="927" customWidth="1"/>
    <col min="2383" max="2383" width="4" style="927" customWidth="1"/>
    <col min="2384" max="2384" width="9.42578125" style="927" customWidth="1"/>
    <col min="2385" max="2386" width="9.140625" style="927" customWidth="1"/>
    <col min="2387" max="2387" width="10.5703125" style="927" customWidth="1"/>
    <col min="2388" max="2388" width="9.140625" style="927" customWidth="1"/>
    <col min="2389" max="2389" width="4" style="927" customWidth="1"/>
    <col min="2390" max="2390" width="9.42578125" style="927" customWidth="1"/>
    <col min="2391" max="2392" width="9.140625" style="927" customWidth="1"/>
    <col min="2393" max="2393" width="10.5703125" style="927" customWidth="1"/>
    <col min="2394" max="2394" width="9.140625" style="927" customWidth="1"/>
    <col min="2395" max="2395" width="4" style="927" customWidth="1"/>
    <col min="2396" max="2396" width="9.42578125" style="927" customWidth="1"/>
    <col min="2397" max="2398" width="9.140625" style="927" customWidth="1"/>
    <col min="2399" max="2399" width="10.5703125" style="927" customWidth="1"/>
    <col min="2400" max="2400" width="9.140625" style="927" customWidth="1"/>
    <col min="2401" max="2401" width="4" style="927" customWidth="1"/>
    <col min="2402" max="2402" width="9.42578125" style="927" customWidth="1"/>
    <col min="2403" max="2404" width="9.140625" style="927" customWidth="1"/>
    <col min="2405" max="2405" width="10.5703125" style="927" customWidth="1"/>
    <col min="2406" max="2406" width="9.140625" style="927" customWidth="1"/>
    <col min="2407" max="2407" width="4" style="927" customWidth="1"/>
    <col min="2408" max="2408" width="12.42578125" style="927" customWidth="1"/>
    <col min="2409" max="2410" width="9.140625" style="927" customWidth="1"/>
    <col min="2411" max="2411" width="10.5703125" style="927" customWidth="1"/>
    <col min="2412" max="2412" width="9.140625" style="927" customWidth="1"/>
    <col min="2413" max="2413" width="4" style="927" customWidth="1"/>
    <col min="2414" max="2414" width="12.42578125" style="927" customWidth="1"/>
    <col min="2415" max="2416" width="9.140625" style="927" customWidth="1"/>
    <col min="2417" max="2417" width="10.5703125" style="927" customWidth="1"/>
    <col min="2418" max="2418" width="9.140625" style="927" customWidth="1"/>
    <col min="2419" max="2419" width="4" style="927" customWidth="1"/>
    <col min="2420" max="2420" width="12.42578125" style="927" customWidth="1"/>
    <col min="2421" max="2422" width="9.140625" style="927" customWidth="1"/>
    <col min="2423" max="2423" width="10.5703125" style="927" customWidth="1"/>
    <col min="2424" max="2424" width="9.140625" style="927" customWidth="1"/>
    <col min="2425" max="2425" width="4" style="927" customWidth="1"/>
    <col min="2426" max="2426" width="12.42578125" style="927" customWidth="1"/>
    <col min="2427" max="2428" width="9.140625" style="927" customWidth="1"/>
    <col min="2429" max="2429" width="10.5703125" style="927" customWidth="1"/>
    <col min="2430" max="2430" width="9.140625" style="927" customWidth="1"/>
    <col min="2431" max="2431" width="4" style="927" customWidth="1"/>
    <col min="2432" max="2432" width="12.42578125" style="927" customWidth="1"/>
    <col min="2433" max="2434" width="9.140625" style="927" customWidth="1"/>
    <col min="2435" max="2435" width="10.5703125" style="927" customWidth="1"/>
    <col min="2436" max="2560" width="9.140625" style="927"/>
    <col min="2561" max="2561" width="2.7109375" style="927" customWidth="1"/>
    <col min="2562" max="2562" width="9.140625" style="927" customWidth="1"/>
    <col min="2563" max="2563" width="9.42578125" style="927" customWidth="1"/>
    <col min="2564" max="2564" width="0" style="927" hidden="1" customWidth="1"/>
    <col min="2565" max="2565" width="9.140625" style="927" customWidth="1"/>
    <col min="2566" max="2566" width="2.42578125" style="927" customWidth="1"/>
    <col min="2567" max="2567" width="9.140625" style="927" customWidth="1"/>
    <col min="2568" max="2568" width="9.42578125" style="927" customWidth="1"/>
    <col min="2569" max="2569" width="0" style="927" hidden="1" customWidth="1"/>
    <col min="2570" max="2570" width="9.140625" style="927" customWidth="1"/>
    <col min="2571" max="2571" width="2.28515625" style="927" customWidth="1"/>
    <col min="2572" max="2572" width="9.140625" style="927" customWidth="1"/>
    <col min="2573" max="2573" width="9.42578125" style="927" customWidth="1"/>
    <col min="2574" max="2574" width="0" style="927" hidden="1" customWidth="1"/>
    <col min="2575" max="2575" width="9.140625" style="927" customWidth="1"/>
    <col min="2576" max="2576" width="2.5703125" style="927" customWidth="1"/>
    <col min="2577" max="2577" width="9.140625" style="927" customWidth="1"/>
    <col min="2578" max="2578" width="9.5703125" style="927" customWidth="1"/>
    <col min="2579" max="2579" width="0" style="927" hidden="1" customWidth="1"/>
    <col min="2580" max="2580" width="9.140625" style="927" customWidth="1"/>
    <col min="2581" max="2581" width="2.7109375" style="927" customWidth="1"/>
    <col min="2582" max="2583" width="9.140625" style="927" customWidth="1"/>
    <col min="2584" max="2584" width="3.140625" style="927" customWidth="1"/>
    <col min="2585" max="2585" width="4" style="927" customWidth="1"/>
    <col min="2586" max="2586" width="9.42578125" style="927" customWidth="1"/>
    <col min="2587" max="2588" width="9.140625" style="927" customWidth="1"/>
    <col min="2589" max="2589" width="10.5703125" style="927" customWidth="1"/>
    <col min="2590" max="2590" width="9.140625" style="927" customWidth="1"/>
    <col min="2591" max="2591" width="4" style="927" customWidth="1"/>
    <col min="2592" max="2592" width="9.42578125" style="927" customWidth="1"/>
    <col min="2593" max="2594" width="9.140625" style="927" customWidth="1"/>
    <col min="2595" max="2595" width="10.5703125" style="927" customWidth="1"/>
    <col min="2596" max="2596" width="9.140625" style="927" customWidth="1"/>
    <col min="2597" max="2597" width="4" style="927" customWidth="1"/>
    <col min="2598" max="2598" width="9.42578125" style="927" customWidth="1"/>
    <col min="2599" max="2600" width="9.140625" style="927" customWidth="1"/>
    <col min="2601" max="2601" width="10.5703125" style="927" customWidth="1"/>
    <col min="2602" max="2602" width="9.140625" style="927" customWidth="1"/>
    <col min="2603" max="2603" width="4" style="927" customWidth="1"/>
    <col min="2604" max="2604" width="9.42578125" style="927" customWidth="1"/>
    <col min="2605" max="2606" width="9.140625" style="927" customWidth="1"/>
    <col min="2607" max="2607" width="10.5703125" style="927" customWidth="1"/>
    <col min="2608" max="2608" width="9.140625" style="927" customWidth="1"/>
    <col min="2609" max="2609" width="4" style="927" customWidth="1"/>
    <col min="2610" max="2610" width="9.42578125" style="927" customWidth="1"/>
    <col min="2611" max="2612" width="9.140625" style="927" customWidth="1"/>
    <col min="2613" max="2613" width="10.5703125" style="927" customWidth="1"/>
    <col min="2614" max="2614" width="9.140625" style="927" customWidth="1"/>
    <col min="2615" max="2615" width="4" style="927" customWidth="1"/>
    <col min="2616" max="2616" width="9.42578125" style="927" customWidth="1"/>
    <col min="2617" max="2618" width="9.140625" style="927" customWidth="1"/>
    <col min="2619" max="2619" width="10.5703125" style="927" customWidth="1"/>
    <col min="2620" max="2620" width="9.140625" style="927" customWidth="1"/>
    <col min="2621" max="2621" width="4" style="927" customWidth="1"/>
    <col min="2622" max="2622" width="9.42578125" style="927" customWidth="1"/>
    <col min="2623" max="2624" width="9.140625" style="927" customWidth="1"/>
    <col min="2625" max="2625" width="10.5703125" style="927" customWidth="1"/>
    <col min="2626" max="2626" width="9.140625" style="927" customWidth="1"/>
    <col min="2627" max="2627" width="4" style="927" customWidth="1"/>
    <col min="2628" max="2628" width="9.42578125" style="927" customWidth="1"/>
    <col min="2629" max="2630" width="9.140625" style="927" customWidth="1"/>
    <col min="2631" max="2631" width="10.5703125" style="927" customWidth="1"/>
    <col min="2632" max="2632" width="9.140625" style="927" customWidth="1"/>
    <col min="2633" max="2633" width="4" style="927" customWidth="1"/>
    <col min="2634" max="2634" width="9.42578125" style="927" customWidth="1"/>
    <col min="2635" max="2636" width="9.140625" style="927" customWidth="1"/>
    <col min="2637" max="2637" width="10.5703125" style="927" customWidth="1"/>
    <col min="2638" max="2638" width="9.140625" style="927" customWidth="1"/>
    <col min="2639" max="2639" width="4" style="927" customWidth="1"/>
    <col min="2640" max="2640" width="9.42578125" style="927" customWidth="1"/>
    <col min="2641" max="2642" width="9.140625" style="927" customWidth="1"/>
    <col min="2643" max="2643" width="10.5703125" style="927" customWidth="1"/>
    <col min="2644" max="2644" width="9.140625" style="927" customWidth="1"/>
    <col min="2645" max="2645" width="4" style="927" customWidth="1"/>
    <col min="2646" max="2646" width="9.42578125" style="927" customWidth="1"/>
    <col min="2647" max="2648" width="9.140625" style="927" customWidth="1"/>
    <col min="2649" max="2649" width="10.5703125" style="927" customWidth="1"/>
    <col min="2650" max="2650" width="9.140625" style="927" customWidth="1"/>
    <col min="2651" max="2651" width="4" style="927" customWidth="1"/>
    <col min="2652" max="2652" width="9.42578125" style="927" customWidth="1"/>
    <col min="2653" max="2654" width="9.140625" style="927" customWidth="1"/>
    <col min="2655" max="2655" width="10.5703125" style="927" customWidth="1"/>
    <col min="2656" max="2656" width="9.140625" style="927" customWidth="1"/>
    <col min="2657" max="2657" width="4" style="927" customWidth="1"/>
    <col min="2658" max="2658" width="9.42578125" style="927" customWidth="1"/>
    <col min="2659" max="2660" width="9.140625" style="927" customWidth="1"/>
    <col min="2661" max="2661" width="10.5703125" style="927" customWidth="1"/>
    <col min="2662" max="2662" width="9.140625" style="927" customWidth="1"/>
    <col min="2663" max="2663" width="4" style="927" customWidth="1"/>
    <col min="2664" max="2664" width="12.42578125" style="927" customWidth="1"/>
    <col min="2665" max="2666" width="9.140625" style="927" customWidth="1"/>
    <col min="2667" max="2667" width="10.5703125" style="927" customWidth="1"/>
    <col min="2668" max="2668" width="9.140625" style="927" customWidth="1"/>
    <col min="2669" max="2669" width="4" style="927" customWidth="1"/>
    <col min="2670" max="2670" width="12.42578125" style="927" customWidth="1"/>
    <col min="2671" max="2672" width="9.140625" style="927" customWidth="1"/>
    <col min="2673" max="2673" width="10.5703125" style="927" customWidth="1"/>
    <col min="2674" max="2674" width="9.140625" style="927" customWidth="1"/>
    <col min="2675" max="2675" width="4" style="927" customWidth="1"/>
    <col min="2676" max="2676" width="12.42578125" style="927" customWidth="1"/>
    <col min="2677" max="2678" width="9.140625" style="927" customWidth="1"/>
    <col min="2679" max="2679" width="10.5703125" style="927" customWidth="1"/>
    <col min="2680" max="2680" width="9.140625" style="927" customWidth="1"/>
    <col min="2681" max="2681" width="4" style="927" customWidth="1"/>
    <col min="2682" max="2682" width="12.42578125" style="927" customWidth="1"/>
    <col min="2683" max="2684" width="9.140625" style="927" customWidth="1"/>
    <col min="2685" max="2685" width="10.5703125" style="927" customWidth="1"/>
    <col min="2686" max="2686" width="9.140625" style="927" customWidth="1"/>
    <col min="2687" max="2687" width="4" style="927" customWidth="1"/>
    <col min="2688" max="2688" width="12.42578125" style="927" customWidth="1"/>
    <col min="2689" max="2690" width="9.140625" style="927" customWidth="1"/>
    <col min="2691" max="2691" width="10.5703125" style="927" customWidth="1"/>
    <col min="2692" max="2816" width="9.140625" style="927"/>
    <col min="2817" max="2817" width="2.7109375" style="927" customWidth="1"/>
    <col min="2818" max="2818" width="9.140625" style="927" customWidth="1"/>
    <col min="2819" max="2819" width="9.42578125" style="927" customWidth="1"/>
    <col min="2820" max="2820" width="0" style="927" hidden="1" customWidth="1"/>
    <col min="2821" max="2821" width="9.140625" style="927" customWidth="1"/>
    <col min="2822" max="2822" width="2.42578125" style="927" customWidth="1"/>
    <col min="2823" max="2823" width="9.140625" style="927" customWidth="1"/>
    <col min="2824" max="2824" width="9.42578125" style="927" customWidth="1"/>
    <col min="2825" max="2825" width="0" style="927" hidden="1" customWidth="1"/>
    <col min="2826" max="2826" width="9.140625" style="927" customWidth="1"/>
    <col min="2827" max="2827" width="2.28515625" style="927" customWidth="1"/>
    <col min="2828" max="2828" width="9.140625" style="927" customWidth="1"/>
    <col min="2829" max="2829" width="9.42578125" style="927" customWidth="1"/>
    <col min="2830" max="2830" width="0" style="927" hidden="1" customWidth="1"/>
    <col min="2831" max="2831" width="9.140625" style="927" customWidth="1"/>
    <col min="2832" max="2832" width="2.5703125" style="927" customWidth="1"/>
    <col min="2833" max="2833" width="9.140625" style="927" customWidth="1"/>
    <col min="2834" max="2834" width="9.5703125" style="927" customWidth="1"/>
    <col min="2835" max="2835" width="0" style="927" hidden="1" customWidth="1"/>
    <col min="2836" max="2836" width="9.140625" style="927" customWidth="1"/>
    <col min="2837" max="2837" width="2.7109375" style="927" customWidth="1"/>
    <col min="2838" max="2839" width="9.140625" style="927" customWidth="1"/>
    <col min="2840" max="2840" width="3.140625" style="927" customWidth="1"/>
    <col min="2841" max="2841" width="4" style="927" customWidth="1"/>
    <col min="2842" max="2842" width="9.42578125" style="927" customWidth="1"/>
    <col min="2843" max="2844" width="9.140625" style="927" customWidth="1"/>
    <col min="2845" max="2845" width="10.5703125" style="927" customWidth="1"/>
    <col min="2846" max="2846" width="9.140625" style="927" customWidth="1"/>
    <col min="2847" max="2847" width="4" style="927" customWidth="1"/>
    <col min="2848" max="2848" width="9.42578125" style="927" customWidth="1"/>
    <col min="2849" max="2850" width="9.140625" style="927" customWidth="1"/>
    <col min="2851" max="2851" width="10.5703125" style="927" customWidth="1"/>
    <col min="2852" max="2852" width="9.140625" style="927" customWidth="1"/>
    <col min="2853" max="2853" width="4" style="927" customWidth="1"/>
    <col min="2854" max="2854" width="9.42578125" style="927" customWidth="1"/>
    <col min="2855" max="2856" width="9.140625" style="927" customWidth="1"/>
    <col min="2857" max="2857" width="10.5703125" style="927" customWidth="1"/>
    <col min="2858" max="2858" width="9.140625" style="927" customWidth="1"/>
    <col min="2859" max="2859" width="4" style="927" customWidth="1"/>
    <col min="2860" max="2860" width="9.42578125" style="927" customWidth="1"/>
    <col min="2861" max="2862" width="9.140625" style="927" customWidth="1"/>
    <col min="2863" max="2863" width="10.5703125" style="927" customWidth="1"/>
    <col min="2864" max="2864" width="9.140625" style="927" customWidth="1"/>
    <col min="2865" max="2865" width="4" style="927" customWidth="1"/>
    <col min="2866" max="2866" width="9.42578125" style="927" customWidth="1"/>
    <col min="2867" max="2868" width="9.140625" style="927" customWidth="1"/>
    <col min="2869" max="2869" width="10.5703125" style="927" customWidth="1"/>
    <col min="2870" max="2870" width="9.140625" style="927" customWidth="1"/>
    <col min="2871" max="2871" width="4" style="927" customWidth="1"/>
    <col min="2872" max="2872" width="9.42578125" style="927" customWidth="1"/>
    <col min="2873" max="2874" width="9.140625" style="927" customWidth="1"/>
    <col min="2875" max="2875" width="10.5703125" style="927" customWidth="1"/>
    <col min="2876" max="2876" width="9.140625" style="927" customWidth="1"/>
    <col min="2877" max="2877" width="4" style="927" customWidth="1"/>
    <col min="2878" max="2878" width="9.42578125" style="927" customWidth="1"/>
    <col min="2879" max="2880" width="9.140625" style="927" customWidth="1"/>
    <col min="2881" max="2881" width="10.5703125" style="927" customWidth="1"/>
    <col min="2882" max="2882" width="9.140625" style="927" customWidth="1"/>
    <col min="2883" max="2883" width="4" style="927" customWidth="1"/>
    <col min="2884" max="2884" width="9.42578125" style="927" customWidth="1"/>
    <col min="2885" max="2886" width="9.140625" style="927" customWidth="1"/>
    <col min="2887" max="2887" width="10.5703125" style="927" customWidth="1"/>
    <col min="2888" max="2888" width="9.140625" style="927" customWidth="1"/>
    <col min="2889" max="2889" width="4" style="927" customWidth="1"/>
    <col min="2890" max="2890" width="9.42578125" style="927" customWidth="1"/>
    <col min="2891" max="2892" width="9.140625" style="927" customWidth="1"/>
    <col min="2893" max="2893" width="10.5703125" style="927" customWidth="1"/>
    <col min="2894" max="2894" width="9.140625" style="927" customWidth="1"/>
    <col min="2895" max="2895" width="4" style="927" customWidth="1"/>
    <col min="2896" max="2896" width="9.42578125" style="927" customWidth="1"/>
    <col min="2897" max="2898" width="9.140625" style="927" customWidth="1"/>
    <col min="2899" max="2899" width="10.5703125" style="927" customWidth="1"/>
    <col min="2900" max="2900" width="9.140625" style="927" customWidth="1"/>
    <col min="2901" max="2901" width="4" style="927" customWidth="1"/>
    <col min="2902" max="2902" width="9.42578125" style="927" customWidth="1"/>
    <col min="2903" max="2904" width="9.140625" style="927" customWidth="1"/>
    <col min="2905" max="2905" width="10.5703125" style="927" customWidth="1"/>
    <col min="2906" max="2906" width="9.140625" style="927" customWidth="1"/>
    <col min="2907" max="2907" width="4" style="927" customWidth="1"/>
    <col min="2908" max="2908" width="9.42578125" style="927" customWidth="1"/>
    <col min="2909" max="2910" width="9.140625" style="927" customWidth="1"/>
    <col min="2911" max="2911" width="10.5703125" style="927" customWidth="1"/>
    <col min="2912" max="2912" width="9.140625" style="927" customWidth="1"/>
    <col min="2913" max="2913" width="4" style="927" customWidth="1"/>
    <col min="2914" max="2914" width="9.42578125" style="927" customWidth="1"/>
    <col min="2915" max="2916" width="9.140625" style="927" customWidth="1"/>
    <col min="2917" max="2917" width="10.5703125" style="927" customWidth="1"/>
    <col min="2918" max="2918" width="9.140625" style="927" customWidth="1"/>
    <col min="2919" max="2919" width="4" style="927" customWidth="1"/>
    <col min="2920" max="2920" width="12.42578125" style="927" customWidth="1"/>
    <col min="2921" max="2922" width="9.140625" style="927" customWidth="1"/>
    <col min="2923" max="2923" width="10.5703125" style="927" customWidth="1"/>
    <col min="2924" max="2924" width="9.140625" style="927" customWidth="1"/>
    <col min="2925" max="2925" width="4" style="927" customWidth="1"/>
    <col min="2926" max="2926" width="12.42578125" style="927" customWidth="1"/>
    <col min="2927" max="2928" width="9.140625" style="927" customWidth="1"/>
    <col min="2929" max="2929" width="10.5703125" style="927" customWidth="1"/>
    <col min="2930" max="2930" width="9.140625" style="927" customWidth="1"/>
    <col min="2931" max="2931" width="4" style="927" customWidth="1"/>
    <col min="2932" max="2932" width="12.42578125" style="927" customWidth="1"/>
    <col min="2933" max="2934" width="9.140625" style="927" customWidth="1"/>
    <col min="2935" max="2935" width="10.5703125" style="927" customWidth="1"/>
    <col min="2936" max="2936" width="9.140625" style="927" customWidth="1"/>
    <col min="2937" max="2937" width="4" style="927" customWidth="1"/>
    <col min="2938" max="2938" width="12.42578125" style="927" customWidth="1"/>
    <col min="2939" max="2940" width="9.140625" style="927" customWidth="1"/>
    <col min="2941" max="2941" width="10.5703125" style="927" customWidth="1"/>
    <col min="2942" max="2942" width="9.140625" style="927" customWidth="1"/>
    <col min="2943" max="2943" width="4" style="927" customWidth="1"/>
    <col min="2944" max="2944" width="12.42578125" style="927" customWidth="1"/>
    <col min="2945" max="2946" width="9.140625" style="927" customWidth="1"/>
    <col min="2947" max="2947" width="10.5703125" style="927" customWidth="1"/>
    <col min="2948" max="3072" width="9.140625" style="927"/>
    <col min="3073" max="3073" width="2.7109375" style="927" customWidth="1"/>
    <col min="3074" max="3074" width="9.140625" style="927" customWidth="1"/>
    <col min="3075" max="3075" width="9.42578125" style="927" customWidth="1"/>
    <col min="3076" max="3076" width="0" style="927" hidden="1" customWidth="1"/>
    <col min="3077" max="3077" width="9.140625" style="927" customWidth="1"/>
    <col min="3078" max="3078" width="2.42578125" style="927" customWidth="1"/>
    <col min="3079" max="3079" width="9.140625" style="927" customWidth="1"/>
    <col min="3080" max="3080" width="9.42578125" style="927" customWidth="1"/>
    <col min="3081" max="3081" width="0" style="927" hidden="1" customWidth="1"/>
    <col min="3082" max="3082" width="9.140625" style="927" customWidth="1"/>
    <col min="3083" max="3083" width="2.28515625" style="927" customWidth="1"/>
    <col min="3084" max="3084" width="9.140625" style="927" customWidth="1"/>
    <col min="3085" max="3085" width="9.42578125" style="927" customWidth="1"/>
    <col min="3086" max="3086" width="0" style="927" hidden="1" customWidth="1"/>
    <col min="3087" max="3087" width="9.140625" style="927" customWidth="1"/>
    <col min="3088" max="3088" width="2.5703125" style="927" customWidth="1"/>
    <col min="3089" max="3089" width="9.140625" style="927" customWidth="1"/>
    <col min="3090" max="3090" width="9.5703125" style="927" customWidth="1"/>
    <col min="3091" max="3091" width="0" style="927" hidden="1" customWidth="1"/>
    <col min="3092" max="3092" width="9.140625" style="927" customWidth="1"/>
    <col min="3093" max="3093" width="2.7109375" style="927" customWidth="1"/>
    <col min="3094" max="3095" width="9.140625" style="927" customWidth="1"/>
    <col min="3096" max="3096" width="3.140625" style="927" customWidth="1"/>
    <col min="3097" max="3097" width="4" style="927" customWidth="1"/>
    <col min="3098" max="3098" width="9.42578125" style="927" customWidth="1"/>
    <col min="3099" max="3100" width="9.140625" style="927" customWidth="1"/>
    <col min="3101" max="3101" width="10.5703125" style="927" customWidth="1"/>
    <col min="3102" max="3102" width="9.140625" style="927" customWidth="1"/>
    <col min="3103" max="3103" width="4" style="927" customWidth="1"/>
    <col min="3104" max="3104" width="9.42578125" style="927" customWidth="1"/>
    <col min="3105" max="3106" width="9.140625" style="927" customWidth="1"/>
    <col min="3107" max="3107" width="10.5703125" style="927" customWidth="1"/>
    <col min="3108" max="3108" width="9.140625" style="927" customWidth="1"/>
    <col min="3109" max="3109" width="4" style="927" customWidth="1"/>
    <col min="3110" max="3110" width="9.42578125" style="927" customWidth="1"/>
    <col min="3111" max="3112" width="9.140625" style="927" customWidth="1"/>
    <col min="3113" max="3113" width="10.5703125" style="927" customWidth="1"/>
    <col min="3114" max="3114" width="9.140625" style="927" customWidth="1"/>
    <col min="3115" max="3115" width="4" style="927" customWidth="1"/>
    <col min="3116" max="3116" width="9.42578125" style="927" customWidth="1"/>
    <col min="3117" max="3118" width="9.140625" style="927" customWidth="1"/>
    <col min="3119" max="3119" width="10.5703125" style="927" customWidth="1"/>
    <col min="3120" max="3120" width="9.140625" style="927" customWidth="1"/>
    <col min="3121" max="3121" width="4" style="927" customWidth="1"/>
    <col min="3122" max="3122" width="9.42578125" style="927" customWidth="1"/>
    <col min="3123" max="3124" width="9.140625" style="927" customWidth="1"/>
    <col min="3125" max="3125" width="10.5703125" style="927" customWidth="1"/>
    <col min="3126" max="3126" width="9.140625" style="927" customWidth="1"/>
    <col min="3127" max="3127" width="4" style="927" customWidth="1"/>
    <col min="3128" max="3128" width="9.42578125" style="927" customWidth="1"/>
    <col min="3129" max="3130" width="9.140625" style="927" customWidth="1"/>
    <col min="3131" max="3131" width="10.5703125" style="927" customWidth="1"/>
    <col min="3132" max="3132" width="9.140625" style="927" customWidth="1"/>
    <col min="3133" max="3133" width="4" style="927" customWidth="1"/>
    <col min="3134" max="3134" width="9.42578125" style="927" customWidth="1"/>
    <col min="3135" max="3136" width="9.140625" style="927" customWidth="1"/>
    <col min="3137" max="3137" width="10.5703125" style="927" customWidth="1"/>
    <col min="3138" max="3138" width="9.140625" style="927" customWidth="1"/>
    <col min="3139" max="3139" width="4" style="927" customWidth="1"/>
    <col min="3140" max="3140" width="9.42578125" style="927" customWidth="1"/>
    <col min="3141" max="3142" width="9.140625" style="927" customWidth="1"/>
    <col min="3143" max="3143" width="10.5703125" style="927" customWidth="1"/>
    <col min="3144" max="3144" width="9.140625" style="927" customWidth="1"/>
    <col min="3145" max="3145" width="4" style="927" customWidth="1"/>
    <col min="3146" max="3146" width="9.42578125" style="927" customWidth="1"/>
    <col min="3147" max="3148" width="9.140625" style="927" customWidth="1"/>
    <col min="3149" max="3149" width="10.5703125" style="927" customWidth="1"/>
    <col min="3150" max="3150" width="9.140625" style="927" customWidth="1"/>
    <col min="3151" max="3151" width="4" style="927" customWidth="1"/>
    <col min="3152" max="3152" width="9.42578125" style="927" customWidth="1"/>
    <col min="3153" max="3154" width="9.140625" style="927" customWidth="1"/>
    <col min="3155" max="3155" width="10.5703125" style="927" customWidth="1"/>
    <col min="3156" max="3156" width="9.140625" style="927" customWidth="1"/>
    <col min="3157" max="3157" width="4" style="927" customWidth="1"/>
    <col min="3158" max="3158" width="9.42578125" style="927" customWidth="1"/>
    <col min="3159" max="3160" width="9.140625" style="927" customWidth="1"/>
    <col min="3161" max="3161" width="10.5703125" style="927" customWidth="1"/>
    <col min="3162" max="3162" width="9.140625" style="927" customWidth="1"/>
    <col min="3163" max="3163" width="4" style="927" customWidth="1"/>
    <col min="3164" max="3164" width="9.42578125" style="927" customWidth="1"/>
    <col min="3165" max="3166" width="9.140625" style="927" customWidth="1"/>
    <col min="3167" max="3167" width="10.5703125" style="927" customWidth="1"/>
    <col min="3168" max="3168" width="9.140625" style="927" customWidth="1"/>
    <col min="3169" max="3169" width="4" style="927" customWidth="1"/>
    <col min="3170" max="3170" width="9.42578125" style="927" customWidth="1"/>
    <col min="3171" max="3172" width="9.140625" style="927" customWidth="1"/>
    <col min="3173" max="3173" width="10.5703125" style="927" customWidth="1"/>
    <col min="3174" max="3174" width="9.140625" style="927" customWidth="1"/>
    <col min="3175" max="3175" width="4" style="927" customWidth="1"/>
    <col min="3176" max="3176" width="12.42578125" style="927" customWidth="1"/>
    <col min="3177" max="3178" width="9.140625" style="927" customWidth="1"/>
    <col min="3179" max="3179" width="10.5703125" style="927" customWidth="1"/>
    <col min="3180" max="3180" width="9.140625" style="927" customWidth="1"/>
    <col min="3181" max="3181" width="4" style="927" customWidth="1"/>
    <col min="3182" max="3182" width="12.42578125" style="927" customWidth="1"/>
    <col min="3183" max="3184" width="9.140625" style="927" customWidth="1"/>
    <col min="3185" max="3185" width="10.5703125" style="927" customWidth="1"/>
    <col min="3186" max="3186" width="9.140625" style="927" customWidth="1"/>
    <col min="3187" max="3187" width="4" style="927" customWidth="1"/>
    <col min="3188" max="3188" width="12.42578125" style="927" customWidth="1"/>
    <col min="3189" max="3190" width="9.140625" style="927" customWidth="1"/>
    <col min="3191" max="3191" width="10.5703125" style="927" customWidth="1"/>
    <col min="3192" max="3192" width="9.140625" style="927" customWidth="1"/>
    <col min="3193" max="3193" width="4" style="927" customWidth="1"/>
    <col min="3194" max="3194" width="12.42578125" style="927" customWidth="1"/>
    <col min="3195" max="3196" width="9.140625" style="927" customWidth="1"/>
    <col min="3197" max="3197" width="10.5703125" style="927" customWidth="1"/>
    <col min="3198" max="3198" width="9.140625" style="927" customWidth="1"/>
    <col min="3199" max="3199" width="4" style="927" customWidth="1"/>
    <col min="3200" max="3200" width="12.42578125" style="927" customWidth="1"/>
    <col min="3201" max="3202" width="9.140625" style="927" customWidth="1"/>
    <col min="3203" max="3203" width="10.5703125" style="927" customWidth="1"/>
    <col min="3204" max="3328" width="9.140625" style="927"/>
    <col min="3329" max="3329" width="2.7109375" style="927" customWidth="1"/>
    <col min="3330" max="3330" width="9.140625" style="927" customWidth="1"/>
    <col min="3331" max="3331" width="9.42578125" style="927" customWidth="1"/>
    <col min="3332" max="3332" width="0" style="927" hidden="1" customWidth="1"/>
    <col min="3333" max="3333" width="9.140625" style="927" customWidth="1"/>
    <col min="3334" max="3334" width="2.42578125" style="927" customWidth="1"/>
    <col min="3335" max="3335" width="9.140625" style="927" customWidth="1"/>
    <col min="3336" max="3336" width="9.42578125" style="927" customWidth="1"/>
    <col min="3337" max="3337" width="0" style="927" hidden="1" customWidth="1"/>
    <col min="3338" max="3338" width="9.140625" style="927" customWidth="1"/>
    <col min="3339" max="3339" width="2.28515625" style="927" customWidth="1"/>
    <col min="3340" max="3340" width="9.140625" style="927" customWidth="1"/>
    <col min="3341" max="3341" width="9.42578125" style="927" customWidth="1"/>
    <col min="3342" max="3342" width="0" style="927" hidden="1" customWidth="1"/>
    <col min="3343" max="3343" width="9.140625" style="927" customWidth="1"/>
    <col min="3344" max="3344" width="2.5703125" style="927" customWidth="1"/>
    <col min="3345" max="3345" width="9.140625" style="927" customWidth="1"/>
    <col min="3346" max="3346" width="9.5703125" style="927" customWidth="1"/>
    <col min="3347" max="3347" width="0" style="927" hidden="1" customWidth="1"/>
    <col min="3348" max="3348" width="9.140625" style="927" customWidth="1"/>
    <col min="3349" max="3349" width="2.7109375" style="927" customWidth="1"/>
    <col min="3350" max="3351" width="9.140625" style="927" customWidth="1"/>
    <col min="3352" max="3352" width="3.140625" style="927" customWidth="1"/>
    <col min="3353" max="3353" width="4" style="927" customWidth="1"/>
    <col min="3354" max="3354" width="9.42578125" style="927" customWidth="1"/>
    <col min="3355" max="3356" width="9.140625" style="927" customWidth="1"/>
    <col min="3357" max="3357" width="10.5703125" style="927" customWidth="1"/>
    <col min="3358" max="3358" width="9.140625" style="927" customWidth="1"/>
    <col min="3359" max="3359" width="4" style="927" customWidth="1"/>
    <col min="3360" max="3360" width="9.42578125" style="927" customWidth="1"/>
    <col min="3361" max="3362" width="9.140625" style="927" customWidth="1"/>
    <col min="3363" max="3363" width="10.5703125" style="927" customWidth="1"/>
    <col min="3364" max="3364" width="9.140625" style="927" customWidth="1"/>
    <col min="3365" max="3365" width="4" style="927" customWidth="1"/>
    <col min="3366" max="3366" width="9.42578125" style="927" customWidth="1"/>
    <col min="3367" max="3368" width="9.140625" style="927" customWidth="1"/>
    <col min="3369" max="3369" width="10.5703125" style="927" customWidth="1"/>
    <col min="3370" max="3370" width="9.140625" style="927" customWidth="1"/>
    <col min="3371" max="3371" width="4" style="927" customWidth="1"/>
    <col min="3372" max="3372" width="9.42578125" style="927" customWidth="1"/>
    <col min="3373" max="3374" width="9.140625" style="927" customWidth="1"/>
    <col min="3375" max="3375" width="10.5703125" style="927" customWidth="1"/>
    <col min="3376" max="3376" width="9.140625" style="927" customWidth="1"/>
    <col min="3377" max="3377" width="4" style="927" customWidth="1"/>
    <col min="3378" max="3378" width="9.42578125" style="927" customWidth="1"/>
    <col min="3379" max="3380" width="9.140625" style="927" customWidth="1"/>
    <col min="3381" max="3381" width="10.5703125" style="927" customWidth="1"/>
    <col min="3382" max="3382" width="9.140625" style="927" customWidth="1"/>
    <col min="3383" max="3383" width="4" style="927" customWidth="1"/>
    <col min="3384" max="3384" width="9.42578125" style="927" customWidth="1"/>
    <col min="3385" max="3386" width="9.140625" style="927" customWidth="1"/>
    <col min="3387" max="3387" width="10.5703125" style="927" customWidth="1"/>
    <col min="3388" max="3388" width="9.140625" style="927" customWidth="1"/>
    <col min="3389" max="3389" width="4" style="927" customWidth="1"/>
    <col min="3390" max="3390" width="9.42578125" style="927" customWidth="1"/>
    <col min="3391" max="3392" width="9.140625" style="927" customWidth="1"/>
    <col min="3393" max="3393" width="10.5703125" style="927" customWidth="1"/>
    <col min="3394" max="3394" width="9.140625" style="927" customWidth="1"/>
    <col min="3395" max="3395" width="4" style="927" customWidth="1"/>
    <col min="3396" max="3396" width="9.42578125" style="927" customWidth="1"/>
    <col min="3397" max="3398" width="9.140625" style="927" customWidth="1"/>
    <col min="3399" max="3399" width="10.5703125" style="927" customWidth="1"/>
    <col min="3400" max="3400" width="9.140625" style="927" customWidth="1"/>
    <col min="3401" max="3401" width="4" style="927" customWidth="1"/>
    <col min="3402" max="3402" width="9.42578125" style="927" customWidth="1"/>
    <col min="3403" max="3404" width="9.140625" style="927" customWidth="1"/>
    <col min="3405" max="3405" width="10.5703125" style="927" customWidth="1"/>
    <col min="3406" max="3406" width="9.140625" style="927" customWidth="1"/>
    <col min="3407" max="3407" width="4" style="927" customWidth="1"/>
    <col min="3408" max="3408" width="9.42578125" style="927" customWidth="1"/>
    <col min="3409" max="3410" width="9.140625" style="927" customWidth="1"/>
    <col min="3411" max="3411" width="10.5703125" style="927" customWidth="1"/>
    <col min="3412" max="3412" width="9.140625" style="927" customWidth="1"/>
    <col min="3413" max="3413" width="4" style="927" customWidth="1"/>
    <col min="3414" max="3414" width="9.42578125" style="927" customWidth="1"/>
    <col min="3415" max="3416" width="9.140625" style="927" customWidth="1"/>
    <col min="3417" max="3417" width="10.5703125" style="927" customWidth="1"/>
    <col min="3418" max="3418" width="9.140625" style="927" customWidth="1"/>
    <col min="3419" max="3419" width="4" style="927" customWidth="1"/>
    <col min="3420" max="3420" width="9.42578125" style="927" customWidth="1"/>
    <col min="3421" max="3422" width="9.140625" style="927" customWidth="1"/>
    <col min="3423" max="3423" width="10.5703125" style="927" customWidth="1"/>
    <col min="3424" max="3424" width="9.140625" style="927" customWidth="1"/>
    <col min="3425" max="3425" width="4" style="927" customWidth="1"/>
    <col min="3426" max="3426" width="9.42578125" style="927" customWidth="1"/>
    <col min="3427" max="3428" width="9.140625" style="927" customWidth="1"/>
    <col min="3429" max="3429" width="10.5703125" style="927" customWidth="1"/>
    <col min="3430" max="3430" width="9.140625" style="927" customWidth="1"/>
    <col min="3431" max="3431" width="4" style="927" customWidth="1"/>
    <col min="3432" max="3432" width="12.42578125" style="927" customWidth="1"/>
    <col min="3433" max="3434" width="9.140625" style="927" customWidth="1"/>
    <col min="3435" max="3435" width="10.5703125" style="927" customWidth="1"/>
    <col min="3436" max="3436" width="9.140625" style="927" customWidth="1"/>
    <col min="3437" max="3437" width="4" style="927" customWidth="1"/>
    <col min="3438" max="3438" width="12.42578125" style="927" customWidth="1"/>
    <col min="3439" max="3440" width="9.140625" style="927" customWidth="1"/>
    <col min="3441" max="3441" width="10.5703125" style="927" customWidth="1"/>
    <col min="3442" max="3442" width="9.140625" style="927" customWidth="1"/>
    <col min="3443" max="3443" width="4" style="927" customWidth="1"/>
    <col min="3444" max="3444" width="12.42578125" style="927" customWidth="1"/>
    <col min="3445" max="3446" width="9.140625" style="927" customWidth="1"/>
    <col min="3447" max="3447" width="10.5703125" style="927" customWidth="1"/>
    <col min="3448" max="3448" width="9.140625" style="927" customWidth="1"/>
    <col min="3449" max="3449" width="4" style="927" customWidth="1"/>
    <col min="3450" max="3450" width="12.42578125" style="927" customWidth="1"/>
    <col min="3451" max="3452" width="9.140625" style="927" customWidth="1"/>
    <col min="3453" max="3453" width="10.5703125" style="927" customWidth="1"/>
    <col min="3454" max="3454" width="9.140625" style="927" customWidth="1"/>
    <col min="3455" max="3455" width="4" style="927" customWidth="1"/>
    <col min="3456" max="3456" width="12.42578125" style="927" customWidth="1"/>
    <col min="3457" max="3458" width="9.140625" style="927" customWidth="1"/>
    <col min="3459" max="3459" width="10.5703125" style="927" customWidth="1"/>
    <col min="3460" max="3584" width="9.140625" style="927"/>
    <col min="3585" max="3585" width="2.7109375" style="927" customWidth="1"/>
    <col min="3586" max="3586" width="9.140625" style="927" customWidth="1"/>
    <col min="3587" max="3587" width="9.42578125" style="927" customWidth="1"/>
    <col min="3588" max="3588" width="0" style="927" hidden="1" customWidth="1"/>
    <col min="3589" max="3589" width="9.140625" style="927" customWidth="1"/>
    <col min="3590" max="3590" width="2.42578125" style="927" customWidth="1"/>
    <col min="3591" max="3591" width="9.140625" style="927" customWidth="1"/>
    <col min="3592" max="3592" width="9.42578125" style="927" customWidth="1"/>
    <col min="3593" max="3593" width="0" style="927" hidden="1" customWidth="1"/>
    <col min="3594" max="3594" width="9.140625" style="927" customWidth="1"/>
    <col min="3595" max="3595" width="2.28515625" style="927" customWidth="1"/>
    <col min="3596" max="3596" width="9.140625" style="927" customWidth="1"/>
    <col min="3597" max="3597" width="9.42578125" style="927" customWidth="1"/>
    <col min="3598" max="3598" width="0" style="927" hidden="1" customWidth="1"/>
    <col min="3599" max="3599" width="9.140625" style="927" customWidth="1"/>
    <col min="3600" max="3600" width="2.5703125" style="927" customWidth="1"/>
    <col min="3601" max="3601" width="9.140625" style="927" customWidth="1"/>
    <col min="3602" max="3602" width="9.5703125" style="927" customWidth="1"/>
    <col min="3603" max="3603" width="0" style="927" hidden="1" customWidth="1"/>
    <col min="3604" max="3604" width="9.140625" style="927" customWidth="1"/>
    <col min="3605" max="3605" width="2.7109375" style="927" customWidth="1"/>
    <col min="3606" max="3607" width="9.140625" style="927" customWidth="1"/>
    <col min="3608" max="3608" width="3.140625" style="927" customWidth="1"/>
    <col min="3609" max="3609" width="4" style="927" customWidth="1"/>
    <col min="3610" max="3610" width="9.42578125" style="927" customWidth="1"/>
    <col min="3611" max="3612" width="9.140625" style="927" customWidth="1"/>
    <col min="3613" max="3613" width="10.5703125" style="927" customWidth="1"/>
    <col min="3614" max="3614" width="9.140625" style="927" customWidth="1"/>
    <col min="3615" max="3615" width="4" style="927" customWidth="1"/>
    <col min="3616" max="3616" width="9.42578125" style="927" customWidth="1"/>
    <col min="3617" max="3618" width="9.140625" style="927" customWidth="1"/>
    <col min="3619" max="3619" width="10.5703125" style="927" customWidth="1"/>
    <col min="3620" max="3620" width="9.140625" style="927" customWidth="1"/>
    <col min="3621" max="3621" width="4" style="927" customWidth="1"/>
    <col min="3622" max="3622" width="9.42578125" style="927" customWidth="1"/>
    <col min="3623" max="3624" width="9.140625" style="927" customWidth="1"/>
    <col min="3625" max="3625" width="10.5703125" style="927" customWidth="1"/>
    <col min="3626" max="3626" width="9.140625" style="927" customWidth="1"/>
    <col min="3627" max="3627" width="4" style="927" customWidth="1"/>
    <col min="3628" max="3628" width="9.42578125" style="927" customWidth="1"/>
    <col min="3629" max="3630" width="9.140625" style="927" customWidth="1"/>
    <col min="3631" max="3631" width="10.5703125" style="927" customWidth="1"/>
    <col min="3632" max="3632" width="9.140625" style="927" customWidth="1"/>
    <col min="3633" max="3633" width="4" style="927" customWidth="1"/>
    <col min="3634" max="3634" width="9.42578125" style="927" customWidth="1"/>
    <col min="3635" max="3636" width="9.140625" style="927" customWidth="1"/>
    <col min="3637" max="3637" width="10.5703125" style="927" customWidth="1"/>
    <col min="3638" max="3638" width="9.140625" style="927" customWidth="1"/>
    <col min="3639" max="3639" width="4" style="927" customWidth="1"/>
    <col min="3640" max="3640" width="9.42578125" style="927" customWidth="1"/>
    <col min="3641" max="3642" width="9.140625" style="927" customWidth="1"/>
    <col min="3643" max="3643" width="10.5703125" style="927" customWidth="1"/>
    <col min="3644" max="3644" width="9.140625" style="927" customWidth="1"/>
    <col min="3645" max="3645" width="4" style="927" customWidth="1"/>
    <col min="3646" max="3646" width="9.42578125" style="927" customWidth="1"/>
    <col min="3647" max="3648" width="9.140625" style="927" customWidth="1"/>
    <col min="3649" max="3649" width="10.5703125" style="927" customWidth="1"/>
    <col min="3650" max="3650" width="9.140625" style="927" customWidth="1"/>
    <col min="3651" max="3651" width="4" style="927" customWidth="1"/>
    <col min="3652" max="3652" width="9.42578125" style="927" customWidth="1"/>
    <col min="3653" max="3654" width="9.140625" style="927" customWidth="1"/>
    <col min="3655" max="3655" width="10.5703125" style="927" customWidth="1"/>
    <col min="3656" max="3656" width="9.140625" style="927" customWidth="1"/>
    <col min="3657" max="3657" width="4" style="927" customWidth="1"/>
    <col min="3658" max="3658" width="9.42578125" style="927" customWidth="1"/>
    <col min="3659" max="3660" width="9.140625" style="927" customWidth="1"/>
    <col min="3661" max="3661" width="10.5703125" style="927" customWidth="1"/>
    <col min="3662" max="3662" width="9.140625" style="927" customWidth="1"/>
    <col min="3663" max="3663" width="4" style="927" customWidth="1"/>
    <col min="3664" max="3664" width="9.42578125" style="927" customWidth="1"/>
    <col min="3665" max="3666" width="9.140625" style="927" customWidth="1"/>
    <col min="3667" max="3667" width="10.5703125" style="927" customWidth="1"/>
    <col min="3668" max="3668" width="9.140625" style="927" customWidth="1"/>
    <col min="3669" max="3669" width="4" style="927" customWidth="1"/>
    <col min="3670" max="3670" width="9.42578125" style="927" customWidth="1"/>
    <col min="3671" max="3672" width="9.140625" style="927" customWidth="1"/>
    <col min="3673" max="3673" width="10.5703125" style="927" customWidth="1"/>
    <col min="3674" max="3674" width="9.140625" style="927" customWidth="1"/>
    <col min="3675" max="3675" width="4" style="927" customWidth="1"/>
    <col min="3676" max="3676" width="9.42578125" style="927" customWidth="1"/>
    <col min="3677" max="3678" width="9.140625" style="927" customWidth="1"/>
    <col min="3679" max="3679" width="10.5703125" style="927" customWidth="1"/>
    <col min="3680" max="3680" width="9.140625" style="927" customWidth="1"/>
    <col min="3681" max="3681" width="4" style="927" customWidth="1"/>
    <col min="3682" max="3682" width="9.42578125" style="927" customWidth="1"/>
    <col min="3683" max="3684" width="9.140625" style="927" customWidth="1"/>
    <col min="3685" max="3685" width="10.5703125" style="927" customWidth="1"/>
    <col min="3686" max="3686" width="9.140625" style="927" customWidth="1"/>
    <col min="3687" max="3687" width="4" style="927" customWidth="1"/>
    <col min="3688" max="3688" width="12.42578125" style="927" customWidth="1"/>
    <col min="3689" max="3690" width="9.140625" style="927" customWidth="1"/>
    <col min="3691" max="3691" width="10.5703125" style="927" customWidth="1"/>
    <col min="3692" max="3692" width="9.140625" style="927" customWidth="1"/>
    <col min="3693" max="3693" width="4" style="927" customWidth="1"/>
    <col min="3694" max="3694" width="12.42578125" style="927" customWidth="1"/>
    <col min="3695" max="3696" width="9.140625" style="927" customWidth="1"/>
    <col min="3697" max="3697" width="10.5703125" style="927" customWidth="1"/>
    <col min="3698" max="3698" width="9.140625" style="927" customWidth="1"/>
    <col min="3699" max="3699" width="4" style="927" customWidth="1"/>
    <col min="3700" max="3700" width="12.42578125" style="927" customWidth="1"/>
    <col min="3701" max="3702" width="9.140625" style="927" customWidth="1"/>
    <col min="3703" max="3703" width="10.5703125" style="927" customWidth="1"/>
    <col min="3704" max="3704" width="9.140625" style="927" customWidth="1"/>
    <col min="3705" max="3705" width="4" style="927" customWidth="1"/>
    <col min="3706" max="3706" width="12.42578125" style="927" customWidth="1"/>
    <col min="3707" max="3708" width="9.140625" style="927" customWidth="1"/>
    <col min="3709" max="3709" width="10.5703125" style="927" customWidth="1"/>
    <col min="3710" max="3710" width="9.140625" style="927" customWidth="1"/>
    <col min="3711" max="3711" width="4" style="927" customWidth="1"/>
    <col min="3712" max="3712" width="12.42578125" style="927" customWidth="1"/>
    <col min="3713" max="3714" width="9.140625" style="927" customWidth="1"/>
    <col min="3715" max="3715" width="10.5703125" style="927" customWidth="1"/>
    <col min="3716" max="3840" width="9.140625" style="927"/>
    <col min="3841" max="3841" width="2.7109375" style="927" customWidth="1"/>
    <col min="3842" max="3842" width="9.140625" style="927" customWidth="1"/>
    <col min="3843" max="3843" width="9.42578125" style="927" customWidth="1"/>
    <col min="3844" max="3844" width="0" style="927" hidden="1" customWidth="1"/>
    <col min="3845" max="3845" width="9.140625" style="927" customWidth="1"/>
    <col min="3846" max="3846" width="2.42578125" style="927" customWidth="1"/>
    <col min="3847" max="3847" width="9.140625" style="927" customWidth="1"/>
    <col min="3848" max="3848" width="9.42578125" style="927" customWidth="1"/>
    <col min="3849" max="3849" width="0" style="927" hidden="1" customWidth="1"/>
    <col min="3850" max="3850" width="9.140625" style="927" customWidth="1"/>
    <col min="3851" max="3851" width="2.28515625" style="927" customWidth="1"/>
    <col min="3852" max="3852" width="9.140625" style="927" customWidth="1"/>
    <col min="3853" max="3853" width="9.42578125" style="927" customWidth="1"/>
    <col min="3854" max="3854" width="0" style="927" hidden="1" customWidth="1"/>
    <col min="3855" max="3855" width="9.140625" style="927" customWidth="1"/>
    <col min="3856" max="3856" width="2.5703125" style="927" customWidth="1"/>
    <col min="3857" max="3857" width="9.140625" style="927" customWidth="1"/>
    <col min="3858" max="3858" width="9.5703125" style="927" customWidth="1"/>
    <col min="3859" max="3859" width="0" style="927" hidden="1" customWidth="1"/>
    <col min="3860" max="3860" width="9.140625" style="927" customWidth="1"/>
    <col min="3861" max="3861" width="2.7109375" style="927" customWidth="1"/>
    <col min="3862" max="3863" width="9.140625" style="927" customWidth="1"/>
    <col min="3864" max="3864" width="3.140625" style="927" customWidth="1"/>
    <col min="3865" max="3865" width="4" style="927" customWidth="1"/>
    <col min="3866" max="3866" width="9.42578125" style="927" customWidth="1"/>
    <col min="3867" max="3868" width="9.140625" style="927" customWidth="1"/>
    <col min="3869" max="3869" width="10.5703125" style="927" customWidth="1"/>
    <col min="3870" max="3870" width="9.140625" style="927" customWidth="1"/>
    <col min="3871" max="3871" width="4" style="927" customWidth="1"/>
    <col min="3872" max="3872" width="9.42578125" style="927" customWidth="1"/>
    <col min="3873" max="3874" width="9.140625" style="927" customWidth="1"/>
    <col min="3875" max="3875" width="10.5703125" style="927" customWidth="1"/>
    <col min="3876" max="3876" width="9.140625" style="927" customWidth="1"/>
    <col min="3877" max="3877" width="4" style="927" customWidth="1"/>
    <col min="3878" max="3878" width="9.42578125" style="927" customWidth="1"/>
    <col min="3879" max="3880" width="9.140625" style="927" customWidth="1"/>
    <col min="3881" max="3881" width="10.5703125" style="927" customWidth="1"/>
    <col min="3882" max="3882" width="9.140625" style="927" customWidth="1"/>
    <col min="3883" max="3883" width="4" style="927" customWidth="1"/>
    <col min="3884" max="3884" width="9.42578125" style="927" customWidth="1"/>
    <col min="3885" max="3886" width="9.140625" style="927" customWidth="1"/>
    <col min="3887" max="3887" width="10.5703125" style="927" customWidth="1"/>
    <col min="3888" max="3888" width="9.140625" style="927" customWidth="1"/>
    <col min="3889" max="3889" width="4" style="927" customWidth="1"/>
    <col min="3890" max="3890" width="9.42578125" style="927" customWidth="1"/>
    <col min="3891" max="3892" width="9.140625" style="927" customWidth="1"/>
    <col min="3893" max="3893" width="10.5703125" style="927" customWidth="1"/>
    <col min="3894" max="3894" width="9.140625" style="927" customWidth="1"/>
    <col min="3895" max="3895" width="4" style="927" customWidth="1"/>
    <col min="3896" max="3896" width="9.42578125" style="927" customWidth="1"/>
    <col min="3897" max="3898" width="9.140625" style="927" customWidth="1"/>
    <col min="3899" max="3899" width="10.5703125" style="927" customWidth="1"/>
    <col min="3900" max="3900" width="9.140625" style="927" customWidth="1"/>
    <col min="3901" max="3901" width="4" style="927" customWidth="1"/>
    <col min="3902" max="3902" width="9.42578125" style="927" customWidth="1"/>
    <col min="3903" max="3904" width="9.140625" style="927" customWidth="1"/>
    <col min="3905" max="3905" width="10.5703125" style="927" customWidth="1"/>
    <col min="3906" max="3906" width="9.140625" style="927" customWidth="1"/>
    <col min="3907" max="3907" width="4" style="927" customWidth="1"/>
    <col min="3908" max="3908" width="9.42578125" style="927" customWidth="1"/>
    <col min="3909" max="3910" width="9.140625" style="927" customWidth="1"/>
    <col min="3911" max="3911" width="10.5703125" style="927" customWidth="1"/>
    <col min="3912" max="3912" width="9.140625" style="927" customWidth="1"/>
    <col min="3913" max="3913" width="4" style="927" customWidth="1"/>
    <col min="3914" max="3914" width="9.42578125" style="927" customWidth="1"/>
    <col min="3915" max="3916" width="9.140625" style="927" customWidth="1"/>
    <col min="3917" max="3917" width="10.5703125" style="927" customWidth="1"/>
    <col min="3918" max="3918" width="9.140625" style="927" customWidth="1"/>
    <col min="3919" max="3919" width="4" style="927" customWidth="1"/>
    <col min="3920" max="3920" width="9.42578125" style="927" customWidth="1"/>
    <col min="3921" max="3922" width="9.140625" style="927" customWidth="1"/>
    <col min="3923" max="3923" width="10.5703125" style="927" customWidth="1"/>
    <col min="3924" max="3924" width="9.140625" style="927" customWidth="1"/>
    <col min="3925" max="3925" width="4" style="927" customWidth="1"/>
    <col min="3926" max="3926" width="9.42578125" style="927" customWidth="1"/>
    <col min="3927" max="3928" width="9.140625" style="927" customWidth="1"/>
    <col min="3929" max="3929" width="10.5703125" style="927" customWidth="1"/>
    <col min="3930" max="3930" width="9.140625" style="927" customWidth="1"/>
    <col min="3931" max="3931" width="4" style="927" customWidth="1"/>
    <col min="3932" max="3932" width="9.42578125" style="927" customWidth="1"/>
    <col min="3933" max="3934" width="9.140625" style="927" customWidth="1"/>
    <col min="3935" max="3935" width="10.5703125" style="927" customWidth="1"/>
    <col min="3936" max="3936" width="9.140625" style="927" customWidth="1"/>
    <col min="3937" max="3937" width="4" style="927" customWidth="1"/>
    <col min="3938" max="3938" width="9.42578125" style="927" customWidth="1"/>
    <col min="3939" max="3940" width="9.140625" style="927" customWidth="1"/>
    <col min="3941" max="3941" width="10.5703125" style="927" customWidth="1"/>
    <col min="3942" max="3942" width="9.140625" style="927" customWidth="1"/>
    <col min="3943" max="3943" width="4" style="927" customWidth="1"/>
    <col min="3944" max="3944" width="12.42578125" style="927" customWidth="1"/>
    <col min="3945" max="3946" width="9.140625" style="927" customWidth="1"/>
    <col min="3947" max="3947" width="10.5703125" style="927" customWidth="1"/>
    <col min="3948" max="3948" width="9.140625" style="927" customWidth="1"/>
    <col min="3949" max="3949" width="4" style="927" customWidth="1"/>
    <col min="3950" max="3950" width="12.42578125" style="927" customWidth="1"/>
    <col min="3951" max="3952" width="9.140625" style="927" customWidth="1"/>
    <col min="3953" max="3953" width="10.5703125" style="927" customWidth="1"/>
    <col min="3954" max="3954" width="9.140625" style="927" customWidth="1"/>
    <col min="3955" max="3955" width="4" style="927" customWidth="1"/>
    <col min="3956" max="3956" width="12.42578125" style="927" customWidth="1"/>
    <col min="3957" max="3958" width="9.140625" style="927" customWidth="1"/>
    <col min="3959" max="3959" width="10.5703125" style="927" customWidth="1"/>
    <col min="3960" max="3960" width="9.140625" style="927" customWidth="1"/>
    <col min="3961" max="3961" width="4" style="927" customWidth="1"/>
    <col min="3962" max="3962" width="12.42578125" style="927" customWidth="1"/>
    <col min="3963" max="3964" width="9.140625" style="927" customWidth="1"/>
    <col min="3965" max="3965" width="10.5703125" style="927" customWidth="1"/>
    <col min="3966" max="3966" width="9.140625" style="927" customWidth="1"/>
    <col min="3967" max="3967" width="4" style="927" customWidth="1"/>
    <col min="3968" max="3968" width="12.42578125" style="927" customWidth="1"/>
    <col min="3969" max="3970" width="9.140625" style="927" customWidth="1"/>
    <col min="3971" max="3971" width="10.5703125" style="927" customWidth="1"/>
    <col min="3972" max="4096" width="9.140625" style="927"/>
    <col min="4097" max="4097" width="2.7109375" style="927" customWidth="1"/>
    <col min="4098" max="4098" width="9.140625" style="927" customWidth="1"/>
    <col min="4099" max="4099" width="9.42578125" style="927" customWidth="1"/>
    <col min="4100" max="4100" width="0" style="927" hidden="1" customWidth="1"/>
    <col min="4101" max="4101" width="9.140625" style="927" customWidth="1"/>
    <col min="4102" max="4102" width="2.42578125" style="927" customWidth="1"/>
    <col min="4103" max="4103" width="9.140625" style="927" customWidth="1"/>
    <col min="4104" max="4104" width="9.42578125" style="927" customWidth="1"/>
    <col min="4105" max="4105" width="0" style="927" hidden="1" customWidth="1"/>
    <col min="4106" max="4106" width="9.140625" style="927" customWidth="1"/>
    <col min="4107" max="4107" width="2.28515625" style="927" customWidth="1"/>
    <col min="4108" max="4108" width="9.140625" style="927" customWidth="1"/>
    <col min="4109" max="4109" width="9.42578125" style="927" customWidth="1"/>
    <col min="4110" max="4110" width="0" style="927" hidden="1" customWidth="1"/>
    <col min="4111" max="4111" width="9.140625" style="927" customWidth="1"/>
    <col min="4112" max="4112" width="2.5703125" style="927" customWidth="1"/>
    <col min="4113" max="4113" width="9.140625" style="927" customWidth="1"/>
    <col min="4114" max="4114" width="9.5703125" style="927" customWidth="1"/>
    <col min="4115" max="4115" width="0" style="927" hidden="1" customWidth="1"/>
    <col min="4116" max="4116" width="9.140625" style="927" customWidth="1"/>
    <col min="4117" max="4117" width="2.7109375" style="927" customWidth="1"/>
    <col min="4118" max="4119" width="9.140625" style="927" customWidth="1"/>
    <col min="4120" max="4120" width="3.140625" style="927" customWidth="1"/>
    <col min="4121" max="4121" width="4" style="927" customWidth="1"/>
    <col min="4122" max="4122" width="9.42578125" style="927" customWidth="1"/>
    <col min="4123" max="4124" width="9.140625" style="927" customWidth="1"/>
    <col min="4125" max="4125" width="10.5703125" style="927" customWidth="1"/>
    <col min="4126" max="4126" width="9.140625" style="927" customWidth="1"/>
    <col min="4127" max="4127" width="4" style="927" customWidth="1"/>
    <col min="4128" max="4128" width="9.42578125" style="927" customWidth="1"/>
    <col min="4129" max="4130" width="9.140625" style="927" customWidth="1"/>
    <col min="4131" max="4131" width="10.5703125" style="927" customWidth="1"/>
    <col min="4132" max="4132" width="9.140625" style="927" customWidth="1"/>
    <col min="4133" max="4133" width="4" style="927" customWidth="1"/>
    <col min="4134" max="4134" width="9.42578125" style="927" customWidth="1"/>
    <col min="4135" max="4136" width="9.140625" style="927" customWidth="1"/>
    <col min="4137" max="4137" width="10.5703125" style="927" customWidth="1"/>
    <col min="4138" max="4138" width="9.140625" style="927" customWidth="1"/>
    <col min="4139" max="4139" width="4" style="927" customWidth="1"/>
    <col min="4140" max="4140" width="9.42578125" style="927" customWidth="1"/>
    <col min="4141" max="4142" width="9.140625" style="927" customWidth="1"/>
    <col min="4143" max="4143" width="10.5703125" style="927" customWidth="1"/>
    <col min="4144" max="4144" width="9.140625" style="927" customWidth="1"/>
    <col min="4145" max="4145" width="4" style="927" customWidth="1"/>
    <col min="4146" max="4146" width="9.42578125" style="927" customWidth="1"/>
    <col min="4147" max="4148" width="9.140625" style="927" customWidth="1"/>
    <col min="4149" max="4149" width="10.5703125" style="927" customWidth="1"/>
    <col min="4150" max="4150" width="9.140625" style="927" customWidth="1"/>
    <col min="4151" max="4151" width="4" style="927" customWidth="1"/>
    <col min="4152" max="4152" width="9.42578125" style="927" customWidth="1"/>
    <col min="4153" max="4154" width="9.140625" style="927" customWidth="1"/>
    <col min="4155" max="4155" width="10.5703125" style="927" customWidth="1"/>
    <col min="4156" max="4156" width="9.140625" style="927" customWidth="1"/>
    <col min="4157" max="4157" width="4" style="927" customWidth="1"/>
    <col min="4158" max="4158" width="9.42578125" style="927" customWidth="1"/>
    <col min="4159" max="4160" width="9.140625" style="927" customWidth="1"/>
    <col min="4161" max="4161" width="10.5703125" style="927" customWidth="1"/>
    <col min="4162" max="4162" width="9.140625" style="927" customWidth="1"/>
    <col min="4163" max="4163" width="4" style="927" customWidth="1"/>
    <col min="4164" max="4164" width="9.42578125" style="927" customWidth="1"/>
    <col min="4165" max="4166" width="9.140625" style="927" customWidth="1"/>
    <col min="4167" max="4167" width="10.5703125" style="927" customWidth="1"/>
    <col min="4168" max="4168" width="9.140625" style="927" customWidth="1"/>
    <col min="4169" max="4169" width="4" style="927" customWidth="1"/>
    <col min="4170" max="4170" width="9.42578125" style="927" customWidth="1"/>
    <col min="4171" max="4172" width="9.140625" style="927" customWidth="1"/>
    <col min="4173" max="4173" width="10.5703125" style="927" customWidth="1"/>
    <col min="4174" max="4174" width="9.140625" style="927" customWidth="1"/>
    <col min="4175" max="4175" width="4" style="927" customWidth="1"/>
    <col min="4176" max="4176" width="9.42578125" style="927" customWidth="1"/>
    <col min="4177" max="4178" width="9.140625" style="927" customWidth="1"/>
    <col min="4179" max="4179" width="10.5703125" style="927" customWidth="1"/>
    <col min="4180" max="4180" width="9.140625" style="927" customWidth="1"/>
    <col min="4181" max="4181" width="4" style="927" customWidth="1"/>
    <col min="4182" max="4182" width="9.42578125" style="927" customWidth="1"/>
    <col min="4183" max="4184" width="9.140625" style="927" customWidth="1"/>
    <col min="4185" max="4185" width="10.5703125" style="927" customWidth="1"/>
    <col min="4186" max="4186" width="9.140625" style="927" customWidth="1"/>
    <col min="4187" max="4187" width="4" style="927" customWidth="1"/>
    <col min="4188" max="4188" width="9.42578125" style="927" customWidth="1"/>
    <col min="4189" max="4190" width="9.140625" style="927" customWidth="1"/>
    <col min="4191" max="4191" width="10.5703125" style="927" customWidth="1"/>
    <col min="4192" max="4192" width="9.140625" style="927" customWidth="1"/>
    <col min="4193" max="4193" width="4" style="927" customWidth="1"/>
    <col min="4194" max="4194" width="9.42578125" style="927" customWidth="1"/>
    <col min="4195" max="4196" width="9.140625" style="927" customWidth="1"/>
    <col min="4197" max="4197" width="10.5703125" style="927" customWidth="1"/>
    <col min="4198" max="4198" width="9.140625" style="927" customWidth="1"/>
    <col min="4199" max="4199" width="4" style="927" customWidth="1"/>
    <col min="4200" max="4200" width="12.42578125" style="927" customWidth="1"/>
    <col min="4201" max="4202" width="9.140625" style="927" customWidth="1"/>
    <col min="4203" max="4203" width="10.5703125" style="927" customWidth="1"/>
    <col min="4204" max="4204" width="9.140625" style="927" customWidth="1"/>
    <col min="4205" max="4205" width="4" style="927" customWidth="1"/>
    <col min="4206" max="4206" width="12.42578125" style="927" customWidth="1"/>
    <col min="4207" max="4208" width="9.140625" style="927" customWidth="1"/>
    <col min="4209" max="4209" width="10.5703125" style="927" customWidth="1"/>
    <col min="4210" max="4210" width="9.140625" style="927" customWidth="1"/>
    <col min="4211" max="4211" width="4" style="927" customWidth="1"/>
    <col min="4212" max="4212" width="12.42578125" style="927" customWidth="1"/>
    <col min="4213" max="4214" width="9.140625" style="927" customWidth="1"/>
    <col min="4215" max="4215" width="10.5703125" style="927" customWidth="1"/>
    <col min="4216" max="4216" width="9.140625" style="927" customWidth="1"/>
    <col min="4217" max="4217" width="4" style="927" customWidth="1"/>
    <col min="4218" max="4218" width="12.42578125" style="927" customWidth="1"/>
    <col min="4219" max="4220" width="9.140625" style="927" customWidth="1"/>
    <col min="4221" max="4221" width="10.5703125" style="927" customWidth="1"/>
    <col min="4222" max="4222" width="9.140625" style="927" customWidth="1"/>
    <col min="4223" max="4223" width="4" style="927" customWidth="1"/>
    <col min="4224" max="4224" width="12.42578125" style="927" customWidth="1"/>
    <col min="4225" max="4226" width="9.140625" style="927" customWidth="1"/>
    <col min="4227" max="4227" width="10.5703125" style="927" customWidth="1"/>
    <col min="4228" max="4352" width="9.140625" style="927"/>
    <col min="4353" max="4353" width="2.7109375" style="927" customWidth="1"/>
    <col min="4354" max="4354" width="9.140625" style="927" customWidth="1"/>
    <col min="4355" max="4355" width="9.42578125" style="927" customWidth="1"/>
    <col min="4356" max="4356" width="0" style="927" hidden="1" customWidth="1"/>
    <col min="4357" max="4357" width="9.140625" style="927" customWidth="1"/>
    <col min="4358" max="4358" width="2.42578125" style="927" customWidth="1"/>
    <col min="4359" max="4359" width="9.140625" style="927" customWidth="1"/>
    <col min="4360" max="4360" width="9.42578125" style="927" customWidth="1"/>
    <col min="4361" max="4361" width="0" style="927" hidden="1" customWidth="1"/>
    <col min="4362" max="4362" width="9.140625" style="927" customWidth="1"/>
    <col min="4363" max="4363" width="2.28515625" style="927" customWidth="1"/>
    <col min="4364" max="4364" width="9.140625" style="927" customWidth="1"/>
    <col min="4365" max="4365" width="9.42578125" style="927" customWidth="1"/>
    <col min="4366" max="4366" width="0" style="927" hidden="1" customWidth="1"/>
    <col min="4367" max="4367" width="9.140625" style="927" customWidth="1"/>
    <col min="4368" max="4368" width="2.5703125" style="927" customWidth="1"/>
    <col min="4369" max="4369" width="9.140625" style="927" customWidth="1"/>
    <col min="4370" max="4370" width="9.5703125" style="927" customWidth="1"/>
    <col min="4371" max="4371" width="0" style="927" hidden="1" customWidth="1"/>
    <col min="4372" max="4372" width="9.140625" style="927" customWidth="1"/>
    <col min="4373" max="4373" width="2.7109375" style="927" customWidth="1"/>
    <col min="4374" max="4375" width="9.140625" style="927" customWidth="1"/>
    <col min="4376" max="4376" width="3.140625" style="927" customWidth="1"/>
    <col min="4377" max="4377" width="4" style="927" customWidth="1"/>
    <col min="4378" max="4378" width="9.42578125" style="927" customWidth="1"/>
    <col min="4379" max="4380" width="9.140625" style="927" customWidth="1"/>
    <col min="4381" max="4381" width="10.5703125" style="927" customWidth="1"/>
    <col min="4382" max="4382" width="9.140625" style="927" customWidth="1"/>
    <col min="4383" max="4383" width="4" style="927" customWidth="1"/>
    <col min="4384" max="4384" width="9.42578125" style="927" customWidth="1"/>
    <col min="4385" max="4386" width="9.140625" style="927" customWidth="1"/>
    <col min="4387" max="4387" width="10.5703125" style="927" customWidth="1"/>
    <col min="4388" max="4388" width="9.140625" style="927" customWidth="1"/>
    <col min="4389" max="4389" width="4" style="927" customWidth="1"/>
    <col min="4390" max="4390" width="9.42578125" style="927" customWidth="1"/>
    <col min="4391" max="4392" width="9.140625" style="927" customWidth="1"/>
    <col min="4393" max="4393" width="10.5703125" style="927" customWidth="1"/>
    <col min="4394" max="4394" width="9.140625" style="927" customWidth="1"/>
    <col min="4395" max="4395" width="4" style="927" customWidth="1"/>
    <col min="4396" max="4396" width="9.42578125" style="927" customWidth="1"/>
    <col min="4397" max="4398" width="9.140625" style="927" customWidth="1"/>
    <col min="4399" max="4399" width="10.5703125" style="927" customWidth="1"/>
    <col min="4400" max="4400" width="9.140625" style="927" customWidth="1"/>
    <col min="4401" max="4401" width="4" style="927" customWidth="1"/>
    <col min="4402" max="4402" width="9.42578125" style="927" customWidth="1"/>
    <col min="4403" max="4404" width="9.140625" style="927" customWidth="1"/>
    <col min="4405" max="4405" width="10.5703125" style="927" customWidth="1"/>
    <col min="4406" max="4406" width="9.140625" style="927" customWidth="1"/>
    <col min="4407" max="4407" width="4" style="927" customWidth="1"/>
    <col min="4408" max="4408" width="9.42578125" style="927" customWidth="1"/>
    <col min="4409" max="4410" width="9.140625" style="927" customWidth="1"/>
    <col min="4411" max="4411" width="10.5703125" style="927" customWidth="1"/>
    <col min="4412" max="4412" width="9.140625" style="927" customWidth="1"/>
    <col min="4413" max="4413" width="4" style="927" customWidth="1"/>
    <col min="4414" max="4414" width="9.42578125" style="927" customWidth="1"/>
    <col min="4415" max="4416" width="9.140625" style="927" customWidth="1"/>
    <col min="4417" max="4417" width="10.5703125" style="927" customWidth="1"/>
    <col min="4418" max="4418" width="9.140625" style="927" customWidth="1"/>
    <col min="4419" max="4419" width="4" style="927" customWidth="1"/>
    <col min="4420" max="4420" width="9.42578125" style="927" customWidth="1"/>
    <col min="4421" max="4422" width="9.140625" style="927" customWidth="1"/>
    <col min="4423" max="4423" width="10.5703125" style="927" customWidth="1"/>
    <col min="4424" max="4424" width="9.140625" style="927" customWidth="1"/>
    <col min="4425" max="4425" width="4" style="927" customWidth="1"/>
    <col min="4426" max="4426" width="9.42578125" style="927" customWidth="1"/>
    <col min="4427" max="4428" width="9.140625" style="927" customWidth="1"/>
    <col min="4429" max="4429" width="10.5703125" style="927" customWidth="1"/>
    <col min="4430" max="4430" width="9.140625" style="927" customWidth="1"/>
    <col min="4431" max="4431" width="4" style="927" customWidth="1"/>
    <col min="4432" max="4432" width="9.42578125" style="927" customWidth="1"/>
    <col min="4433" max="4434" width="9.140625" style="927" customWidth="1"/>
    <col min="4435" max="4435" width="10.5703125" style="927" customWidth="1"/>
    <col min="4436" max="4436" width="9.140625" style="927" customWidth="1"/>
    <col min="4437" max="4437" width="4" style="927" customWidth="1"/>
    <col min="4438" max="4438" width="9.42578125" style="927" customWidth="1"/>
    <col min="4439" max="4440" width="9.140625" style="927" customWidth="1"/>
    <col min="4441" max="4441" width="10.5703125" style="927" customWidth="1"/>
    <col min="4442" max="4442" width="9.140625" style="927" customWidth="1"/>
    <col min="4443" max="4443" width="4" style="927" customWidth="1"/>
    <col min="4444" max="4444" width="9.42578125" style="927" customWidth="1"/>
    <col min="4445" max="4446" width="9.140625" style="927" customWidth="1"/>
    <col min="4447" max="4447" width="10.5703125" style="927" customWidth="1"/>
    <col min="4448" max="4448" width="9.140625" style="927" customWidth="1"/>
    <col min="4449" max="4449" width="4" style="927" customWidth="1"/>
    <col min="4450" max="4450" width="9.42578125" style="927" customWidth="1"/>
    <col min="4451" max="4452" width="9.140625" style="927" customWidth="1"/>
    <col min="4453" max="4453" width="10.5703125" style="927" customWidth="1"/>
    <col min="4454" max="4454" width="9.140625" style="927" customWidth="1"/>
    <col min="4455" max="4455" width="4" style="927" customWidth="1"/>
    <col min="4456" max="4456" width="12.42578125" style="927" customWidth="1"/>
    <col min="4457" max="4458" width="9.140625" style="927" customWidth="1"/>
    <col min="4459" max="4459" width="10.5703125" style="927" customWidth="1"/>
    <col min="4460" max="4460" width="9.140625" style="927" customWidth="1"/>
    <col min="4461" max="4461" width="4" style="927" customWidth="1"/>
    <col min="4462" max="4462" width="12.42578125" style="927" customWidth="1"/>
    <col min="4463" max="4464" width="9.140625" style="927" customWidth="1"/>
    <col min="4465" max="4465" width="10.5703125" style="927" customWidth="1"/>
    <col min="4466" max="4466" width="9.140625" style="927" customWidth="1"/>
    <col min="4467" max="4467" width="4" style="927" customWidth="1"/>
    <col min="4468" max="4468" width="12.42578125" style="927" customWidth="1"/>
    <col min="4469" max="4470" width="9.140625" style="927" customWidth="1"/>
    <col min="4471" max="4471" width="10.5703125" style="927" customWidth="1"/>
    <col min="4472" max="4472" width="9.140625" style="927" customWidth="1"/>
    <col min="4473" max="4473" width="4" style="927" customWidth="1"/>
    <col min="4474" max="4474" width="12.42578125" style="927" customWidth="1"/>
    <col min="4475" max="4476" width="9.140625" style="927" customWidth="1"/>
    <col min="4477" max="4477" width="10.5703125" style="927" customWidth="1"/>
    <col min="4478" max="4478" width="9.140625" style="927" customWidth="1"/>
    <col min="4479" max="4479" width="4" style="927" customWidth="1"/>
    <col min="4480" max="4480" width="12.42578125" style="927" customWidth="1"/>
    <col min="4481" max="4482" width="9.140625" style="927" customWidth="1"/>
    <col min="4483" max="4483" width="10.5703125" style="927" customWidth="1"/>
    <col min="4484" max="4608" width="9.140625" style="927"/>
    <col min="4609" max="4609" width="2.7109375" style="927" customWidth="1"/>
    <col min="4610" max="4610" width="9.140625" style="927" customWidth="1"/>
    <col min="4611" max="4611" width="9.42578125" style="927" customWidth="1"/>
    <col min="4612" max="4612" width="0" style="927" hidden="1" customWidth="1"/>
    <col min="4613" max="4613" width="9.140625" style="927" customWidth="1"/>
    <col min="4614" max="4614" width="2.42578125" style="927" customWidth="1"/>
    <col min="4615" max="4615" width="9.140625" style="927" customWidth="1"/>
    <col min="4616" max="4616" width="9.42578125" style="927" customWidth="1"/>
    <col min="4617" max="4617" width="0" style="927" hidden="1" customWidth="1"/>
    <col min="4618" max="4618" width="9.140625" style="927" customWidth="1"/>
    <col min="4619" max="4619" width="2.28515625" style="927" customWidth="1"/>
    <col min="4620" max="4620" width="9.140625" style="927" customWidth="1"/>
    <col min="4621" max="4621" width="9.42578125" style="927" customWidth="1"/>
    <col min="4622" max="4622" width="0" style="927" hidden="1" customWidth="1"/>
    <col min="4623" max="4623" width="9.140625" style="927" customWidth="1"/>
    <col min="4624" max="4624" width="2.5703125" style="927" customWidth="1"/>
    <col min="4625" max="4625" width="9.140625" style="927" customWidth="1"/>
    <col min="4626" max="4626" width="9.5703125" style="927" customWidth="1"/>
    <col min="4627" max="4627" width="0" style="927" hidden="1" customWidth="1"/>
    <col min="4628" max="4628" width="9.140625" style="927" customWidth="1"/>
    <col min="4629" max="4629" width="2.7109375" style="927" customWidth="1"/>
    <col min="4630" max="4631" width="9.140625" style="927" customWidth="1"/>
    <col min="4632" max="4632" width="3.140625" style="927" customWidth="1"/>
    <col min="4633" max="4633" width="4" style="927" customWidth="1"/>
    <col min="4634" max="4634" width="9.42578125" style="927" customWidth="1"/>
    <col min="4635" max="4636" width="9.140625" style="927" customWidth="1"/>
    <col min="4637" max="4637" width="10.5703125" style="927" customWidth="1"/>
    <col min="4638" max="4638" width="9.140625" style="927" customWidth="1"/>
    <col min="4639" max="4639" width="4" style="927" customWidth="1"/>
    <col min="4640" max="4640" width="9.42578125" style="927" customWidth="1"/>
    <col min="4641" max="4642" width="9.140625" style="927" customWidth="1"/>
    <col min="4643" max="4643" width="10.5703125" style="927" customWidth="1"/>
    <col min="4644" max="4644" width="9.140625" style="927" customWidth="1"/>
    <col min="4645" max="4645" width="4" style="927" customWidth="1"/>
    <col min="4646" max="4646" width="9.42578125" style="927" customWidth="1"/>
    <col min="4647" max="4648" width="9.140625" style="927" customWidth="1"/>
    <col min="4649" max="4649" width="10.5703125" style="927" customWidth="1"/>
    <col min="4650" max="4650" width="9.140625" style="927" customWidth="1"/>
    <col min="4651" max="4651" width="4" style="927" customWidth="1"/>
    <col min="4652" max="4652" width="9.42578125" style="927" customWidth="1"/>
    <col min="4653" max="4654" width="9.140625" style="927" customWidth="1"/>
    <col min="4655" max="4655" width="10.5703125" style="927" customWidth="1"/>
    <col min="4656" max="4656" width="9.140625" style="927" customWidth="1"/>
    <col min="4657" max="4657" width="4" style="927" customWidth="1"/>
    <col min="4658" max="4658" width="9.42578125" style="927" customWidth="1"/>
    <col min="4659" max="4660" width="9.140625" style="927" customWidth="1"/>
    <col min="4661" max="4661" width="10.5703125" style="927" customWidth="1"/>
    <col min="4662" max="4662" width="9.140625" style="927" customWidth="1"/>
    <col min="4663" max="4663" width="4" style="927" customWidth="1"/>
    <col min="4664" max="4664" width="9.42578125" style="927" customWidth="1"/>
    <col min="4665" max="4666" width="9.140625" style="927" customWidth="1"/>
    <col min="4667" max="4667" width="10.5703125" style="927" customWidth="1"/>
    <col min="4668" max="4668" width="9.140625" style="927" customWidth="1"/>
    <col min="4669" max="4669" width="4" style="927" customWidth="1"/>
    <col min="4670" max="4670" width="9.42578125" style="927" customWidth="1"/>
    <col min="4671" max="4672" width="9.140625" style="927" customWidth="1"/>
    <col min="4673" max="4673" width="10.5703125" style="927" customWidth="1"/>
    <col min="4674" max="4674" width="9.140625" style="927" customWidth="1"/>
    <col min="4675" max="4675" width="4" style="927" customWidth="1"/>
    <col min="4676" max="4676" width="9.42578125" style="927" customWidth="1"/>
    <col min="4677" max="4678" width="9.140625" style="927" customWidth="1"/>
    <col min="4679" max="4679" width="10.5703125" style="927" customWidth="1"/>
    <col min="4680" max="4680" width="9.140625" style="927" customWidth="1"/>
    <col min="4681" max="4681" width="4" style="927" customWidth="1"/>
    <col min="4682" max="4682" width="9.42578125" style="927" customWidth="1"/>
    <col min="4683" max="4684" width="9.140625" style="927" customWidth="1"/>
    <col min="4685" max="4685" width="10.5703125" style="927" customWidth="1"/>
    <col min="4686" max="4686" width="9.140625" style="927" customWidth="1"/>
    <col min="4687" max="4687" width="4" style="927" customWidth="1"/>
    <col min="4688" max="4688" width="9.42578125" style="927" customWidth="1"/>
    <col min="4689" max="4690" width="9.140625" style="927" customWidth="1"/>
    <col min="4691" max="4691" width="10.5703125" style="927" customWidth="1"/>
    <col min="4692" max="4692" width="9.140625" style="927" customWidth="1"/>
    <col min="4693" max="4693" width="4" style="927" customWidth="1"/>
    <col min="4694" max="4694" width="9.42578125" style="927" customWidth="1"/>
    <col min="4695" max="4696" width="9.140625" style="927" customWidth="1"/>
    <col min="4697" max="4697" width="10.5703125" style="927" customWidth="1"/>
    <col min="4698" max="4698" width="9.140625" style="927" customWidth="1"/>
    <col min="4699" max="4699" width="4" style="927" customWidth="1"/>
    <col min="4700" max="4700" width="9.42578125" style="927" customWidth="1"/>
    <col min="4701" max="4702" width="9.140625" style="927" customWidth="1"/>
    <col min="4703" max="4703" width="10.5703125" style="927" customWidth="1"/>
    <col min="4704" max="4704" width="9.140625" style="927" customWidth="1"/>
    <col min="4705" max="4705" width="4" style="927" customWidth="1"/>
    <col min="4706" max="4706" width="9.42578125" style="927" customWidth="1"/>
    <col min="4707" max="4708" width="9.140625" style="927" customWidth="1"/>
    <col min="4709" max="4709" width="10.5703125" style="927" customWidth="1"/>
    <col min="4710" max="4710" width="9.140625" style="927" customWidth="1"/>
    <col min="4711" max="4711" width="4" style="927" customWidth="1"/>
    <col min="4712" max="4712" width="12.42578125" style="927" customWidth="1"/>
    <col min="4713" max="4714" width="9.140625" style="927" customWidth="1"/>
    <col min="4715" max="4715" width="10.5703125" style="927" customWidth="1"/>
    <col min="4716" max="4716" width="9.140625" style="927" customWidth="1"/>
    <col min="4717" max="4717" width="4" style="927" customWidth="1"/>
    <col min="4718" max="4718" width="12.42578125" style="927" customWidth="1"/>
    <col min="4719" max="4720" width="9.140625" style="927" customWidth="1"/>
    <col min="4721" max="4721" width="10.5703125" style="927" customWidth="1"/>
    <col min="4722" max="4722" width="9.140625" style="927" customWidth="1"/>
    <col min="4723" max="4723" width="4" style="927" customWidth="1"/>
    <col min="4724" max="4724" width="12.42578125" style="927" customWidth="1"/>
    <col min="4725" max="4726" width="9.140625" style="927" customWidth="1"/>
    <col min="4727" max="4727" width="10.5703125" style="927" customWidth="1"/>
    <col min="4728" max="4728" width="9.140625" style="927" customWidth="1"/>
    <col min="4729" max="4729" width="4" style="927" customWidth="1"/>
    <col min="4730" max="4730" width="12.42578125" style="927" customWidth="1"/>
    <col min="4731" max="4732" width="9.140625" style="927" customWidth="1"/>
    <col min="4733" max="4733" width="10.5703125" style="927" customWidth="1"/>
    <col min="4734" max="4734" width="9.140625" style="927" customWidth="1"/>
    <col min="4735" max="4735" width="4" style="927" customWidth="1"/>
    <col min="4736" max="4736" width="12.42578125" style="927" customWidth="1"/>
    <col min="4737" max="4738" width="9.140625" style="927" customWidth="1"/>
    <col min="4739" max="4739" width="10.5703125" style="927" customWidth="1"/>
    <col min="4740" max="4864" width="9.140625" style="927"/>
    <col min="4865" max="4865" width="2.7109375" style="927" customWidth="1"/>
    <col min="4866" max="4866" width="9.140625" style="927" customWidth="1"/>
    <col min="4867" max="4867" width="9.42578125" style="927" customWidth="1"/>
    <col min="4868" max="4868" width="0" style="927" hidden="1" customWidth="1"/>
    <col min="4869" max="4869" width="9.140625" style="927" customWidth="1"/>
    <col min="4870" max="4870" width="2.42578125" style="927" customWidth="1"/>
    <col min="4871" max="4871" width="9.140625" style="927" customWidth="1"/>
    <col min="4872" max="4872" width="9.42578125" style="927" customWidth="1"/>
    <col min="4873" max="4873" width="0" style="927" hidden="1" customWidth="1"/>
    <col min="4874" max="4874" width="9.140625" style="927" customWidth="1"/>
    <col min="4875" max="4875" width="2.28515625" style="927" customWidth="1"/>
    <col min="4876" max="4876" width="9.140625" style="927" customWidth="1"/>
    <col min="4877" max="4877" width="9.42578125" style="927" customWidth="1"/>
    <col min="4878" max="4878" width="0" style="927" hidden="1" customWidth="1"/>
    <col min="4879" max="4879" width="9.140625" style="927" customWidth="1"/>
    <col min="4880" max="4880" width="2.5703125" style="927" customWidth="1"/>
    <col min="4881" max="4881" width="9.140625" style="927" customWidth="1"/>
    <col min="4882" max="4882" width="9.5703125" style="927" customWidth="1"/>
    <col min="4883" max="4883" width="0" style="927" hidden="1" customWidth="1"/>
    <col min="4884" max="4884" width="9.140625" style="927" customWidth="1"/>
    <col min="4885" max="4885" width="2.7109375" style="927" customWidth="1"/>
    <col min="4886" max="4887" width="9.140625" style="927" customWidth="1"/>
    <col min="4888" max="4888" width="3.140625" style="927" customWidth="1"/>
    <col min="4889" max="4889" width="4" style="927" customWidth="1"/>
    <col min="4890" max="4890" width="9.42578125" style="927" customWidth="1"/>
    <col min="4891" max="4892" width="9.140625" style="927" customWidth="1"/>
    <col min="4893" max="4893" width="10.5703125" style="927" customWidth="1"/>
    <col min="4894" max="4894" width="9.140625" style="927" customWidth="1"/>
    <col min="4895" max="4895" width="4" style="927" customWidth="1"/>
    <col min="4896" max="4896" width="9.42578125" style="927" customWidth="1"/>
    <col min="4897" max="4898" width="9.140625" style="927" customWidth="1"/>
    <col min="4899" max="4899" width="10.5703125" style="927" customWidth="1"/>
    <col min="4900" max="4900" width="9.140625" style="927" customWidth="1"/>
    <col min="4901" max="4901" width="4" style="927" customWidth="1"/>
    <col min="4902" max="4902" width="9.42578125" style="927" customWidth="1"/>
    <col min="4903" max="4904" width="9.140625" style="927" customWidth="1"/>
    <col min="4905" max="4905" width="10.5703125" style="927" customWidth="1"/>
    <col min="4906" max="4906" width="9.140625" style="927" customWidth="1"/>
    <col min="4907" max="4907" width="4" style="927" customWidth="1"/>
    <col min="4908" max="4908" width="9.42578125" style="927" customWidth="1"/>
    <col min="4909" max="4910" width="9.140625" style="927" customWidth="1"/>
    <col min="4911" max="4911" width="10.5703125" style="927" customWidth="1"/>
    <col min="4912" max="4912" width="9.140625" style="927" customWidth="1"/>
    <col min="4913" max="4913" width="4" style="927" customWidth="1"/>
    <col min="4914" max="4914" width="9.42578125" style="927" customWidth="1"/>
    <col min="4915" max="4916" width="9.140625" style="927" customWidth="1"/>
    <col min="4917" max="4917" width="10.5703125" style="927" customWidth="1"/>
    <col min="4918" max="4918" width="9.140625" style="927" customWidth="1"/>
    <col min="4919" max="4919" width="4" style="927" customWidth="1"/>
    <col min="4920" max="4920" width="9.42578125" style="927" customWidth="1"/>
    <col min="4921" max="4922" width="9.140625" style="927" customWidth="1"/>
    <col min="4923" max="4923" width="10.5703125" style="927" customWidth="1"/>
    <col min="4924" max="4924" width="9.140625" style="927" customWidth="1"/>
    <col min="4925" max="4925" width="4" style="927" customWidth="1"/>
    <col min="4926" max="4926" width="9.42578125" style="927" customWidth="1"/>
    <col min="4927" max="4928" width="9.140625" style="927" customWidth="1"/>
    <col min="4929" max="4929" width="10.5703125" style="927" customWidth="1"/>
    <col min="4930" max="4930" width="9.140625" style="927" customWidth="1"/>
    <col min="4931" max="4931" width="4" style="927" customWidth="1"/>
    <col min="4932" max="4932" width="9.42578125" style="927" customWidth="1"/>
    <col min="4933" max="4934" width="9.140625" style="927" customWidth="1"/>
    <col min="4935" max="4935" width="10.5703125" style="927" customWidth="1"/>
    <col min="4936" max="4936" width="9.140625" style="927" customWidth="1"/>
    <col min="4937" max="4937" width="4" style="927" customWidth="1"/>
    <col min="4938" max="4938" width="9.42578125" style="927" customWidth="1"/>
    <col min="4939" max="4940" width="9.140625" style="927" customWidth="1"/>
    <col min="4941" max="4941" width="10.5703125" style="927" customWidth="1"/>
    <col min="4942" max="4942" width="9.140625" style="927" customWidth="1"/>
    <col min="4943" max="4943" width="4" style="927" customWidth="1"/>
    <col min="4944" max="4944" width="9.42578125" style="927" customWidth="1"/>
    <col min="4945" max="4946" width="9.140625" style="927" customWidth="1"/>
    <col min="4947" max="4947" width="10.5703125" style="927" customWidth="1"/>
    <col min="4948" max="4948" width="9.140625" style="927" customWidth="1"/>
    <col min="4949" max="4949" width="4" style="927" customWidth="1"/>
    <col min="4950" max="4950" width="9.42578125" style="927" customWidth="1"/>
    <col min="4951" max="4952" width="9.140625" style="927" customWidth="1"/>
    <col min="4953" max="4953" width="10.5703125" style="927" customWidth="1"/>
    <col min="4954" max="4954" width="9.140625" style="927" customWidth="1"/>
    <col min="4955" max="4955" width="4" style="927" customWidth="1"/>
    <col min="4956" max="4956" width="9.42578125" style="927" customWidth="1"/>
    <col min="4957" max="4958" width="9.140625" style="927" customWidth="1"/>
    <col min="4959" max="4959" width="10.5703125" style="927" customWidth="1"/>
    <col min="4960" max="4960" width="9.140625" style="927" customWidth="1"/>
    <col min="4961" max="4961" width="4" style="927" customWidth="1"/>
    <col min="4962" max="4962" width="9.42578125" style="927" customWidth="1"/>
    <col min="4963" max="4964" width="9.140625" style="927" customWidth="1"/>
    <col min="4965" max="4965" width="10.5703125" style="927" customWidth="1"/>
    <col min="4966" max="4966" width="9.140625" style="927" customWidth="1"/>
    <col min="4967" max="4967" width="4" style="927" customWidth="1"/>
    <col min="4968" max="4968" width="12.42578125" style="927" customWidth="1"/>
    <col min="4969" max="4970" width="9.140625" style="927" customWidth="1"/>
    <col min="4971" max="4971" width="10.5703125" style="927" customWidth="1"/>
    <col min="4972" max="4972" width="9.140625" style="927" customWidth="1"/>
    <col min="4973" max="4973" width="4" style="927" customWidth="1"/>
    <col min="4974" max="4974" width="12.42578125" style="927" customWidth="1"/>
    <col min="4975" max="4976" width="9.140625" style="927" customWidth="1"/>
    <col min="4977" max="4977" width="10.5703125" style="927" customWidth="1"/>
    <col min="4978" max="4978" width="9.140625" style="927" customWidth="1"/>
    <col min="4979" max="4979" width="4" style="927" customWidth="1"/>
    <col min="4980" max="4980" width="12.42578125" style="927" customWidth="1"/>
    <col min="4981" max="4982" width="9.140625" style="927" customWidth="1"/>
    <col min="4983" max="4983" width="10.5703125" style="927" customWidth="1"/>
    <col min="4984" max="4984" width="9.140625" style="927" customWidth="1"/>
    <col min="4985" max="4985" width="4" style="927" customWidth="1"/>
    <col min="4986" max="4986" width="12.42578125" style="927" customWidth="1"/>
    <col min="4987" max="4988" width="9.140625" style="927" customWidth="1"/>
    <col min="4989" max="4989" width="10.5703125" style="927" customWidth="1"/>
    <col min="4990" max="4990" width="9.140625" style="927" customWidth="1"/>
    <col min="4991" max="4991" width="4" style="927" customWidth="1"/>
    <col min="4992" max="4992" width="12.42578125" style="927" customWidth="1"/>
    <col min="4993" max="4994" width="9.140625" style="927" customWidth="1"/>
    <col min="4995" max="4995" width="10.5703125" style="927" customWidth="1"/>
    <col min="4996" max="5120" width="9.140625" style="927"/>
    <col min="5121" max="5121" width="2.7109375" style="927" customWidth="1"/>
    <col min="5122" max="5122" width="9.140625" style="927" customWidth="1"/>
    <col min="5123" max="5123" width="9.42578125" style="927" customWidth="1"/>
    <col min="5124" max="5124" width="0" style="927" hidden="1" customWidth="1"/>
    <col min="5125" max="5125" width="9.140625" style="927" customWidth="1"/>
    <col min="5126" max="5126" width="2.42578125" style="927" customWidth="1"/>
    <col min="5127" max="5127" width="9.140625" style="927" customWidth="1"/>
    <col min="5128" max="5128" width="9.42578125" style="927" customWidth="1"/>
    <col min="5129" max="5129" width="0" style="927" hidden="1" customWidth="1"/>
    <col min="5130" max="5130" width="9.140625" style="927" customWidth="1"/>
    <col min="5131" max="5131" width="2.28515625" style="927" customWidth="1"/>
    <col min="5132" max="5132" width="9.140625" style="927" customWidth="1"/>
    <col min="5133" max="5133" width="9.42578125" style="927" customWidth="1"/>
    <col min="5134" max="5134" width="0" style="927" hidden="1" customWidth="1"/>
    <col min="5135" max="5135" width="9.140625" style="927" customWidth="1"/>
    <col min="5136" max="5136" width="2.5703125" style="927" customWidth="1"/>
    <col min="5137" max="5137" width="9.140625" style="927" customWidth="1"/>
    <col min="5138" max="5138" width="9.5703125" style="927" customWidth="1"/>
    <col min="5139" max="5139" width="0" style="927" hidden="1" customWidth="1"/>
    <col min="5140" max="5140" width="9.140625" style="927" customWidth="1"/>
    <col min="5141" max="5141" width="2.7109375" style="927" customWidth="1"/>
    <col min="5142" max="5143" width="9.140625" style="927" customWidth="1"/>
    <col min="5144" max="5144" width="3.140625" style="927" customWidth="1"/>
    <col min="5145" max="5145" width="4" style="927" customWidth="1"/>
    <col min="5146" max="5146" width="9.42578125" style="927" customWidth="1"/>
    <col min="5147" max="5148" width="9.140625" style="927" customWidth="1"/>
    <col min="5149" max="5149" width="10.5703125" style="927" customWidth="1"/>
    <col min="5150" max="5150" width="9.140625" style="927" customWidth="1"/>
    <col min="5151" max="5151" width="4" style="927" customWidth="1"/>
    <col min="5152" max="5152" width="9.42578125" style="927" customWidth="1"/>
    <col min="5153" max="5154" width="9.140625" style="927" customWidth="1"/>
    <col min="5155" max="5155" width="10.5703125" style="927" customWidth="1"/>
    <col min="5156" max="5156" width="9.140625" style="927" customWidth="1"/>
    <col min="5157" max="5157" width="4" style="927" customWidth="1"/>
    <col min="5158" max="5158" width="9.42578125" style="927" customWidth="1"/>
    <col min="5159" max="5160" width="9.140625" style="927" customWidth="1"/>
    <col min="5161" max="5161" width="10.5703125" style="927" customWidth="1"/>
    <col min="5162" max="5162" width="9.140625" style="927" customWidth="1"/>
    <col min="5163" max="5163" width="4" style="927" customWidth="1"/>
    <col min="5164" max="5164" width="9.42578125" style="927" customWidth="1"/>
    <col min="5165" max="5166" width="9.140625" style="927" customWidth="1"/>
    <col min="5167" max="5167" width="10.5703125" style="927" customWidth="1"/>
    <col min="5168" max="5168" width="9.140625" style="927" customWidth="1"/>
    <col min="5169" max="5169" width="4" style="927" customWidth="1"/>
    <col min="5170" max="5170" width="9.42578125" style="927" customWidth="1"/>
    <col min="5171" max="5172" width="9.140625" style="927" customWidth="1"/>
    <col min="5173" max="5173" width="10.5703125" style="927" customWidth="1"/>
    <col min="5174" max="5174" width="9.140625" style="927" customWidth="1"/>
    <col min="5175" max="5175" width="4" style="927" customWidth="1"/>
    <col min="5176" max="5176" width="9.42578125" style="927" customWidth="1"/>
    <col min="5177" max="5178" width="9.140625" style="927" customWidth="1"/>
    <col min="5179" max="5179" width="10.5703125" style="927" customWidth="1"/>
    <col min="5180" max="5180" width="9.140625" style="927" customWidth="1"/>
    <col min="5181" max="5181" width="4" style="927" customWidth="1"/>
    <col min="5182" max="5182" width="9.42578125" style="927" customWidth="1"/>
    <col min="5183" max="5184" width="9.140625" style="927" customWidth="1"/>
    <col min="5185" max="5185" width="10.5703125" style="927" customWidth="1"/>
    <col min="5186" max="5186" width="9.140625" style="927" customWidth="1"/>
    <col min="5187" max="5187" width="4" style="927" customWidth="1"/>
    <col min="5188" max="5188" width="9.42578125" style="927" customWidth="1"/>
    <col min="5189" max="5190" width="9.140625" style="927" customWidth="1"/>
    <col min="5191" max="5191" width="10.5703125" style="927" customWidth="1"/>
    <col min="5192" max="5192" width="9.140625" style="927" customWidth="1"/>
    <col min="5193" max="5193" width="4" style="927" customWidth="1"/>
    <col min="5194" max="5194" width="9.42578125" style="927" customWidth="1"/>
    <col min="5195" max="5196" width="9.140625" style="927" customWidth="1"/>
    <col min="5197" max="5197" width="10.5703125" style="927" customWidth="1"/>
    <col min="5198" max="5198" width="9.140625" style="927" customWidth="1"/>
    <col min="5199" max="5199" width="4" style="927" customWidth="1"/>
    <col min="5200" max="5200" width="9.42578125" style="927" customWidth="1"/>
    <col min="5201" max="5202" width="9.140625" style="927" customWidth="1"/>
    <col min="5203" max="5203" width="10.5703125" style="927" customWidth="1"/>
    <col min="5204" max="5204" width="9.140625" style="927" customWidth="1"/>
    <col min="5205" max="5205" width="4" style="927" customWidth="1"/>
    <col min="5206" max="5206" width="9.42578125" style="927" customWidth="1"/>
    <col min="5207" max="5208" width="9.140625" style="927" customWidth="1"/>
    <col min="5209" max="5209" width="10.5703125" style="927" customWidth="1"/>
    <col min="5210" max="5210" width="9.140625" style="927" customWidth="1"/>
    <col min="5211" max="5211" width="4" style="927" customWidth="1"/>
    <col min="5212" max="5212" width="9.42578125" style="927" customWidth="1"/>
    <col min="5213" max="5214" width="9.140625" style="927" customWidth="1"/>
    <col min="5215" max="5215" width="10.5703125" style="927" customWidth="1"/>
    <col min="5216" max="5216" width="9.140625" style="927" customWidth="1"/>
    <col min="5217" max="5217" width="4" style="927" customWidth="1"/>
    <col min="5218" max="5218" width="9.42578125" style="927" customWidth="1"/>
    <col min="5219" max="5220" width="9.140625" style="927" customWidth="1"/>
    <col min="5221" max="5221" width="10.5703125" style="927" customWidth="1"/>
    <col min="5222" max="5222" width="9.140625" style="927" customWidth="1"/>
    <col min="5223" max="5223" width="4" style="927" customWidth="1"/>
    <col min="5224" max="5224" width="12.42578125" style="927" customWidth="1"/>
    <col min="5225" max="5226" width="9.140625" style="927" customWidth="1"/>
    <col min="5227" max="5227" width="10.5703125" style="927" customWidth="1"/>
    <col min="5228" max="5228" width="9.140625" style="927" customWidth="1"/>
    <col min="5229" max="5229" width="4" style="927" customWidth="1"/>
    <col min="5230" max="5230" width="12.42578125" style="927" customWidth="1"/>
    <col min="5231" max="5232" width="9.140625" style="927" customWidth="1"/>
    <col min="5233" max="5233" width="10.5703125" style="927" customWidth="1"/>
    <col min="5234" max="5234" width="9.140625" style="927" customWidth="1"/>
    <col min="5235" max="5235" width="4" style="927" customWidth="1"/>
    <col min="5236" max="5236" width="12.42578125" style="927" customWidth="1"/>
    <col min="5237" max="5238" width="9.140625" style="927" customWidth="1"/>
    <col min="5239" max="5239" width="10.5703125" style="927" customWidth="1"/>
    <col min="5240" max="5240" width="9.140625" style="927" customWidth="1"/>
    <col min="5241" max="5241" width="4" style="927" customWidth="1"/>
    <col min="5242" max="5242" width="12.42578125" style="927" customWidth="1"/>
    <col min="5243" max="5244" width="9.140625" style="927" customWidth="1"/>
    <col min="5245" max="5245" width="10.5703125" style="927" customWidth="1"/>
    <col min="5246" max="5246" width="9.140625" style="927" customWidth="1"/>
    <col min="5247" max="5247" width="4" style="927" customWidth="1"/>
    <col min="5248" max="5248" width="12.42578125" style="927" customWidth="1"/>
    <col min="5249" max="5250" width="9.140625" style="927" customWidth="1"/>
    <col min="5251" max="5251" width="10.5703125" style="927" customWidth="1"/>
    <col min="5252" max="5376" width="9.140625" style="927"/>
    <col min="5377" max="5377" width="2.7109375" style="927" customWidth="1"/>
    <col min="5378" max="5378" width="9.140625" style="927" customWidth="1"/>
    <col min="5379" max="5379" width="9.42578125" style="927" customWidth="1"/>
    <col min="5380" max="5380" width="0" style="927" hidden="1" customWidth="1"/>
    <col min="5381" max="5381" width="9.140625" style="927" customWidth="1"/>
    <col min="5382" max="5382" width="2.42578125" style="927" customWidth="1"/>
    <col min="5383" max="5383" width="9.140625" style="927" customWidth="1"/>
    <col min="5384" max="5384" width="9.42578125" style="927" customWidth="1"/>
    <col min="5385" max="5385" width="0" style="927" hidden="1" customWidth="1"/>
    <col min="5386" max="5386" width="9.140625" style="927" customWidth="1"/>
    <col min="5387" max="5387" width="2.28515625" style="927" customWidth="1"/>
    <col min="5388" max="5388" width="9.140625" style="927" customWidth="1"/>
    <col min="5389" max="5389" width="9.42578125" style="927" customWidth="1"/>
    <col min="5390" max="5390" width="0" style="927" hidden="1" customWidth="1"/>
    <col min="5391" max="5391" width="9.140625" style="927" customWidth="1"/>
    <col min="5392" max="5392" width="2.5703125" style="927" customWidth="1"/>
    <col min="5393" max="5393" width="9.140625" style="927" customWidth="1"/>
    <col min="5394" max="5394" width="9.5703125" style="927" customWidth="1"/>
    <col min="5395" max="5395" width="0" style="927" hidden="1" customWidth="1"/>
    <col min="5396" max="5396" width="9.140625" style="927" customWidth="1"/>
    <col min="5397" max="5397" width="2.7109375" style="927" customWidth="1"/>
    <col min="5398" max="5399" width="9.140625" style="927" customWidth="1"/>
    <col min="5400" max="5400" width="3.140625" style="927" customWidth="1"/>
    <col min="5401" max="5401" width="4" style="927" customWidth="1"/>
    <col min="5402" max="5402" width="9.42578125" style="927" customWidth="1"/>
    <col min="5403" max="5404" width="9.140625" style="927" customWidth="1"/>
    <col min="5405" max="5405" width="10.5703125" style="927" customWidth="1"/>
    <col min="5406" max="5406" width="9.140625" style="927" customWidth="1"/>
    <col min="5407" max="5407" width="4" style="927" customWidth="1"/>
    <col min="5408" max="5408" width="9.42578125" style="927" customWidth="1"/>
    <col min="5409" max="5410" width="9.140625" style="927" customWidth="1"/>
    <col min="5411" max="5411" width="10.5703125" style="927" customWidth="1"/>
    <col min="5412" max="5412" width="9.140625" style="927" customWidth="1"/>
    <col min="5413" max="5413" width="4" style="927" customWidth="1"/>
    <col min="5414" max="5414" width="9.42578125" style="927" customWidth="1"/>
    <col min="5415" max="5416" width="9.140625" style="927" customWidth="1"/>
    <col min="5417" max="5417" width="10.5703125" style="927" customWidth="1"/>
    <col min="5418" max="5418" width="9.140625" style="927" customWidth="1"/>
    <col min="5419" max="5419" width="4" style="927" customWidth="1"/>
    <col min="5420" max="5420" width="9.42578125" style="927" customWidth="1"/>
    <col min="5421" max="5422" width="9.140625" style="927" customWidth="1"/>
    <col min="5423" max="5423" width="10.5703125" style="927" customWidth="1"/>
    <col min="5424" max="5424" width="9.140625" style="927" customWidth="1"/>
    <col min="5425" max="5425" width="4" style="927" customWidth="1"/>
    <col min="5426" max="5426" width="9.42578125" style="927" customWidth="1"/>
    <col min="5427" max="5428" width="9.140625" style="927" customWidth="1"/>
    <col min="5429" max="5429" width="10.5703125" style="927" customWidth="1"/>
    <col min="5430" max="5430" width="9.140625" style="927" customWidth="1"/>
    <col min="5431" max="5431" width="4" style="927" customWidth="1"/>
    <col min="5432" max="5432" width="9.42578125" style="927" customWidth="1"/>
    <col min="5433" max="5434" width="9.140625" style="927" customWidth="1"/>
    <col min="5435" max="5435" width="10.5703125" style="927" customWidth="1"/>
    <col min="5436" max="5436" width="9.140625" style="927" customWidth="1"/>
    <col min="5437" max="5437" width="4" style="927" customWidth="1"/>
    <col min="5438" max="5438" width="9.42578125" style="927" customWidth="1"/>
    <col min="5439" max="5440" width="9.140625" style="927" customWidth="1"/>
    <col min="5441" max="5441" width="10.5703125" style="927" customWidth="1"/>
    <col min="5442" max="5442" width="9.140625" style="927" customWidth="1"/>
    <col min="5443" max="5443" width="4" style="927" customWidth="1"/>
    <col min="5444" max="5444" width="9.42578125" style="927" customWidth="1"/>
    <col min="5445" max="5446" width="9.140625" style="927" customWidth="1"/>
    <col min="5447" max="5447" width="10.5703125" style="927" customWidth="1"/>
    <col min="5448" max="5448" width="9.140625" style="927" customWidth="1"/>
    <col min="5449" max="5449" width="4" style="927" customWidth="1"/>
    <col min="5450" max="5450" width="9.42578125" style="927" customWidth="1"/>
    <col min="5451" max="5452" width="9.140625" style="927" customWidth="1"/>
    <col min="5453" max="5453" width="10.5703125" style="927" customWidth="1"/>
    <col min="5454" max="5454" width="9.140625" style="927" customWidth="1"/>
    <col min="5455" max="5455" width="4" style="927" customWidth="1"/>
    <col min="5456" max="5456" width="9.42578125" style="927" customWidth="1"/>
    <col min="5457" max="5458" width="9.140625" style="927" customWidth="1"/>
    <col min="5459" max="5459" width="10.5703125" style="927" customWidth="1"/>
    <col min="5460" max="5460" width="9.140625" style="927" customWidth="1"/>
    <col min="5461" max="5461" width="4" style="927" customWidth="1"/>
    <col min="5462" max="5462" width="9.42578125" style="927" customWidth="1"/>
    <col min="5463" max="5464" width="9.140625" style="927" customWidth="1"/>
    <col min="5465" max="5465" width="10.5703125" style="927" customWidth="1"/>
    <col min="5466" max="5466" width="9.140625" style="927" customWidth="1"/>
    <col min="5467" max="5467" width="4" style="927" customWidth="1"/>
    <col min="5468" max="5468" width="9.42578125" style="927" customWidth="1"/>
    <col min="5469" max="5470" width="9.140625" style="927" customWidth="1"/>
    <col min="5471" max="5471" width="10.5703125" style="927" customWidth="1"/>
    <col min="5472" max="5472" width="9.140625" style="927" customWidth="1"/>
    <col min="5473" max="5473" width="4" style="927" customWidth="1"/>
    <col min="5474" max="5474" width="9.42578125" style="927" customWidth="1"/>
    <col min="5475" max="5476" width="9.140625" style="927" customWidth="1"/>
    <col min="5477" max="5477" width="10.5703125" style="927" customWidth="1"/>
    <col min="5478" max="5478" width="9.140625" style="927" customWidth="1"/>
    <col min="5479" max="5479" width="4" style="927" customWidth="1"/>
    <col min="5480" max="5480" width="12.42578125" style="927" customWidth="1"/>
    <col min="5481" max="5482" width="9.140625" style="927" customWidth="1"/>
    <col min="5483" max="5483" width="10.5703125" style="927" customWidth="1"/>
    <col min="5484" max="5484" width="9.140625" style="927" customWidth="1"/>
    <col min="5485" max="5485" width="4" style="927" customWidth="1"/>
    <col min="5486" max="5486" width="12.42578125" style="927" customWidth="1"/>
    <col min="5487" max="5488" width="9.140625" style="927" customWidth="1"/>
    <col min="5489" max="5489" width="10.5703125" style="927" customWidth="1"/>
    <col min="5490" max="5490" width="9.140625" style="927" customWidth="1"/>
    <col min="5491" max="5491" width="4" style="927" customWidth="1"/>
    <col min="5492" max="5492" width="12.42578125" style="927" customWidth="1"/>
    <col min="5493" max="5494" width="9.140625" style="927" customWidth="1"/>
    <col min="5495" max="5495" width="10.5703125" style="927" customWidth="1"/>
    <col min="5496" max="5496" width="9.140625" style="927" customWidth="1"/>
    <col min="5497" max="5497" width="4" style="927" customWidth="1"/>
    <col min="5498" max="5498" width="12.42578125" style="927" customWidth="1"/>
    <col min="5499" max="5500" width="9.140625" style="927" customWidth="1"/>
    <col min="5501" max="5501" width="10.5703125" style="927" customWidth="1"/>
    <col min="5502" max="5502" width="9.140625" style="927" customWidth="1"/>
    <col min="5503" max="5503" width="4" style="927" customWidth="1"/>
    <col min="5504" max="5504" width="12.42578125" style="927" customWidth="1"/>
    <col min="5505" max="5506" width="9.140625" style="927" customWidth="1"/>
    <col min="5507" max="5507" width="10.5703125" style="927" customWidth="1"/>
    <col min="5508" max="5632" width="9.140625" style="927"/>
    <col min="5633" max="5633" width="2.7109375" style="927" customWidth="1"/>
    <col min="5634" max="5634" width="9.140625" style="927" customWidth="1"/>
    <col min="5635" max="5635" width="9.42578125" style="927" customWidth="1"/>
    <col min="5636" max="5636" width="0" style="927" hidden="1" customWidth="1"/>
    <col min="5637" max="5637" width="9.140625" style="927" customWidth="1"/>
    <col min="5638" max="5638" width="2.42578125" style="927" customWidth="1"/>
    <col min="5639" max="5639" width="9.140625" style="927" customWidth="1"/>
    <col min="5640" max="5640" width="9.42578125" style="927" customWidth="1"/>
    <col min="5641" max="5641" width="0" style="927" hidden="1" customWidth="1"/>
    <col min="5642" max="5642" width="9.140625" style="927" customWidth="1"/>
    <col min="5643" max="5643" width="2.28515625" style="927" customWidth="1"/>
    <col min="5644" max="5644" width="9.140625" style="927" customWidth="1"/>
    <col min="5645" max="5645" width="9.42578125" style="927" customWidth="1"/>
    <col min="5646" max="5646" width="0" style="927" hidden="1" customWidth="1"/>
    <col min="5647" max="5647" width="9.140625" style="927" customWidth="1"/>
    <col min="5648" max="5648" width="2.5703125" style="927" customWidth="1"/>
    <col min="5649" max="5649" width="9.140625" style="927" customWidth="1"/>
    <col min="5650" max="5650" width="9.5703125" style="927" customWidth="1"/>
    <col min="5651" max="5651" width="0" style="927" hidden="1" customWidth="1"/>
    <col min="5652" max="5652" width="9.140625" style="927" customWidth="1"/>
    <col min="5653" max="5653" width="2.7109375" style="927" customWidth="1"/>
    <col min="5654" max="5655" width="9.140625" style="927" customWidth="1"/>
    <col min="5656" max="5656" width="3.140625" style="927" customWidth="1"/>
    <col min="5657" max="5657" width="4" style="927" customWidth="1"/>
    <col min="5658" max="5658" width="9.42578125" style="927" customWidth="1"/>
    <col min="5659" max="5660" width="9.140625" style="927" customWidth="1"/>
    <col min="5661" max="5661" width="10.5703125" style="927" customWidth="1"/>
    <col min="5662" max="5662" width="9.140625" style="927" customWidth="1"/>
    <col min="5663" max="5663" width="4" style="927" customWidth="1"/>
    <col min="5664" max="5664" width="9.42578125" style="927" customWidth="1"/>
    <col min="5665" max="5666" width="9.140625" style="927" customWidth="1"/>
    <col min="5667" max="5667" width="10.5703125" style="927" customWidth="1"/>
    <col min="5668" max="5668" width="9.140625" style="927" customWidth="1"/>
    <col min="5669" max="5669" width="4" style="927" customWidth="1"/>
    <col min="5670" max="5670" width="9.42578125" style="927" customWidth="1"/>
    <col min="5671" max="5672" width="9.140625" style="927" customWidth="1"/>
    <col min="5673" max="5673" width="10.5703125" style="927" customWidth="1"/>
    <col min="5674" max="5674" width="9.140625" style="927" customWidth="1"/>
    <col min="5675" max="5675" width="4" style="927" customWidth="1"/>
    <col min="5676" max="5676" width="9.42578125" style="927" customWidth="1"/>
    <col min="5677" max="5678" width="9.140625" style="927" customWidth="1"/>
    <col min="5679" max="5679" width="10.5703125" style="927" customWidth="1"/>
    <col min="5680" max="5680" width="9.140625" style="927" customWidth="1"/>
    <col min="5681" max="5681" width="4" style="927" customWidth="1"/>
    <col min="5682" max="5682" width="9.42578125" style="927" customWidth="1"/>
    <col min="5683" max="5684" width="9.140625" style="927" customWidth="1"/>
    <col min="5685" max="5685" width="10.5703125" style="927" customWidth="1"/>
    <col min="5686" max="5686" width="9.140625" style="927" customWidth="1"/>
    <col min="5687" max="5687" width="4" style="927" customWidth="1"/>
    <col min="5688" max="5688" width="9.42578125" style="927" customWidth="1"/>
    <col min="5689" max="5690" width="9.140625" style="927" customWidth="1"/>
    <col min="5691" max="5691" width="10.5703125" style="927" customWidth="1"/>
    <col min="5692" max="5692" width="9.140625" style="927" customWidth="1"/>
    <col min="5693" max="5693" width="4" style="927" customWidth="1"/>
    <col min="5694" max="5694" width="9.42578125" style="927" customWidth="1"/>
    <col min="5695" max="5696" width="9.140625" style="927" customWidth="1"/>
    <col min="5697" max="5697" width="10.5703125" style="927" customWidth="1"/>
    <col min="5698" max="5698" width="9.140625" style="927" customWidth="1"/>
    <col min="5699" max="5699" width="4" style="927" customWidth="1"/>
    <col min="5700" max="5700" width="9.42578125" style="927" customWidth="1"/>
    <col min="5701" max="5702" width="9.140625" style="927" customWidth="1"/>
    <col min="5703" max="5703" width="10.5703125" style="927" customWidth="1"/>
    <col min="5704" max="5704" width="9.140625" style="927" customWidth="1"/>
    <col min="5705" max="5705" width="4" style="927" customWidth="1"/>
    <col min="5706" max="5706" width="9.42578125" style="927" customWidth="1"/>
    <col min="5707" max="5708" width="9.140625" style="927" customWidth="1"/>
    <col min="5709" max="5709" width="10.5703125" style="927" customWidth="1"/>
    <col min="5710" max="5710" width="9.140625" style="927" customWidth="1"/>
    <col min="5711" max="5711" width="4" style="927" customWidth="1"/>
    <col min="5712" max="5712" width="9.42578125" style="927" customWidth="1"/>
    <col min="5713" max="5714" width="9.140625" style="927" customWidth="1"/>
    <col min="5715" max="5715" width="10.5703125" style="927" customWidth="1"/>
    <col min="5716" max="5716" width="9.140625" style="927" customWidth="1"/>
    <col min="5717" max="5717" width="4" style="927" customWidth="1"/>
    <col min="5718" max="5718" width="9.42578125" style="927" customWidth="1"/>
    <col min="5719" max="5720" width="9.140625" style="927" customWidth="1"/>
    <col min="5721" max="5721" width="10.5703125" style="927" customWidth="1"/>
    <col min="5722" max="5722" width="9.140625" style="927" customWidth="1"/>
    <col min="5723" max="5723" width="4" style="927" customWidth="1"/>
    <col min="5724" max="5724" width="9.42578125" style="927" customWidth="1"/>
    <col min="5725" max="5726" width="9.140625" style="927" customWidth="1"/>
    <col min="5727" max="5727" width="10.5703125" style="927" customWidth="1"/>
    <col min="5728" max="5728" width="9.140625" style="927" customWidth="1"/>
    <col min="5729" max="5729" width="4" style="927" customWidth="1"/>
    <col min="5730" max="5730" width="9.42578125" style="927" customWidth="1"/>
    <col min="5731" max="5732" width="9.140625" style="927" customWidth="1"/>
    <col min="5733" max="5733" width="10.5703125" style="927" customWidth="1"/>
    <col min="5734" max="5734" width="9.140625" style="927" customWidth="1"/>
    <col min="5735" max="5735" width="4" style="927" customWidth="1"/>
    <col min="5736" max="5736" width="12.42578125" style="927" customWidth="1"/>
    <col min="5737" max="5738" width="9.140625" style="927" customWidth="1"/>
    <col min="5739" max="5739" width="10.5703125" style="927" customWidth="1"/>
    <col min="5740" max="5740" width="9.140625" style="927" customWidth="1"/>
    <col min="5741" max="5741" width="4" style="927" customWidth="1"/>
    <col min="5742" max="5742" width="12.42578125" style="927" customWidth="1"/>
    <col min="5743" max="5744" width="9.140625" style="927" customWidth="1"/>
    <col min="5745" max="5745" width="10.5703125" style="927" customWidth="1"/>
    <col min="5746" max="5746" width="9.140625" style="927" customWidth="1"/>
    <col min="5747" max="5747" width="4" style="927" customWidth="1"/>
    <col min="5748" max="5748" width="12.42578125" style="927" customWidth="1"/>
    <col min="5749" max="5750" width="9.140625" style="927" customWidth="1"/>
    <col min="5751" max="5751" width="10.5703125" style="927" customWidth="1"/>
    <col min="5752" max="5752" width="9.140625" style="927" customWidth="1"/>
    <col min="5753" max="5753" width="4" style="927" customWidth="1"/>
    <col min="5754" max="5754" width="12.42578125" style="927" customWidth="1"/>
    <col min="5755" max="5756" width="9.140625" style="927" customWidth="1"/>
    <col min="5757" max="5757" width="10.5703125" style="927" customWidth="1"/>
    <col min="5758" max="5758" width="9.140625" style="927" customWidth="1"/>
    <col min="5759" max="5759" width="4" style="927" customWidth="1"/>
    <col min="5760" max="5760" width="12.42578125" style="927" customWidth="1"/>
    <col min="5761" max="5762" width="9.140625" style="927" customWidth="1"/>
    <col min="5763" max="5763" width="10.5703125" style="927" customWidth="1"/>
    <col min="5764" max="5888" width="9.140625" style="927"/>
    <col min="5889" max="5889" width="2.7109375" style="927" customWidth="1"/>
    <col min="5890" max="5890" width="9.140625" style="927" customWidth="1"/>
    <col min="5891" max="5891" width="9.42578125" style="927" customWidth="1"/>
    <col min="5892" max="5892" width="0" style="927" hidden="1" customWidth="1"/>
    <col min="5893" max="5893" width="9.140625" style="927" customWidth="1"/>
    <col min="5894" max="5894" width="2.42578125" style="927" customWidth="1"/>
    <col min="5895" max="5895" width="9.140625" style="927" customWidth="1"/>
    <col min="5896" max="5896" width="9.42578125" style="927" customWidth="1"/>
    <col min="5897" max="5897" width="0" style="927" hidden="1" customWidth="1"/>
    <col min="5898" max="5898" width="9.140625" style="927" customWidth="1"/>
    <col min="5899" max="5899" width="2.28515625" style="927" customWidth="1"/>
    <col min="5900" max="5900" width="9.140625" style="927" customWidth="1"/>
    <col min="5901" max="5901" width="9.42578125" style="927" customWidth="1"/>
    <col min="5902" max="5902" width="0" style="927" hidden="1" customWidth="1"/>
    <col min="5903" max="5903" width="9.140625" style="927" customWidth="1"/>
    <col min="5904" max="5904" width="2.5703125" style="927" customWidth="1"/>
    <col min="5905" max="5905" width="9.140625" style="927" customWidth="1"/>
    <col min="5906" max="5906" width="9.5703125" style="927" customWidth="1"/>
    <col min="5907" max="5907" width="0" style="927" hidden="1" customWidth="1"/>
    <col min="5908" max="5908" width="9.140625" style="927" customWidth="1"/>
    <col min="5909" max="5909" width="2.7109375" style="927" customWidth="1"/>
    <col min="5910" max="5911" width="9.140625" style="927" customWidth="1"/>
    <col min="5912" max="5912" width="3.140625" style="927" customWidth="1"/>
    <col min="5913" max="5913" width="4" style="927" customWidth="1"/>
    <col min="5914" max="5914" width="9.42578125" style="927" customWidth="1"/>
    <col min="5915" max="5916" width="9.140625" style="927" customWidth="1"/>
    <col min="5917" max="5917" width="10.5703125" style="927" customWidth="1"/>
    <col min="5918" max="5918" width="9.140625" style="927" customWidth="1"/>
    <col min="5919" max="5919" width="4" style="927" customWidth="1"/>
    <col min="5920" max="5920" width="9.42578125" style="927" customWidth="1"/>
    <col min="5921" max="5922" width="9.140625" style="927" customWidth="1"/>
    <col min="5923" max="5923" width="10.5703125" style="927" customWidth="1"/>
    <col min="5924" max="5924" width="9.140625" style="927" customWidth="1"/>
    <col min="5925" max="5925" width="4" style="927" customWidth="1"/>
    <col min="5926" max="5926" width="9.42578125" style="927" customWidth="1"/>
    <col min="5927" max="5928" width="9.140625" style="927" customWidth="1"/>
    <col min="5929" max="5929" width="10.5703125" style="927" customWidth="1"/>
    <col min="5930" max="5930" width="9.140625" style="927" customWidth="1"/>
    <col min="5931" max="5931" width="4" style="927" customWidth="1"/>
    <col min="5932" max="5932" width="9.42578125" style="927" customWidth="1"/>
    <col min="5933" max="5934" width="9.140625" style="927" customWidth="1"/>
    <col min="5935" max="5935" width="10.5703125" style="927" customWidth="1"/>
    <col min="5936" max="5936" width="9.140625" style="927" customWidth="1"/>
    <col min="5937" max="5937" width="4" style="927" customWidth="1"/>
    <col min="5938" max="5938" width="9.42578125" style="927" customWidth="1"/>
    <col min="5939" max="5940" width="9.140625" style="927" customWidth="1"/>
    <col min="5941" max="5941" width="10.5703125" style="927" customWidth="1"/>
    <col min="5942" max="5942" width="9.140625" style="927" customWidth="1"/>
    <col min="5943" max="5943" width="4" style="927" customWidth="1"/>
    <col min="5944" max="5944" width="9.42578125" style="927" customWidth="1"/>
    <col min="5945" max="5946" width="9.140625" style="927" customWidth="1"/>
    <col min="5947" max="5947" width="10.5703125" style="927" customWidth="1"/>
    <col min="5948" max="5948" width="9.140625" style="927" customWidth="1"/>
    <col min="5949" max="5949" width="4" style="927" customWidth="1"/>
    <col min="5950" max="5950" width="9.42578125" style="927" customWidth="1"/>
    <col min="5951" max="5952" width="9.140625" style="927" customWidth="1"/>
    <col min="5953" max="5953" width="10.5703125" style="927" customWidth="1"/>
    <col min="5954" max="5954" width="9.140625" style="927" customWidth="1"/>
    <col min="5955" max="5955" width="4" style="927" customWidth="1"/>
    <col min="5956" max="5956" width="9.42578125" style="927" customWidth="1"/>
    <col min="5957" max="5958" width="9.140625" style="927" customWidth="1"/>
    <col min="5959" max="5959" width="10.5703125" style="927" customWidth="1"/>
    <col min="5960" max="5960" width="9.140625" style="927" customWidth="1"/>
    <col min="5961" max="5961" width="4" style="927" customWidth="1"/>
    <col min="5962" max="5962" width="9.42578125" style="927" customWidth="1"/>
    <col min="5963" max="5964" width="9.140625" style="927" customWidth="1"/>
    <col min="5965" max="5965" width="10.5703125" style="927" customWidth="1"/>
    <col min="5966" max="5966" width="9.140625" style="927" customWidth="1"/>
    <col min="5967" max="5967" width="4" style="927" customWidth="1"/>
    <col min="5968" max="5968" width="9.42578125" style="927" customWidth="1"/>
    <col min="5969" max="5970" width="9.140625" style="927" customWidth="1"/>
    <col min="5971" max="5971" width="10.5703125" style="927" customWidth="1"/>
    <col min="5972" max="5972" width="9.140625" style="927" customWidth="1"/>
    <col min="5973" max="5973" width="4" style="927" customWidth="1"/>
    <col min="5974" max="5974" width="9.42578125" style="927" customWidth="1"/>
    <col min="5975" max="5976" width="9.140625" style="927" customWidth="1"/>
    <col min="5977" max="5977" width="10.5703125" style="927" customWidth="1"/>
    <col min="5978" max="5978" width="9.140625" style="927" customWidth="1"/>
    <col min="5979" max="5979" width="4" style="927" customWidth="1"/>
    <col min="5980" max="5980" width="9.42578125" style="927" customWidth="1"/>
    <col min="5981" max="5982" width="9.140625" style="927" customWidth="1"/>
    <col min="5983" max="5983" width="10.5703125" style="927" customWidth="1"/>
    <col min="5984" max="5984" width="9.140625" style="927" customWidth="1"/>
    <col min="5985" max="5985" width="4" style="927" customWidth="1"/>
    <col min="5986" max="5986" width="9.42578125" style="927" customWidth="1"/>
    <col min="5987" max="5988" width="9.140625" style="927" customWidth="1"/>
    <col min="5989" max="5989" width="10.5703125" style="927" customWidth="1"/>
    <col min="5990" max="5990" width="9.140625" style="927" customWidth="1"/>
    <col min="5991" max="5991" width="4" style="927" customWidth="1"/>
    <col min="5992" max="5992" width="12.42578125" style="927" customWidth="1"/>
    <col min="5993" max="5994" width="9.140625" style="927" customWidth="1"/>
    <col min="5995" max="5995" width="10.5703125" style="927" customWidth="1"/>
    <col min="5996" max="5996" width="9.140625" style="927" customWidth="1"/>
    <col min="5997" max="5997" width="4" style="927" customWidth="1"/>
    <col min="5998" max="5998" width="12.42578125" style="927" customWidth="1"/>
    <col min="5999" max="6000" width="9.140625" style="927" customWidth="1"/>
    <col min="6001" max="6001" width="10.5703125" style="927" customWidth="1"/>
    <col min="6002" max="6002" width="9.140625" style="927" customWidth="1"/>
    <col min="6003" max="6003" width="4" style="927" customWidth="1"/>
    <col min="6004" max="6004" width="12.42578125" style="927" customWidth="1"/>
    <col min="6005" max="6006" width="9.140625" style="927" customWidth="1"/>
    <col min="6007" max="6007" width="10.5703125" style="927" customWidth="1"/>
    <col min="6008" max="6008" width="9.140625" style="927" customWidth="1"/>
    <col min="6009" max="6009" width="4" style="927" customWidth="1"/>
    <col min="6010" max="6010" width="12.42578125" style="927" customWidth="1"/>
    <col min="6011" max="6012" width="9.140625" style="927" customWidth="1"/>
    <col min="6013" max="6013" width="10.5703125" style="927" customWidth="1"/>
    <col min="6014" max="6014" width="9.140625" style="927" customWidth="1"/>
    <col min="6015" max="6015" width="4" style="927" customWidth="1"/>
    <col min="6016" max="6016" width="12.42578125" style="927" customWidth="1"/>
    <col min="6017" max="6018" width="9.140625" style="927" customWidth="1"/>
    <col min="6019" max="6019" width="10.5703125" style="927" customWidth="1"/>
    <col min="6020" max="6144" width="9.140625" style="927"/>
    <col min="6145" max="6145" width="2.7109375" style="927" customWidth="1"/>
    <col min="6146" max="6146" width="9.140625" style="927" customWidth="1"/>
    <col min="6147" max="6147" width="9.42578125" style="927" customWidth="1"/>
    <col min="6148" max="6148" width="0" style="927" hidden="1" customWidth="1"/>
    <col min="6149" max="6149" width="9.140625" style="927" customWidth="1"/>
    <col min="6150" max="6150" width="2.42578125" style="927" customWidth="1"/>
    <col min="6151" max="6151" width="9.140625" style="927" customWidth="1"/>
    <col min="6152" max="6152" width="9.42578125" style="927" customWidth="1"/>
    <col min="6153" max="6153" width="0" style="927" hidden="1" customWidth="1"/>
    <col min="6154" max="6154" width="9.140625" style="927" customWidth="1"/>
    <col min="6155" max="6155" width="2.28515625" style="927" customWidth="1"/>
    <col min="6156" max="6156" width="9.140625" style="927" customWidth="1"/>
    <col min="6157" max="6157" width="9.42578125" style="927" customWidth="1"/>
    <col min="6158" max="6158" width="0" style="927" hidden="1" customWidth="1"/>
    <col min="6159" max="6159" width="9.140625" style="927" customWidth="1"/>
    <col min="6160" max="6160" width="2.5703125" style="927" customWidth="1"/>
    <col min="6161" max="6161" width="9.140625" style="927" customWidth="1"/>
    <col min="6162" max="6162" width="9.5703125" style="927" customWidth="1"/>
    <col min="6163" max="6163" width="0" style="927" hidden="1" customWidth="1"/>
    <col min="6164" max="6164" width="9.140625" style="927" customWidth="1"/>
    <col min="6165" max="6165" width="2.7109375" style="927" customWidth="1"/>
    <col min="6166" max="6167" width="9.140625" style="927" customWidth="1"/>
    <col min="6168" max="6168" width="3.140625" style="927" customWidth="1"/>
    <col min="6169" max="6169" width="4" style="927" customWidth="1"/>
    <col min="6170" max="6170" width="9.42578125" style="927" customWidth="1"/>
    <col min="6171" max="6172" width="9.140625" style="927" customWidth="1"/>
    <col min="6173" max="6173" width="10.5703125" style="927" customWidth="1"/>
    <col min="6174" max="6174" width="9.140625" style="927" customWidth="1"/>
    <col min="6175" max="6175" width="4" style="927" customWidth="1"/>
    <col min="6176" max="6176" width="9.42578125" style="927" customWidth="1"/>
    <col min="6177" max="6178" width="9.140625" style="927" customWidth="1"/>
    <col min="6179" max="6179" width="10.5703125" style="927" customWidth="1"/>
    <col min="6180" max="6180" width="9.140625" style="927" customWidth="1"/>
    <col min="6181" max="6181" width="4" style="927" customWidth="1"/>
    <col min="6182" max="6182" width="9.42578125" style="927" customWidth="1"/>
    <col min="6183" max="6184" width="9.140625" style="927" customWidth="1"/>
    <col min="6185" max="6185" width="10.5703125" style="927" customWidth="1"/>
    <col min="6186" max="6186" width="9.140625" style="927" customWidth="1"/>
    <col min="6187" max="6187" width="4" style="927" customWidth="1"/>
    <col min="6188" max="6188" width="9.42578125" style="927" customWidth="1"/>
    <col min="6189" max="6190" width="9.140625" style="927" customWidth="1"/>
    <col min="6191" max="6191" width="10.5703125" style="927" customWidth="1"/>
    <col min="6192" max="6192" width="9.140625" style="927" customWidth="1"/>
    <col min="6193" max="6193" width="4" style="927" customWidth="1"/>
    <col min="6194" max="6194" width="9.42578125" style="927" customWidth="1"/>
    <col min="6195" max="6196" width="9.140625" style="927" customWidth="1"/>
    <col min="6197" max="6197" width="10.5703125" style="927" customWidth="1"/>
    <col min="6198" max="6198" width="9.140625" style="927" customWidth="1"/>
    <col min="6199" max="6199" width="4" style="927" customWidth="1"/>
    <col min="6200" max="6200" width="9.42578125" style="927" customWidth="1"/>
    <col min="6201" max="6202" width="9.140625" style="927" customWidth="1"/>
    <col min="6203" max="6203" width="10.5703125" style="927" customWidth="1"/>
    <col min="6204" max="6204" width="9.140625" style="927" customWidth="1"/>
    <col min="6205" max="6205" width="4" style="927" customWidth="1"/>
    <col min="6206" max="6206" width="9.42578125" style="927" customWidth="1"/>
    <col min="6207" max="6208" width="9.140625" style="927" customWidth="1"/>
    <col min="6209" max="6209" width="10.5703125" style="927" customWidth="1"/>
    <col min="6210" max="6210" width="9.140625" style="927" customWidth="1"/>
    <col min="6211" max="6211" width="4" style="927" customWidth="1"/>
    <col min="6212" max="6212" width="9.42578125" style="927" customWidth="1"/>
    <col min="6213" max="6214" width="9.140625" style="927" customWidth="1"/>
    <col min="6215" max="6215" width="10.5703125" style="927" customWidth="1"/>
    <col min="6216" max="6216" width="9.140625" style="927" customWidth="1"/>
    <col min="6217" max="6217" width="4" style="927" customWidth="1"/>
    <col min="6218" max="6218" width="9.42578125" style="927" customWidth="1"/>
    <col min="6219" max="6220" width="9.140625" style="927" customWidth="1"/>
    <col min="6221" max="6221" width="10.5703125" style="927" customWidth="1"/>
    <col min="6222" max="6222" width="9.140625" style="927" customWidth="1"/>
    <col min="6223" max="6223" width="4" style="927" customWidth="1"/>
    <col min="6224" max="6224" width="9.42578125" style="927" customWidth="1"/>
    <col min="6225" max="6226" width="9.140625" style="927" customWidth="1"/>
    <col min="6227" max="6227" width="10.5703125" style="927" customWidth="1"/>
    <col min="6228" max="6228" width="9.140625" style="927" customWidth="1"/>
    <col min="6229" max="6229" width="4" style="927" customWidth="1"/>
    <col min="6230" max="6230" width="9.42578125" style="927" customWidth="1"/>
    <col min="6231" max="6232" width="9.140625" style="927" customWidth="1"/>
    <col min="6233" max="6233" width="10.5703125" style="927" customWidth="1"/>
    <col min="6234" max="6234" width="9.140625" style="927" customWidth="1"/>
    <col min="6235" max="6235" width="4" style="927" customWidth="1"/>
    <col min="6236" max="6236" width="9.42578125" style="927" customWidth="1"/>
    <col min="6237" max="6238" width="9.140625" style="927" customWidth="1"/>
    <col min="6239" max="6239" width="10.5703125" style="927" customWidth="1"/>
    <col min="6240" max="6240" width="9.140625" style="927" customWidth="1"/>
    <col min="6241" max="6241" width="4" style="927" customWidth="1"/>
    <col min="6242" max="6242" width="9.42578125" style="927" customWidth="1"/>
    <col min="6243" max="6244" width="9.140625" style="927" customWidth="1"/>
    <col min="6245" max="6245" width="10.5703125" style="927" customWidth="1"/>
    <col min="6246" max="6246" width="9.140625" style="927" customWidth="1"/>
    <col min="6247" max="6247" width="4" style="927" customWidth="1"/>
    <col min="6248" max="6248" width="12.42578125" style="927" customWidth="1"/>
    <col min="6249" max="6250" width="9.140625" style="927" customWidth="1"/>
    <col min="6251" max="6251" width="10.5703125" style="927" customWidth="1"/>
    <col min="6252" max="6252" width="9.140625" style="927" customWidth="1"/>
    <col min="6253" max="6253" width="4" style="927" customWidth="1"/>
    <col min="6254" max="6254" width="12.42578125" style="927" customWidth="1"/>
    <col min="6255" max="6256" width="9.140625" style="927" customWidth="1"/>
    <col min="6257" max="6257" width="10.5703125" style="927" customWidth="1"/>
    <col min="6258" max="6258" width="9.140625" style="927" customWidth="1"/>
    <col min="6259" max="6259" width="4" style="927" customWidth="1"/>
    <col min="6260" max="6260" width="12.42578125" style="927" customWidth="1"/>
    <col min="6261" max="6262" width="9.140625" style="927" customWidth="1"/>
    <col min="6263" max="6263" width="10.5703125" style="927" customWidth="1"/>
    <col min="6264" max="6264" width="9.140625" style="927" customWidth="1"/>
    <col min="6265" max="6265" width="4" style="927" customWidth="1"/>
    <col min="6266" max="6266" width="12.42578125" style="927" customWidth="1"/>
    <col min="6267" max="6268" width="9.140625" style="927" customWidth="1"/>
    <col min="6269" max="6269" width="10.5703125" style="927" customWidth="1"/>
    <col min="6270" max="6270" width="9.140625" style="927" customWidth="1"/>
    <col min="6271" max="6271" width="4" style="927" customWidth="1"/>
    <col min="6272" max="6272" width="12.42578125" style="927" customWidth="1"/>
    <col min="6273" max="6274" width="9.140625" style="927" customWidth="1"/>
    <col min="6275" max="6275" width="10.5703125" style="927" customWidth="1"/>
    <col min="6276" max="6400" width="9.140625" style="927"/>
    <col min="6401" max="6401" width="2.7109375" style="927" customWidth="1"/>
    <col min="6402" max="6402" width="9.140625" style="927" customWidth="1"/>
    <col min="6403" max="6403" width="9.42578125" style="927" customWidth="1"/>
    <col min="6404" max="6404" width="0" style="927" hidden="1" customWidth="1"/>
    <col min="6405" max="6405" width="9.140625" style="927" customWidth="1"/>
    <col min="6406" max="6406" width="2.42578125" style="927" customWidth="1"/>
    <col min="6407" max="6407" width="9.140625" style="927" customWidth="1"/>
    <col min="6408" max="6408" width="9.42578125" style="927" customWidth="1"/>
    <col min="6409" max="6409" width="0" style="927" hidden="1" customWidth="1"/>
    <col min="6410" max="6410" width="9.140625" style="927" customWidth="1"/>
    <col min="6411" max="6411" width="2.28515625" style="927" customWidth="1"/>
    <col min="6412" max="6412" width="9.140625" style="927" customWidth="1"/>
    <col min="6413" max="6413" width="9.42578125" style="927" customWidth="1"/>
    <col min="6414" max="6414" width="0" style="927" hidden="1" customWidth="1"/>
    <col min="6415" max="6415" width="9.140625" style="927" customWidth="1"/>
    <col min="6416" max="6416" width="2.5703125" style="927" customWidth="1"/>
    <col min="6417" max="6417" width="9.140625" style="927" customWidth="1"/>
    <col min="6418" max="6418" width="9.5703125" style="927" customWidth="1"/>
    <col min="6419" max="6419" width="0" style="927" hidden="1" customWidth="1"/>
    <col min="6420" max="6420" width="9.140625" style="927" customWidth="1"/>
    <col min="6421" max="6421" width="2.7109375" style="927" customWidth="1"/>
    <col min="6422" max="6423" width="9.140625" style="927" customWidth="1"/>
    <col min="6424" max="6424" width="3.140625" style="927" customWidth="1"/>
    <col min="6425" max="6425" width="4" style="927" customWidth="1"/>
    <col min="6426" max="6426" width="9.42578125" style="927" customWidth="1"/>
    <col min="6427" max="6428" width="9.140625" style="927" customWidth="1"/>
    <col min="6429" max="6429" width="10.5703125" style="927" customWidth="1"/>
    <col min="6430" max="6430" width="9.140625" style="927" customWidth="1"/>
    <col min="6431" max="6431" width="4" style="927" customWidth="1"/>
    <col min="6432" max="6432" width="9.42578125" style="927" customWidth="1"/>
    <col min="6433" max="6434" width="9.140625" style="927" customWidth="1"/>
    <col min="6435" max="6435" width="10.5703125" style="927" customWidth="1"/>
    <col min="6436" max="6436" width="9.140625" style="927" customWidth="1"/>
    <col min="6437" max="6437" width="4" style="927" customWidth="1"/>
    <col min="6438" max="6438" width="9.42578125" style="927" customWidth="1"/>
    <col min="6439" max="6440" width="9.140625" style="927" customWidth="1"/>
    <col min="6441" max="6441" width="10.5703125" style="927" customWidth="1"/>
    <col min="6442" max="6442" width="9.140625" style="927" customWidth="1"/>
    <col min="6443" max="6443" width="4" style="927" customWidth="1"/>
    <col min="6444" max="6444" width="9.42578125" style="927" customWidth="1"/>
    <col min="6445" max="6446" width="9.140625" style="927" customWidth="1"/>
    <col min="6447" max="6447" width="10.5703125" style="927" customWidth="1"/>
    <col min="6448" max="6448" width="9.140625" style="927" customWidth="1"/>
    <col min="6449" max="6449" width="4" style="927" customWidth="1"/>
    <col min="6450" max="6450" width="9.42578125" style="927" customWidth="1"/>
    <col min="6451" max="6452" width="9.140625" style="927" customWidth="1"/>
    <col min="6453" max="6453" width="10.5703125" style="927" customWidth="1"/>
    <col min="6454" max="6454" width="9.140625" style="927" customWidth="1"/>
    <col min="6455" max="6455" width="4" style="927" customWidth="1"/>
    <col min="6456" max="6456" width="9.42578125" style="927" customWidth="1"/>
    <col min="6457" max="6458" width="9.140625" style="927" customWidth="1"/>
    <col min="6459" max="6459" width="10.5703125" style="927" customWidth="1"/>
    <col min="6460" max="6460" width="9.140625" style="927" customWidth="1"/>
    <col min="6461" max="6461" width="4" style="927" customWidth="1"/>
    <col min="6462" max="6462" width="9.42578125" style="927" customWidth="1"/>
    <col min="6463" max="6464" width="9.140625" style="927" customWidth="1"/>
    <col min="6465" max="6465" width="10.5703125" style="927" customWidth="1"/>
    <col min="6466" max="6466" width="9.140625" style="927" customWidth="1"/>
    <col min="6467" max="6467" width="4" style="927" customWidth="1"/>
    <col min="6468" max="6468" width="9.42578125" style="927" customWidth="1"/>
    <col min="6469" max="6470" width="9.140625" style="927" customWidth="1"/>
    <col min="6471" max="6471" width="10.5703125" style="927" customWidth="1"/>
    <col min="6472" max="6472" width="9.140625" style="927" customWidth="1"/>
    <col min="6473" max="6473" width="4" style="927" customWidth="1"/>
    <col min="6474" max="6474" width="9.42578125" style="927" customWidth="1"/>
    <col min="6475" max="6476" width="9.140625" style="927" customWidth="1"/>
    <col min="6477" max="6477" width="10.5703125" style="927" customWidth="1"/>
    <col min="6478" max="6478" width="9.140625" style="927" customWidth="1"/>
    <col min="6479" max="6479" width="4" style="927" customWidth="1"/>
    <col min="6480" max="6480" width="9.42578125" style="927" customWidth="1"/>
    <col min="6481" max="6482" width="9.140625" style="927" customWidth="1"/>
    <col min="6483" max="6483" width="10.5703125" style="927" customWidth="1"/>
    <col min="6484" max="6484" width="9.140625" style="927" customWidth="1"/>
    <col min="6485" max="6485" width="4" style="927" customWidth="1"/>
    <col min="6486" max="6486" width="9.42578125" style="927" customWidth="1"/>
    <col min="6487" max="6488" width="9.140625" style="927" customWidth="1"/>
    <col min="6489" max="6489" width="10.5703125" style="927" customWidth="1"/>
    <col min="6490" max="6490" width="9.140625" style="927" customWidth="1"/>
    <col min="6491" max="6491" width="4" style="927" customWidth="1"/>
    <col min="6492" max="6492" width="9.42578125" style="927" customWidth="1"/>
    <col min="6493" max="6494" width="9.140625" style="927" customWidth="1"/>
    <col min="6495" max="6495" width="10.5703125" style="927" customWidth="1"/>
    <col min="6496" max="6496" width="9.140625" style="927" customWidth="1"/>
    <col min="6497" max="6497" width="4" style="927" customWidth="1"/>
    <col min="6498" max="6498" width="9.42578125" style="927" customWidth="1"/>
    <col min="6499" max="6500" width="9.140625" style="927" customWidth="1"/>
    <col min="6501" max="6501" width="10.5703125" style="927" customWidth="1"/>
    <col min="6502" max="6502" width="9.140625" style="927" customWidth="1"/>
    <col min="6503" max="6503" width="4" style="927" customWidth="1"/>
    <col min="6504" max="6504" width="12.42578125" style="927" customWidth="1"/>
    <col min="6505" max="6506" width="9.140625" style="927" customWidth="1"/>
    <col min="6507" max="6507" width="10.5703125" style="927" customWidth="1"/>
    <col min="6508" max="6508" width="9.140625" style="927" customWidth="1"/>
    <col min="6509" max="6509" width="4" style="927" customWidth="1"/>
    <col min="6510" max="6510" width="12.42578125" style="927" customWidth="1"/>
    <col min="6511" max="6512" width="9.140625" style="927" customWidth="1"/>
    <col min="6513" max="6513" width="10.5703125" style="927" customWidth="1"/>
    <col min="6514" max="6514" width="9.140625" style="927" customWidth="1"/>
    <col min="6515" max="6515" width="4" style="927" customWidth="1"/>
    <col min="6516" max="6516" width="12.42578125" style="927" customWidth="1"/>
    <col min="6517" max="6518" width="9.140625" style="927" customWidth="1"/>
    <col min="6519" max="6519" width="10.5703125" style="927" customWidth="1"/>
    <col min="6520" max="6520" width="9.140625" style="927" customWidth="1"/>
    <col min="6521" max="6521" width="4" style="927" customWidth="1"/>
    <col min="6522" max="6522" width="12.42578125" style="927" customWidth="1"/>
    <col min="6523" max="6524" width="9.140625" style="927" customWidth="1"/>
    <col min="6525" max="6525" width="10.5703125" style="927" customWidth="1"/>
    <col min="6526" max="6526" width="9.140625" style="927" customWidth="1"/>
    <col min="6527" max="6527" width="4" style="927" customWidth="1"/>
    <col min="6528" max="6528" width="12.42578125" style="927" customWidth="1"/>
    <col min="6529" max="6530" width="9.140625" style="927" customWidth="1"/>
    <col min="6531" max="6531" width="10.5703125" style="927" customWidth="1"/>
    <col min="6532" max="6656" width="9.140625" style="927"/>
    <col min="6657" max="6657" width="2.7109375" style="927" customWidth="1"/>
    <col min="6658" max="6658" width="9.140625" style="927" customWidth="1"/>
    <col min="6659" max="6659" width="9.42578125" style="927" customWidth="1"/>
    <col min="6660" max="6660" width="0" style="927" hidden="1" customWidth="1"/>
    <col min="6661" max="6661" width="9.140625" style="927" customWidth="1"/>
    <col min="6662" max="6662" width="2.42578125" style="927" customWidth="1"/>
    <col min="6663" max="6663" width="9.140625" style="927" customWidth="1"/>
    <col min="6664" max="6664" width="9.42578125" style="927" customWidth="1"/>
    <col min="6665" max="6665" width="0" style="927" hidden="1" customWidth="1"/>
    <col min="6666" max="6666" width="9.140625" style="927" customWidth="1"/>
    <col min="6667" max="6667" width="2.28515625" style="927" customWidth="1"/>
    <col min="6668" max="6668" width="9.140625" style="927" customWidth="1"/>
    <col min="6669" max="6669" width="9.42578125" style="927" customWidth="1"/>
    <col min="6670" max="6670" width="0" style="927" hidden="1" customWidth="1"/>
    <col min="6671" max="6671" width="9.140625" style="927" customWidth="1"/>
    <col min="6672" max="6672" width="2.5703125" style="927" customWidth="1"/>
    <col min="6673" max="6673" width="9.140625" style="927" customWidth="1"/>
    <col min="6674" max="6674" width="9.5703125" style="927" customWidth="1"/>
    <col min="6675" max="6675" width="0" style="927" hidden="1" customWidth="1"/>
    <col min="6676" max="6676" width="9.140625" style="927" customWidth="1"/>
    <col min="6677" max="6677" width="2.7109375" style="927" customWidth="1"/>
    <col min="6678" max="6679" width="9.140625" style="927" customWidth="1"/>
    <col min="6680" max="6680" width="3.140625" style="927" customWidth="1"/>
    <col min="6681" max="6681" width="4" style="927" customWidth="1"/>
    <col min="6682" max="6682" width="9.42578125" style="927" customWidth="1"/>
    <col min="6683" max="6684" width="9.140625" style="927" customWidth="1"/>
    <col min="6685" max="6685" width="10.5703125" style="927" customWidth="1"/>
    <col min="6686" max="6686" width="9.140625" style="927" customWidth="1"/>
    <col min="6687" max="6687" width="4" style="927" customWidth="1"/>
    <col min="6688" max="6688" width="9.42578125" style="927" customWidth="1"/>
    <col min="6689" max="6690" width="9.140625" style="927" customWidth="1"/>
    <col min="6691" max="6691" width="10.5703125" style="927" customWidth="1"/>
    <col min="6692" max="6692" width="9.140625" style="927" customWidth="1"/>
    <col min="6693" max="6693" width="4" style="927" customWidth="1"/>
    <col min="6694" max="6694" width="9.42578125" style="927" customWidth="1"/>
    <col min="6695" max="6696" width="9.140625" style="927" customWidth="1"/>
    <col min="6697" max="6697" width="10.5703125" style="927" customWidth="1"/>
    <col min="6698" max="6698" width="9.140625" style="927" customWidth="1"/>
    <col min="6699" max="6699" width="4" style="927" customWidth="1"/>
    <col min="6700" max="6700" width="9.42578125" style="927" customWidth="1"/>
    <col min="6701" max="6702" width="9.140625" style="927" customWidth="1"/>
    <col min="6703" max="6703" width="10.5703125" style="927" customWidth="1"/>
    <col min="6704" max="6704" width="9.140625" style="927" customWidth="1"/>
    <col min="6705" max="6705" width="4" style="927" customWidth="1"/>
    <col min="6706" max="6706" width="9.42578125" style="927" customWidth="1"/>
    <col min="6707" max="6708" width="9.140625" style="927" customWidth="1"/>
    <col min="6709" max="6709" width="10.5703125" style="927" customWidth="1"/>
    <col min="6710" max="6710" width="9.140625" style="927" customWidth="1"/>
    <col min="6711" max="6711" width="4" style="927" customWidth="1"/>
    <col min="6712" max="6712" width="9.42578125" style="927" customWidth="1"/>
    <col min="6713" max="6714" width="9.140625" style="927" customWidth="1"/>
    <col min="6715" max="6715" width="10.5703125" style="927" customWidth="1"/>
    <col min="6716" max="6716" width="9.140625" style="927" customWidth="1"/>
    <col min="6717" max="6717" width="4" style="927" customWidth="1"/>
    <col min="6718" max="6718" width="9.42578125" style="927" customWidth="1"/>
    <col min="6719" max="6720" width="9.140625" style="927" customWidth="1"/>
    <col min="6721" max="6721" width="10.5703125" style="927" customWidth="1"/>
    <col min="6722" max="6722" width="9.140625" style="927" customWidth="1"/>
    <col min="6723" max="6723" width="4" style="927" customWidth="1"/>
    <col min="6724" max="6724" width="9.42578125" style="927" customWidth="1"/>
    <col min="6725" max="6726" width="9.140625" style="927" customWidth="1"/>
    <col min="6727" max="6727" width="10.5703125" style="927" customWidth="1"/>
    <col min="6728" max="6728" width="9.140625" style="927" customWidth="1"/>
    <col min="6729" max="6729" width="4" style="927" customWidth="1"/>
    <col min="6730" max="6730" width="9.42578125" style="927" customWidth="1"/>
    <col min="6731" max="6732" width="9.140625" style="927" customWidth="1"/>
    <col min="6733" max="6733" width="10.5703125" style="927" customWidth="1"/>
    <col min="6734" max="6734" width="9.140625" style="927" customWidth="1"/>
    <col min="6735" max="6735" width="4" style="927" customWidth="1"/>
    <col min="6736" max="6736" width="9.42578125" style="927" customWidth="1"/>
    <col min="6737" max="6738" width="9.140625" style="927" customWidth="1"/>
    <col min="6739" max="6739" width="10.5703125" style="927" customWidth="1"/>
    <col min="6740" max="6740" width="9.140625" style="927" customWidth="1"/>
    <col min="6741" max="6741" width="4" style="927" customWidth="1"/>
    <col min="6742" max="6742" width="9.42578125" style="927" customWidth="1"/>
    <col min="6743" max="6744" width="9.140625" style="927" customWidth="1"/>
    <col min="6745" max="6745" width="10.5703125" style="927" customWidth="1"/>
    <col min="6746" max="6746" width="9.140625" style="927" customWidth="1"/>
    <col min="6747" max="6747" width="4" style="927" customWidth="1"/>
    <col min="6748" max="6748" width="9.42578125" style="927" customWidth="1"/>
    <col min="6749" max="6750" width="9.140625" style="927" customWidth="1"/>
    <col min="6751" max="6751" width="10.5703125" style="927" customWidth="1"/>
    <col min="6752" max="6752" width="9.140625" style="927" customWidth="1"/>
    <col min="6753" max="6753" width="4" style="927" customWidth="1"/>
    <col min="6754" max="6754" width="9.42578125" style="927" customWidth="1"/>
    <col min="6755" max="6756" width="9.140625" style="927" customWidth="1"/>
    <col min="6757" max="6757" width="10.5703125" style="927" customWidth="1"/>
    <col min="6758" max="6758" width="9.140625" style="927" customWidth="1"/>
    <col min="6759" max="6759" width="4" style="927" customWidth="1"/>
    <col min="6760" max="6760" width="12.42578125" style="927" customWidth="1"/>
    <col min="6761" max="6762" width="9.140625" style="927" customWidth="1"/>
    <col min="6763" max="6763" width="10.5703125" style="927" customWidth="1"/>
    <col min="6764" max="6764" width="9.140625" style="927" customWidth="1"/>
    <col min="6765" max="6765" width="4" style="927" customWidth="1"/>
    <col min="6766" max="6766" width="12.42578125" style="927" customWidth="1"/>
    <col min="6767" max="6768" width="9.140625" style="927" customWidth="1"/>
    <col min="6769" max="6769" width="10.5703125" style="927" customWidth="1"/>
    <col min="6770" max="6770" width="9.140625" style="927" customWidth="1"/>
    <col min="6771" max="6771" width="4" style="927" customWidth="1"/>
    <col min="6772" max="6772" width="12.42578125" style="927" customWidth="1"/>
    <col min="6773" max="6774" width="9.140625" style="927" customWidth="1"/>
    <col min="6775" max="6775" width="10.5703125" style="927" customWidth="1"/>
    <col min="6776" max="6776" width="9.140625" style="927" customWidth="1"/>
    <col min="6777" max="6777" width="4" style="927" customWidth="1"/>
    <col min="6778" max="6778" width="12.42578125" style="927" customWidth="1"/>
    <col min="6779" max="6780" width="9.140625" style="927" customWidth="1"/>
    <col min="6781" max="6781" width="10.5703125" style="927" customWidth="1"/>
    <col min="6782" max="6782" width="9.140625" style="927" customWidth="1"/>
    <col min="6783" max="6783" width="4" style="927" customWidth="1"/>
    <col min="6784" max="6784" width="12.42578125" style="927" customWidth="1"/>
    <col min="6785" max="6786" width="9.140625" style="927" customWidth="1"/>
    <col min="6787" max="6787" width="10.5703125" style="927" customWidth="1"/>
    <col min="6788" max="6912" width="9.140625" style="927"/>
    <col min="6913" max="6913" width="2.7109375" style="927" customWidth="1"/>
    <col min="6914" max="6914" width="9.140625" style="927" customWidth="1"/>
    <col min="6915" max="6915" width="9.42578125" style="927" customWidth="1"/>
    <col min="6916" max="6916" width="0" style="927" hidden="1" customWidth="1"/>
    <col min="6917" max="6917" width="9.140625" style="927" customWidth="1"/>
    <col min="6918" max="6918" width="2.42578125" style="927" customWidth="1"/>
    <col min="6919" max="6919" width="9.140625" style="927" customWidth="1"/>
    <col min="6920" max="6920" width="9.42578125" style="927" customWidth="1"/>
    <col min="6921" max="6921" width="0" style="927" hidden="1" customWidth="1"/>
    <col min="6922" max="6922" width="9.140625" style="927" customWidth="1"/>
    <col min="6923" max="6923" width="2.28515625" style="927" customWidth="1"/>
    <col min="6924" max="6924" width="9.140625" style="927" customWidth="1"/>
    <col min="6925" max="6925" width="9.42578125" style="927" customWidth="1"/>
    <col min="6926" max="6926" width="0" style="927" hidden="1" customWidth="1"/>
    <col min="6927" max="6927" width="9.140625" style="927" customWidth="1"/>
    <col min="6928" max="6928" width="2.5703125" style="927" customWidth="1"/>
    <col min="6929" max="6929" width="9.140625" style="927" customWidth="1"/>
    <col min="6930" max="6930" width="9.5703125" style="927" customWidth="1"/>
    <col min="6931" max="6931" width="0" style="927" hidden="1" customWidth="1"/>
    <col min="6932" max="6932" width="9.140625" style="927" customWidth="1"/>
    <col min="6933" max="6933" width="2.7109375" style="927" customWidth="1"/>
    <col min="6934" max="6935" width="9.140625" style="927" customWidth="1"/>
    <col min="6936" max="6936" width="3.140625" style="927" customWidth="1"/>
    <col min="6937" max="6937" width="4" style="927" customWidth="1"/>
    <col min="6938" max="6938" width="9.42578125" style="927" customWidth="1"/>
    <col min="6939" max="6940" width="9.140625" style="927" customWidth="1"/>
    <col min="6941" max="6941" width="10.5703125" style="927" customWidth="1"/>
    <col min="6942" max="6942" width="9.140625" style="927" customWidth="1"/>
    <col min="6943" max="6943" width="4" style="927" customWidth="1"/>
    <col min="6944" max="6944" width="9.42578125" style="927" customWidth="1"/>
    <col min="6945" max="6946" width="9.140625" style="927" customWidth="1"/>
    <col min="6947" max="6947" width="10.5703125" style="927" customWidth="1"/>
    <col min="6948" max="6948" width="9.140625" style="927" customWidth="1"/>
    <col min="6949" max="6949" width="4" style="927" customWidth="1"/>
    <col min="6950" max="6950" width="9.42578125" style="927" customWidth="1"/>
    <col min="6951" max="6952" width="9.140625" style="927" customWidth="1"/>
    <col min="6953" max="6953" width="10.5703125" style="927" customWidth="1"/>
    <col min="6954" max="6954" width="9.140625" style="927" customWidth="1"/>
    <col min="6955" max="6955" width="4" style="927" customWidth="1"/>
    <col min="6956" max="6956" width="9.42578125" style="927" customWidth="1"/>
    <col min="6957" max="6958" width="9.140625" style="927" customWidth="1"/>
    <col min="6959" max="6959" width="10.5703125" style="927" customWidth="1"/>
    <col min="6960" max="6960" width="9.140625" style="927" customWidth="1"/>
    <col min="6961" max="6961" width="4" style="927" customWidth="1"/>
    <col min="6962" max="6962" width="9.42578125" style="927" customWidth="1"/>
    <col min="6963" max="6964" width="9.140625" style="927" customWidth="1"/>
    <col min="6965" max="6965" width="10.5703125" style="927" customWidth="1"/>
    <col min="6966" max="6966" width="9.140625" style="927" customWidth="1"/>
    <col min="6967" max="6967" width="4" style="927" customWidth="1"/>
    <col min="6968" max="6968" width="9.42578125" style="927" customWidth="1"/>
    <col min="6969" max="6970" width="9.140625" style="927" customWidth="1"/>
    <col min="6971" max="6971" width="10.5703125" style="927" customWidth="1"/>
    <col min="6972" max="6972" width="9.140625" style="927" customWidth="1"/>
    <col min="6973" max="6973" width="4" style="927" customWidth="1"/>
    <col min="6974" max="6974" width="9.42578125" style="927" customWidth="1"/>
    <col min="6975" max="6976" width="9.140625" style="927" customWidth="1"/>
    <col min="6977" max="6977" width="10.5703125" style="927" customWidth="1"/>
    <col min="6978" max="6978" width="9.140625" style="927" customWidth="1"/>
    <col min="6979" max="6979" width="4" style="927" customWidth="1"/>
    <col min="6980" max="6980" width="9.42578125" style="927" customWidth="1"/>
    <col min="6981" max="6982" width="9.140625" style="927" customWidth="1"/>
    <col min="6983" max="6983" width="10.5703125" style="927" customWidth="1"/>
    <col min="6984" max="6984" width="9.140625" style="927" customWidth="1"/>
    <col min="6985" max="6985" width="4" style="927" customWidth="1"/>
    <col min="6986" max="6986" width="9.42578125" style="927" customWidth="1"/>
    <col min="6987" max="6988" width="9.140625" style="927" customWidth="1"/>
    <col min="6989" max="6989" width="10.5703125" style="927" customWidth="1"/>
    <col min="6990" max="6990" width="9.140625" style="927" customWidth="1"/>
    <col min="6991" max="6991" width="4" style="927" customWidth="1"/>
    <col min="6992" max="6992" width="9.42578125" style="927" customWidth="1"/>
    <col min="6993" max="6994" width="9.140625" style="927" customWidth="1"/>
    <col min="6995" max="6995" width="10.5703125" style="927" customWidth="1"/>
    <col min="6996" max="6996" width="9.140625" style="927" customWidth="1"/>
    <col min="6997" max="6997" width="4" style="927" customWidth="1"/>
    <col min="6998" max="6998" width="9.42578125" style="927" customWidth="1"/>
    <col min="6999" max="7000" width="9.140625" style="927" customWidth="1"/>
    <col min="7001" max="7001" width="10.5703125" style="927" customWidth="1"/>
    <col min="7002" max="7002" width="9.140625" style="927" customWidth="1"/>
    <col min="7003" max="7003" width="4" style="927" customWidth="1"/>
    <col min="7004" max="7004" width="9.42578125" style="927" customWidth="1"/>
    <col min="7005" max="7006" width="9.140625" style="927" customWidth="1"/>
    <col min="7007" max="7007" width="10.5703125" style="927" customWidth="1"/>
    <col min="7008" max="7008" width="9.140625" style="927" customWidth="1"/>
    <col min="7009" max="7009" width="4" style="927" customWidth="1"/>
    <col min="7010" max="7010" width="9.42578125" style="927" customWidth="1"/>
    <col min="7011" max="7012" width="9.140625" style="927" customWidth="1"/>
    <col min="7013" max="7013" width="10.5703125" style="927" customWidth="1"/>
    <col min="7014" max="7014" width="9.140625" style="927" customWidth="1"/>
    <col min="7015" max="7015" width="4" style="927" customWidth="1"/>
    <col min="7016" max="7016" width="12.42578125" style="927" customWidth="1"/>
    <col min="7017" max="7018" width="9.140625" style="927" customWidth="1"/>
    <col min="7019" max="7019" width="10.5703125" style="927" customWidth="1"/>
    <col min="7020" max="7020" width="9.140625" style="927" customWidth="1"/>
    <col min="7021" max="7021" width="4" style="927" customWidth="1"/>
    <col min="7022" max="7022" width="12.42578125" style="927" customWidth="1"/>
    <col min="7023" max="7024" width="9.140625" style="927" customWidth="1"/>
    <col min="7025" max="7025" width="10.5703125" style="927" customWidth="1"/>
    <col min="7026" max="7026" width="9.140625" style="927" customWidth="1"/>
    <col min="7027" max="7027" width="4" style="927" customWidth="1"/>
    <col min="7028" max="7028" width="12.42578125" style="927" customWidth="1"/>
    <col min="7029" max="7030" width="9.140625" style="927" customWidth="1"/>
    <col min="7031" max="7031" width="10.5703125" style="927" customWidth="1"/>
    <col min="7032" max="7032" width="9.140625" style="927" customWidth="1"/>
    <col min="7033" max="7033" width="4" style="927" customWidth="1"/>
    <col min="7034" max="7034" width="12.42578125" style="927" customWidth="1"/>
    <col min="7035" max="7036" width="9.140625" style="927" customWidth="1"/>
    <col min="7037" max="7037" width="10.5703125" style="927" customWidth="1"/>
    <col min="7038" max="7038" width="9.140625" style="927" customWidth="1"/>
    <col min="7039" max="7039" width="4" style="927" customWidth="1"/>
    <col min="7040" max="7040" width="12.42578125" style="927" customWidth="1"/>
    <col min="7041" max="7042" width="9.140625" style="927" customWidth="1"/>
    <col min="7043" max="7043" width="10.5703125" style="927" customWidth="1"/>
    <col min="7044" max="7168" width="9.140625" style="927"/>
    <col min="7169" max="7169" width="2.7109375" style="927" customWidth="1"/>
    <col min="7170" max="7170" width="9.140625" style="927" customWidth="1"/>
    <col min="7171" max="7171" width="9.42578125" style="927" customWidth="1"/>
    <col min="7172" max="7172" width="0" style="927" hidden="1" customWidth="1"/>
    <col min="7173" max="7173" width="9.140625" style="927" customWidth="1"/>
    <col min="7174" max="7174" width="2.42578125" style="927" customWidth="1"/>
    <col min="7175" max="7175" width="9.140625" style="927" customWidth="1"/>
    <col min="7176" max="7176" width="9.42578125" style="927" customWidth="1"/>
    <col min="7177" max="7177" width="0" style="927" hidden="1" customWidth="1"/>
    <col min="7178" max="7178" width="9.140625" style="927" customWidth="1"/>
    <col min="7179" max="7179" width="2.28515625" style="927" customWidth="1"/>
    <col min="7180" max="7180" width="9.140625" style="927" customWidth="1"/>
    <col min="7181" max="7181" width="9.42578125" style="927" customWidth="1"/>
    <col min="7182" max="7182" width="0" style="927" hidden="1" customWidth="1"/>
    <col min="7183" max="7183" width="9.140625" style="927" customWidth="1"/>
    <col min="7184" max="7184" width="2.5703125" style="927" customWidth="1"/>
    <col min="7185" max="7185" width="9.140625" style="927" customWidth="1"/>
    <col min="7186" max="7186" width="9.5703125" style="927" customWidth="1"/>
    <col min="7187" max="7187" width="0" style="927" hidden="1" customWidth="1"/>
    <col min="7188" max="7188" width="9.140625" style="927" customWidth="1"/>
    <col min="7189" max="7189" width="2.7109375" style="927" customWidth="1"/>
    <col min="7190" max="7191" width="9.140625" style="927" customWidth="1"/>
    <col min="7192" max="7192" width="3.140625" style="927" customWidth="1"/>
    <col min="7193" max="7193" width="4" style="927" customWidth="1"/>
    <col min="7194" max="7194" width="9.42578125" style="927" customWidth="1"/>
    <col min="7195" max="7196" width="9.140625" style="927" customWidth="1"/>
    <col min="7197" max="7197" width="10.5703125" style="927" customWidth="1"/>
    <col min="7198" max="7198" width="9.140625" style="927" customWidth="1"/>
    <col min="7199" max="7199" width="4" style="927" customWidth="1"/>
    <col min="7200" max="7200" width="9.42578125" style="927" customWidth="1"/>
    <col min="7201" max="7202" width="9.140625" style="927" customWidth="1"/>
    <col min="7203" max="7203" width="10.5703125" style="927" customWidth="1"/>
    <col min="7204" max="7204" width="9.140625" style="927" customWidth="1"/>
    <col min="7205" max="7205" width="4" style="927" customWidth="1"/>
    <col min="7206" max="7206" width="9.42578125" style="927" customWidth="1"/>
    <col min="7207" max="7208" width="9.140625" style="927" customWidth="1"/>
    <col min="7209" max="7209" width="10.5703125" style="927" customWidth="1"/>
    <col min="7210" max="7210" width="9.140625" style="927" customWidth="1"/>
    <col min="7211" max="7211" width="4" style="927" customWidth="1"/>
    <col min="7212" max="7212" width="9.42578125" style="927" customWidth="1"/>
    <col min="7213" max="7214" width="9.140625" style="927" customWidth="1"/>
    <col min="7215" max="7215" width="10.5703125" style="927" customWidth="1"/>
    <col min="7216" max="7216" width="9.140625" style="927" customWidth="1"/>
    <col min="7217" max="7217" width="4" style="927" customWidth="1"/>
    <col min="7218" max="7218" width="9.42578125" style="927" customWidth="1"/>
    <col min="7219" max="7220" width="9.140625" style="927" customWidth="1"/>
    <col min="7221" max="7221" width="10.5703125" style="927" customWidth="1"/>
    <col min="7222" max="7222" width="9.140625" style="927" customWidth="1"/>
    <col min="7223" max="7223" width="4" style="927" customWidth="1"/>
    <col min="7224" max="7224" width="9.42578125" style="927" customWidth="1"/>
    <col min="7225" max="7226" width="9.140625" style="927" customWidth="1"/>
    <col min="7227" max="7227" width="10.5703125" style="927" customWidth="1"/>
    <col min="7228" max="7228" width="9.140625" style="927" customWidth="1"/>
    <col min="7229" max="7229" width="4" style="927" customWidth="1"/>
    <col min="7230" max="7230" width="9.42578125" style="927" customWidth="1"/>
    <col min="7231" max="7232" width="9.140625" style="927" customWidth="1"/>
    <col min="7233" max="7233" width="10.5703125" style="927" customWidth="1"/>
    <col min="7234" max="7234" width="9.140625" style="927" customWidth="1"/>
    <col min="7235" max="7235" width="4" style="927" customWidth="1"/>
    <col min="7236" max="7236" width="9.42578125" style="927" customWidth="1"/>
    <col min="7237" max="7238" width="9.140625" style="927" customWidth="1"/>
    <col min="7239" max="7239" width="10.5703125" style="927" customWidth="1"/>
    <col min="7240" max="7240" width="9.140625" style="927" customWidth="1"/>
    <col min="7241" max="7241" width="4" style="927" customWidth="1"/>
    <col min="7242" max="7242" width="9.42578125" style="927" customWidth="1"/>
    <col min="7243" max="7244" width="9.140625" style="927" customWidth="1"/>
    <col min="7245" max="7245" width="10.5703125" style="927" customWidth="1"/>
    <col min="7246" max="7246" width="9.140625" style="927" customWidth="1"/>
    <col min="7247" max="7247" width="4" style="927" customWidth="1"/>
    <col min="7248" max="7248" width="9.42578125" style="927" customWidth="1"/>
    <col min="7249" max="7250" width="9.140625" style="927" customWidth="1"/>
    <col min="7251" max="7251" width="10.5703125" style="927" customWidth="1"/>
    <col min="7252" max="7252" width="9.140625" style="927" customWidth="1"/>
    <col min="7253" max="7253" width="4" style="927" customWidth="1"/>
    <col min="7254" max="7254" width="9.42578125" style="927" customWidth="1"/>
    <col min="7255" max="7256" width="9.140625" style="927" customWidth="1"/>
    <col min="7257" max="7257" width="10.5703125" style="927" customWidth="1"/>
    <col min="7258" max="7258" width="9.140625" style="927" customWidth="1"/>
    <col min="7259" max="7259" width="4" style="927" customWidth="1"/>
    <col min="7260" max="7260" width="9.42578125" style="927" customWidth="1"/>
    <col min="7261" max="7262" width="9.140625" style="927" customWidth="1"/>
    <col min="7263" max="7263" width="10.5703125" style="927" customWidth="1"/>
    <col min="7264" max="7264" width="9.140625" style="927" customWidth="1"/>
    <col min="7265" max="7265" width="4" style="927" customWidth="1"/>
    <col min="7266" max="7266" width="9.42578125" style="927" customWidth="1"/>
    <col min="7267" max="7268" width="9.140625" style="927" customWidth="1"/>
    <col min="7269" max="7269" width="10.5703125" style="927" customWidth="1"/>
    <col min="7270" max="7270" width="9.140625" style="927" customWidth="1"/>
    <col min="7271" max="7271" width="4" style="927" customWidth="1"/>
    <col min="7272" max="7272" width="12.42578125" style="927" customWidth="1"/>
    <col min="7273" max="7274" width="9.140625" style="927" customWidth="1"/>
    <col min="7275" max="7275" width="10.5703125" style="927" customWidth="1"/>
    <col min="7276" max="7276" width="9.140625" style="927" customWidth="1"/>
    <col min="7277" max="7277" width="4" style="927" customWidth="1"/>
    <col min="7278" max="7278" width="12.42578125" style="927" customWidth="1"/>
    <col min="7279" max="7280" width="9.140625" style="927" customWidth="1"/>
    <col min="7281" max="7281" width="10.5703125" style="927" customWidth="1"/>
    <col min="7282" max="7282" width="9.140625" style="927" customWidth="1"/>
    <col min="7283" max="7283" width="4" style="927" customWidth="1"/>
    <col min="7284" max="7284" width="12.42578125" style="927" customWidth="1"/>
    <col min="7285" max="7286" width="9.140625" style="927" customWidth="1"/>
    <col min="7287" max="7287" width="10.5703125" style="927" customWidth="1"/>
    <col min="7288" max="7288" width="9.140625" style="927" customWidth="1"/>
    <col min="7289" max="7289" width="4" style="927" customWidth="1"/>
    <col min="7290" max="7290" width="12.42578125" style="927" customWidth="1"/>
    <col min="7291" max="7292" width="9.140625" style="927" customWidth="1"/>
    <col min="7293" max="7293" width="10.5703125" style="927" customWidth="1"/>
    <col min="7294" max="7294" width="9.140625" style="927" customWidth="1"/>
    <col min="7295" max="7295" width="4" style="927" customWidth="1"/>
    <col min="7296" max="7296" width="12.42578125" style="927" customWidth="1"/>
    <col min="7297" max="7298" width="9.140625" style="927" customWidth="1"/>
    <col min="7299" max="7299" width="10.5703125" style="927" customWidth="1"/>
    <col min="7300" max="7424" width="9.140625" style="927"/>
    <col min="7425" max="7425" width="2.7109375" style="927" customWidth="1"/>
    <col min="7426" max="7426" width="9.140625" style="927" customWidth="1"/>
    <col min="7427" max="7427" width="9.42578125" style="927" customWidth="1"/>
    <col min="7428" max="7428" width="0" style="927" hidden="1" customWidth="1"/>
    <col min="7429" max="7429" width="9.140625" style="927" customWidth="1"/>
    <col min="7430" max="7430" width="2.42578125" style="927" customWidth="1"/>
    <col min="7431" max="7431" width="9.140625" style="927" customWidth="1"/>
    <col min="7432" max="7432" width="9.42578125" style="927" customWidth="1"/>
    <col min="7433" max="7433" width="0" style="927" hidden="1" customWidth="1"/>
    <col min="7434" max="7434" width="9.140625" style="927" customWidth="1"/>
    <col min="7435" max="7435" width="2.28515625" style="927" customWidth="1"/>
    <col min="7436" max="7436" width="9.140625" style="927" customWidth="1"/>
    <col min="7437" max="7437" width="9.42578125" style="927" customWidth="1"/>
    <col min="7438" max="7438" width="0" style="927" hidden="1" customWidth="1"/>
    <col min="7439" max="7439" width="9.140625" style="927" customWidth="1"/>
    <col min="7440" max="7440" width="2.5703125" style="927" customWidth="1"/>
    <col min="7441" max="7441" width="9.140625" style="927" customWidth="1"/>
    <col min="7442" max="7442" width="9.5703125" style="927" customWidth="1"/>
    <col min="7443" max="7443" width="0" style="927" hidden="1" customWidth="1"/>
    <col min="7444" max="7444" width="9.140625" style="927" customWidth="1"/>
    <col min="7445" max="7445" width="2.7109375" style="927" customWidth="1"/>
    <col min="7446" max="7447" width="9.140625" style="927" customWidth="1"/>
    <col min="7448" max="7448" width="3.140625" style="927" customWidth="1"/>
    <col min="7449" max="7449" width="4" style="927" customWidth="1"/>
    <col min="7450" max="7450" width="9.42578125" style="927" customWidth="1"/>
    <col min="7451" max="7452" width="9.140625" style="927" customWidth="1"/>
    <col min="7453" max="7453" width="10.5703125" style="927" customWidth="1"/>
    <col min="7454" max="7454" width="9.140625" style="927" customWidth="1"/>
    <col min="7455" max="7455" width="4" style="927" customWidth="1"/>
    <col min="7456" max="7456" width="9.42578125" style="927" customWidth="1"/>
    <col min="7457" max="7458" width="9.140625" style="927" customWidth="1"/>
    <col min="7459" max="7459" width="10.5703125" style="927" customWidth="1"/>
    <col min="7460" max="7460" width="9.140625" style="927" customWidth="1"/>
    <col min="7461" max="7461" width="4" style="927" customWidth="1"/>
    <col min="7462" max="7462" width="9.42578125" style="927" customWidth="1"/>
    <col min="7463" max="7464" width="9.140625" style="927" customWidth="1"/>
    <col min="7465" max="7465" width="10.5703125" style="927" customWidth="1"/>
    <col min="7466" max="7466" width="9.140625" style="927" customWidth="1"/>
    <col min="7467" max="7467" width="4" style="927" customWidth="1"/>
    <col min="7468" max="7468" width="9.42578125" style="927" customWidth="1"/>
    <col min="7469" max="7470" width="9.140625" style="927" customWidth="1"/>
    <col min="7471" max="7471" width="10.5703125" style="927" customWidth="1"/>
    <col min="7472" max="7472" width="9.140625" style="927" customWidth="1"/>
    <col min="7473" max="7473" width="4" style="927" customWidth="1"/>
    <col min="7474" max="7474" width="9.42578125" style="927" customWidth="1"/>
    <col min="7475" max="7476" width="9.140625" style="927" customWidth="1"/>
    <col min="7477" max="7477" width="10.5703125" style="927" customWidth="1"/>
    <col min="7478" max="7478" width="9.140625" style="927" customWidth="1"/>
    <col min="7479" max="7479" width="4" style="927" customWidth="1"/>
    <col min="7480" max="7480" width="9.42578125" style="927" customWidth="1"/>
    <col min="7481" max="7482" width="9.140625" style="927" customWidth="1"/>
    <col min="7483" max="7483" width="10.5703125" style="927" customWidth="1"/>
    <col min="7484" max="7484" width="9.140625" style="927" customWidth="1"/>
    <col min="7485" max="7485" width="4" style="927" customWidth="1"/>
    <col min="7486" max="7486" width="9.42578125" style="927" customWidth="1"/>
    <col min="7487" max="7488" width="9.140625" style="927" customWidth="1"/>
    <col min="7489" max="7489" width="10.5703125" style="927" customWidth="1"/>
    <col min="7490" max="7490" width="9.140625" style="927" customWidth="1"/>
    <col min="7491" max="7491" width="4" style="927" customWidth="1"/>
    <col min="7492" max="7492" width="9.42578125" style="927" customWidth="1"/>
    <col min="7493" max="7494" width="9.140625" style="927" customWidth="1"/>
    <col min="7495" max="7495" width="10.5703125" style="927" customWidth="1"/>
    <col min="7496" max="7496" width="9.140625" style="927" customWidth="1"/>
    <col min="7497" max="7497" width="4" style="927" customWidth="1"/>
    <col min="7498" max="7498" width="9.42578125" style="927" customWidth="1"/>
    <col min="7499" max="7500" width="9.140625" style="927" customWidth="1"/>
    <col min="7501" max="7501" width="10.5703125" style="927" customWidth="1"/>
    <col min="7502" max="7502" width="9.140625" style="927" customWidth="1"/>
    <col min="7503" max="7503" width="4" style="927" customWidth="1"/>
    <col min="7504" max="7504" width="9.42578125" style="927" customWidth="1"/>
    <col min="7505" max="7506" width="9.140625" style="927" customWidth="1"/>
    <col min="7507" max="7507" width="10.5703125" style="927" customWidth="1"/>
    <col min="7508" max="7508" width="9.140625" style="927" customWidth="1"/>
    <col min="7509" max="7509" width="4" style="927" customWidth="1"/>
    <col min="7510" max="7510" width="9.42578125" style="927" customWidth="1"/>
    <col min="7511" max="7512" width="9.140625" style="927" customWidth="1"/>
    <col min="7513" max="7513" width="10.5703125" style="927" customWidth="1"/>
    <col min="7514" max="7514" width="9.140625" style="927" customWidth="1"/>
    <col min="7515" max="7515" width="4" style="927" customWidth="1"/>
    <col min="7516" max="7516" width="9.42578125" style="927" customWidth="1"/>
    <col min="7517" max="7518" width="9.140625" style="927" customWidth="1"/>
    <col min="7519" max="7519" width="10.5703125" style="927" customWidth="1"/>
    <col min="7520" max="7520" width="9.140625" style="927" customWidth="1"/>
    <col min="7521" max="7521" width="4" style="927" customWidth="1"/>
    <col min="7522" max="7522" width="9.42578125" style="927" customWidth="1"/>
    <col min="7523" max="7524" width="9.140625" style="927" customWidth="1"/>
    <col min="7525" max="7525" width="10.5703125" style="927" customWidth="1"/>
    <col min="7526" max="7526" width="9.140625" style="927" customWidth="1"/>
    <col min="7527" max="7527" width="4" style="927" customWidth="1"/>
    <col min="7528" max="7528" width="12.42578125" style="927" customWidth="1"/>
    <col min="7529" max="7530" width="9.140625" style="927" customWidth="1"/>
    <col min="7531" max="7531" width="10.5703125" style="927" customWidth="1"/>
    <col min="7532" max="7532" width="9.140625" style="927" customWidth="1"/>
    <col min="7533" max="7533" width="4" style="927" customWidth="1"/>
    <col min="7534" max="7534" width="12.42578125" style="927" customWidth="1"/>
    <col min="7535" max="7536" width="9.140625" style="927" customWidth="1"/>
    <col min="7537" max="7537" width="10.5703125" style="927" customWidth="1"/>
    <col min="7538" max="7538" width="9.140625" style="927" customWidth="1"/>
    <col min="7539" max="7539" width="4" style="927" customWidth="1"/>
    <col min="7540" max="7540" width="12.42578125" style="927" customWidth="1"/>
    <col min="7541" max="7542" width="9.140625" style="927" customWidth="1"/>
    <col min="7543" max="7543" width="10.5703125" style="927" customWidth="1"/>
    <col min="7544" max="7544" width="9.140625" style="927" customWidth="1"/>
    <col min="7545" max="7545" width="4" style="927" customWidth="1"/>
    <col min="7546" max="7546" width="12.42578125" style="927" customWidth="1"/>
    <col min="7547" max="7548" width="9.140625" style="927" customWidth="1"/>
    <col min="7549" max="7549" width="10.5703125" style="927" customWidth="1"/>
    <col min="7550" max="7550" width="9.140625" style="927" customWidth="1"/>
    <col min="7551" max="7551" width="4" style="927" customWidth="1"/>
    <col min="7552" max="7552" width="12.42578125" style="927" customWidth="1"/>
    <col min="7553" max="7554" width="9.140625" style="927" customWidth="1"/>
    <col min="7555" max="7555" width="10.5703125" style="927" customWidth="1"/>
    <col min="7556" max="7680" width="9.140625" style="927"/>
    <col min="7681" max="7681" width="2.7109375" style="927" customWidth="1"/>
    <col min="7682" max="7682" width="9.140625" style="927" customWidth="1"/>
    <col min="7683" max="7683" width="9.42578125" style="927" customWidth="1"/>
    <col min="7684" max="7684" width="0" style="927" hidden="1" customWidth="1"/>
    <col min="7685" max="7685" width="9.140625" style="927" customWidth="1"/>
    <col min="7686" max="7686" width="2.42578125" style="927" customWidth="1"/>
    <col min="7687" max="7687" width="9.140625" style="927" customWidth="1"/>
    <col min="7688" max="7688" width="9.42578125" style="927" customWidth="1"/>
    <col min="7689" max="7689" width="0" style="927" hidden="1" customWidth="1"/>
    <col min="7690" max="7690" width="9.140625" style="927" customWidth="1"/>
    <col min="7691" max="7691" width="2.28515625" style="927" customWidth="1"/>
    <col min="7692" max="7692" width="9.140625" style="927" customWidth="1"/>
    <col min="7693" max="7693" width="9.42578125" style="927" customWidth="1"/>
    <col min="7694" max="7694" width="0" style="927" hidden="1" customWidth="1"/>
    <col min="7695" max="7695" width="9.140625" style="927" customWidth="1"/>
    <col min="7696" max="7696" width="2.5703125" style="927" customWidth="1"/>
    <col min="7697" max="7697" width="9.140625" style="927" customWidth="1"/>
    <col min="7698" max="7698" width="9.5703125" style="927" customWidth="1"/>
    <col min="7699" max="7699" width="0" style="927" hidden="1" customWidth="1"/>
    <col min="7700" max="7700" width="9.140625" style="927" customWidth="1"/>
    <col min="7701" max="7701" width="2.7109375" style="927" customWidth="1"/>
    <col min="7702" max="7703" width="9.140625" style="927" customWidth="1"/>
    <col min="7704" max="7704" width="3.140625" style="927" customWidth="1"/>
    <col min="7705" max="7705" width="4" style="927" customWidth="1"/>
    <col min="7706" max="7706" width="9.42578125" style="927" customWidth="1"/>
    <col min="7707" max="7708" width="9.140625" style="927" customWidth="1"/>
    <col min="7709" max="7709" width="10.5703125" style="927" customWidth="1"/>
    <col min="7710" max="7710" width="9.140625" style="927" customWidth="1"/>
    <col min="7711" max="7711" width="4" style="927" customWidth="1"/>
    <col min="7712" max="7712" width="9.42578125" style="927" customWidth="1"/>
    <col min="7713" max="7714" width="9.140625" style="927" customWidth="1"/>
    <col min="7715" max="7715" width="10.5703125" style="927" customWidth="1"/>
    <col min="7716" max="7716" width="9.140625" style="927" customWidth="1"/>
    <col min="7717" max="7717" width="4" style="927" customWidth="1"/>
    <col min="7718" max="7718" width="9.42578125" style="927" customWidth="1"/>
    <col min="7719" max="7720" width="9.140625" style="927" customWidth="1"/>
    <col min="7721" max="7721" width="10.5703125" style="927" customWidth="1"/>
    <col min="7722" max="7722" width="9.140625" style="927" customWidth="1"/>
    <col min="7723" max="7723" width="4" style="927" customWidth="1"/>
    <col min="7724" max="7724" width="9.42578125" style="927" customWidth="1"/>
    <col min="7725" max="7726" width="9.140625" style="927" customWidth="1"/>
    <col min="7727" max="7727" width="10.5703125" style="927" customWidth="1"/>
    <col min="7728" max="7728" width="9.140625" style="927" customWidth="1"/>
    <col min="7729" max="7729" width="4" style="927" customWidth="1"/>
    <col min="7730" max="7730" width="9.42578125" style="927" customWidth="1"/>
    <col min="7731" max="7732" width="9.140625" style="927" customWidth="1"/>
    <col min="7733" max="7733" width="10.5703125" style="927" customWidth="1"/>
    <col min="7734" max="7734" width="9.140625" style="927" customWidth="1"/>
    <col min="7735" max="7735" width="4" style="927" customWidth="1"/>
    <col min="7736" max="7736" width="9.42578125" style="927" customWidth="1"/>
    <col min="7737" max="7738" width="9.140625" style="927" customWidth="1"/>
    <col min="7739" max="7739" width="10.5703125" style="927" customWidth="1"/>
    <col min="7740" max="7740" width="9.140625" style="927" customWidth="1"/>
    <col min="7741" max="7741" width="4" style="927" customWidth="1"/>
    <col min="7742" max="7742" width="9.42578125" style="927" customWidth="1"/>
    <col min="7743" max="7744" width="9.140625" style="927" customWidth="1"/>
    <col min="7745" max="7745" width="10.5703125" style="927" customWidth="1"/>
    <col min="7746" max="7746" width="9.140625" style="927" customWidth="1"/>
    <col min="7747" max="7747" width="4" style="927" customWidth="1"/>
    <col min="7748" max="7748" width="9.42578125" style="927" customWidth="1"/>
    <col min="7749" max="7750" width="9.140625" style="927" customWidth="1"/>
    <col min="7751" max="7751" width="10.5703125" style="927" customWidth="1"/>
    <col min="7752" max="7752" width="9.140625" style="927" customWidth="1"/>
    <col min="7753" max="7753" width="4" style="927" customWidth="1"/>
    <col min="7754" max="7754" width="9.42578125" style="927" customWidth="1"/>
    <col min="7755" max="7756" width="9.140625" style="927" customWidth="1"/>
    <col min="7757" max="7757" width="10.5703125" style="927" customWidth="1"/>
    <col min="7758" max="7758" width="9.140625" style="927" customWidth="1"/>
    <col min="7759" max="7759" width="4" style="927" customWidth="1"/>
    <col min="7760" max="7760" width="9.42578125" style="927" customWidth="1"/>
    <col min="7761" max="7762" width="9.140625" style="927" customWidth="1"/>
    <col min="7763" max="7763" width="10.5703125" style="927" customWidth="1"/>
    <col min="7764" max="7764" width="9.140625" style="927" customWidth="1"/>
    <col min="7765" max="7765" width="4" style="927" customWidth="1"/>
    <col min="7766" max="7766" width="9.42578125" style="927" customWidth="1"/>
    <col min="7767" max="7768" width="9.140625" style="927" customWidth="1"/>
    <col min="7769" max="7769" width="10.5703125" style="927" customWidth="1"/>
    <col min="7770" max="7770" width="9.140625" style="927" customWidth="1"/>
    <col min="7771" max="7771" width="4" style="927" customWidth="1"/>
    <col min="7772" max="7772" width="9.42578125" style="927" customWidth="1"/>
    <col min="7773" max="7774" width="9.140625" style="927" customWidth="1"/>
    <col min="7775" max="7775" width="10.5703125" style="927" customWidth="1"/>
    <col min="7776" max="7776" width="9.140625" style="927" customWidth="1"/>
    <col min="7777" max="7777" width="4" style="927" customWidth="1"/>
    <col min="7778" max="7778" width="9.42578125" style="927" customWidth="1"/>
    <col min="7779" max="7780" width="9.140625" style="927" customWidth="1"/>
    <col min="7781" max="7781" width="10.5703125" style="927" customWidth="1"/>
    <col min="7782" max="7782" width="9.140625" style="927" customWidth="1"/>
    <col min="7783" max="7783" width="4" style="927" customWidth="1"/>
    <col min="7784" max="7784" width="12.42578125" style="927" customWidth="1"/>
    <col min="7785" max="7786" width="9.140625" style="927" customWidth="1"/>
    <col min="7787" max="7787" width="10.5703125" style="927" customWidth="1"/>
    <col min="7788" max="7788" width="9.140625" style="927" customWidth="1"/>
    <col min="7789" max="7789" width="4" style="927" customWidth="1"/>
    <col min="7790" max="7790" width="12.42578125" style="927" customWidth="1"/>
    <col min="7791" max="7792" width="9.140625" style="927" customWidth="1"/>
    <col min="7793" max="7793" width="10.5703125" style="927" customWidth="1"/>
    <col min="7794" max="7794" width="9.140625" style="927" customWidth="1"/>
    <col min="7795" max="7795" width="4" style="927" customWidth="1"/>
    <col min="7796" max="7796" width="12.42578125" style="927" customWidth="1"/>
    <col min="7797" max="7798" width="9.140625" style="927" customWidth="1"/>
    <col min="7799" max="7799" width="10.5703125" style="927" customWidth="1"/>
    <col min="7800" max="7800" width="9.140625" style="927" customWidth="1"/>
    <col min="7801" max="7801" width="4" style="927" customWidth="1"/>
    <col min="7802" max="7802" width="12.42578125" style="927" customWidth="1"/>
    <col min="7803" max="7804" width="9.140625" style="927" customWidth="1"/>
    <col min="7805" max="7805" width="10.5703125" style="927" customWidth="1"/>
    <col min="7806" max="7806" width="9.140625" style="927" customWidth="1"/>
    <col min="7807" max="7807" width="4" style="927" customWidth="1"/>
    <col min="7808" max="7808" width="12.42578125" style="927" customWidth="1"/>
    <col min="7809" max="7810" width="9.140625" style="927" customWidth="1"/>
    <col min="7811" max="7811" width="10.5703125" style="927" customWidth="1"/>
    <col min="7812" max="7936" width="9.140625" style="927"/>
    <col min="7937" max="7937" width="2.7109375" style="927" customWidth="1"/>
    <col min="7938" max="7938" width="9.140625" style="927" customWidth="1"/>
    <col min="7939" max="7939" width="9.42578125" style="927" customWidth="1"/>
    <col min="7940" max="7940" width="0" style="927" hidden="1" customWidth="1"/>
    <col min="7941" max="7941" width="9.140625" style="927" customWidth="1"/>
    <col min="7942" max="7942" width="2.42578125" style="927" customWidth="1"/>
    <col min="7943" max="7943" width="9.140625" style="927" customWidth="1"/>
    <col min="7944" max="7944" width="9.42578125" style="927" customWidth="1"/>
    <col min="7945" max="7945" width="0" style="927" hidden="1" customWidth="1"/>
    <col min="7946" max="7946" width="9.140625" style="927" customWidth="1"/>
    <col min="7947" max="7947" width="2.28515625" style="927" customWidth="1"/>
    <col min="7948" max="7948" width="9.140625" style="927" customWidth="1"/>
    <col min="7949" max="7949" width="9.42578125" style="927" customWidth="1"/>
    <col min="7950" max="7950" width="0" style="927" hidden="1" customWidth="1"/>
    <col min="7951" max="7951" width="9.140625" style="927" customWidth="1"/>
    <col min="7952" max="7952" width="2.5703125" style="927" customWidth="1"/>
    <col min="7953" max="7953" width="9.140625" style="927" customWidth="1"/>
    <col min="7954" max="7954" width="9.5703125" style="927" customWidth="1"/>
    <col min="7955" max="7955" width="0" style="927" hidden="1" customWidth="1"/>
    <col min="7956" max="7956" width="9.140625" style="927" customWidth="1"/>
    <col min="7957" max="7957" width="2.7109375" style="927" customWidth="1"/>
    <col min="7958" max="7959" width="9.140625" style="927" customWidth="1"/>
    <col min="7960" max="7960" width="3.140625" style="927" customWidth="1"/>
    <col min="7961" max="7961" width="4" style="927" customWidth="1"/>
    <col min="7962" max="7962" width="9.42578125" style="927" customWidth="1"/>
    <col min="7963" max="7964" width="9.140625" style="927" customWidth="1"/>
    <col min="7965" max="7965" width="10.5703125" style="927" customWidth="1"/>
    <col min="7966" max="7966" width="9.140625" style="927" customWidth="1"/>
    <col min="7967" max="7967" width="4" style="927" customWidth="1"/>
    <col min="7968" max="7968" width="9.42578125" style="927" customWidth="1"/>
    <col min="7969" max="7970" width="9.140625" style="927" customWidth="1"/>
    <col min="7971" max="7971" width="10.5703125" style="927" customWidth="1"/>
    <col min="7972" max="7972" width="9.140625" style="927" customWidth="1"/>
    <col min="7973" max="7973" width="4" style="927" customWidth="1"/>
    <col min="7974" max="7974" width="9.42578125" style="927" customWidth="1"/>
    <col min="7975" max="7976" width="9.140625" style="927" customWidth="1"/>
    <col min="7977" max="7977" width="10.5703125" style="927" customWidth="1"/>
    <col min="7978" max="7978" width="9.140625" style="927" customWidth="1"/>
    <col min="7979" max="7979" width="4" style="927" customWidth="1"/>
    <col min="7980" max="7980" width="9.42578125" style="927" customWidth="1"/>
    <col min="7981" max="7982" width="9.140625" style="927" customWidth="1"/>
    <col min="7983" max="7983" width="10.5703125" style="927" customWidth="1"/>
    <col min="7984" max="7984" width="9.140625" style="927" customWidth="1"/>
    <col min="7985" max="7985" width="4" style="927" customWidth="1"/>
    <col min="7986" max="7986" width="9.42578125" style="927" customWidth="1"/>
    <col min="7987" max="7988" width="9.140625" style="927" customWidth="1"/>
    <col min="7989" max="7989" width="10.5703125" style="927" customWidth="1"/>
    <col min="7990" max="7990" width="9.140625" style="927" customWidth="1"/>
    <col min="7991" max="7991" width="4" style="927" customWidth="1"/>
    <col min="7992" max="7992" width="9.42578125" style="927" customWidth="1"/>
    <col min="7993" max="7994" width="9.140625" style="927" customWidth="1"/>
    <col min="7995" max="7995" width="10.5703125" style="927" customWidth="1"/>
    <col min="7996" max="7996" width="9.140625" style="927" customWidth="1"/>
    <col min="7997" max="7997" width="4" style="927" customWidth="1"/>
    <col min="7998" max="7998" width="9.42578125" style="927" customWidth="1"/>
    <col min="7999" max="8000" width="9.140625" style="927" customWidth="1"/>
    <col min="8001" max="8001" width="10.5703125" style="927" customWidth="1"/>
    <col min="8002" max="8002" width="9.140625" style="927" customWidth="1"/>
    <col min="8003" max="8003" width="4" style="927" customWidth="1"/>
    <col min="8004" max="8004" width="9.42578125" style="927" customWidth="1"/>
    <col min="8005" max="8006" width="9.140625" style="927" customWidth="1"/>
    <col min="8007" max="8007" width="10.5703125" style="927" customWidth="1"/>
    <col min="8008" max="8008" width="9.140625" style="927" customWidth="1"/>
    <col min="8009" max="8009" width="4" style="927" customWidth="1"/>
    <col min="8010" max="8010" width="9.42578125" style="927" customWidth="1"/>
    <col min="8011" max="8012" width="9.140625" style="927" customWidth="1"/>
    <col min="8013" max="8013" width="10.5703125" style="927" customWidth="1"/>
    <col min="8014" max="8014" width="9.140625" style="927" customWidth="1"/>
    <col min="8015" max="8015" width="4" style="927" customWidth="1"/>
    <col min="8016" max="8016" width="9.42578125" style="927" customWidth="1"/>
    <col min="8017" max="8018" width="9.140625" style="927" customWidth="1"/>
    <col min="8019" max="8019" width="10.5703125" style="927" customWidth="1"/>
    <col min="8020" max="8020" width="9.140625" style="927" customWidth="1"/>
    <col min="8021" max="8021" width="4" style="927" customWidth="1"/>
    <col min="8022" max="8022" width="9.42578125" style="927" customWidth="1"/>
    <col min="8023" max="8024" width="9.140625" style="927" customWidth="1"/>
    <col min="8025" max="8025" width="10.5703125" style="927" customWidth="1"/>
    <col min="8026" max="8026" width="9.140625" style="927" customWidth="1"/>
    <col min="8027" max="8027" width="4" style="927" customWidth="1"/>
    <col min="8028" max="8028" width="9.42578125" style="927" customWidth="1"/>
    <col min="8029" max="8030" width="9.140625" style="927" customWidth="1"/>
    <col min="8031" max="8031" width="10.5703125" style="927" customWidth="1"/>
    <col min="8032" max="8032" width="9.140625" style="927" customWidth="1"/>
    <col min="8033" max="8033" width="4" style="927" customWidth="1"/>
    <col min="8034" max="8034" width="9.42578125" style="927" customWidth="1"/>
    <col min="8035" max="8036" width="9.140625" style="927" customWidth="1"/>
    <col min="8037" max="8037" width="10.5703125" style="927" customWidth="1"/>
    <col min="8038" max="8038" width="9.140625" style="927" customWidth="1"/>
    <col min="8039" max="8039" width="4" style="927" customWidth="1"/>
    <col min="8040" max="8040" width="12.42578125" style="927" customWidth="1"/>
    <col min="8041" max="8042" width="9.140625" style="927" customWidth="1"/>
    <col min="8043" max="8043" width="10.5703125" style="927" customWidth="1"/>
    <col min="8044" max="8044" width="9.140625" style="927" customWidth="1"/>
    <col min="8045" max="8045" width="4" style="927" customWidth="1"/>
    <col min="8046" max="8046" width="12.42578125" style="927" customWidth="1"/>
    <col min="8047" max="8048" width="9.140625" style="927" customWidth="1"/>
    <col min="8049" max="8049" width="10.5703125" style="927" customWidth="1"/>
    <col min="8050" max="8050" width="9.140625" style="927" customWidth="1"/>
    <col min="8051" max="8051" width="4" style="927" customWidth="1"/>
    <col min="8052" max="8052" width="12.42578125" style="927" customWidth="1"/>
    <col min="8053" max="8054" width="9.140625" style="927" customWidth="1"/>
    <col min="8055" max="8055" width="10.5703125" style="927" customWidth="1"/>
    <col min="8056" max="8056" width="9.140625" style="927" customWidth="1"/>
    <col min="8057" max="8057" width="4" style="927" customWidth="1"/>
    <col min="8058" max="8058" width="12.42578125" style="927" customWidth="1"/>
    <col min="8059" max="8060" width="9.140625" style="927" customWidth="1"/>
    <col min="8061" max="8061" width="10.5703125" style="927" customWidth="1"/>
    <col min="8062" max="8062" width="9.140625" style="927" customWidth="1"/>
    <col min="8063" max="8063" width="4" style="927" customWidth="1"/>
    <col min="8064" max="8064" width="12.42578125" style="927" customWidth="1"/>
    <col min="8065" max="8066" width="9.140625" style="927" customWidth="1"/>
    <col min="8067" max="8067" width="10.5703125" style="927" customWidth="1"/>
    <col min="8068" max="8192" width="9.140625" style="927"/>
    <col min="8193" max="8193" width="2.7109375" style="927" customWidth="1"/>
    <col min="8194" max="8194" width="9.140625" style="927" customWidth="1"/>
    <col min="8195" max="8195" width="9.42578125" style="927" customWidth="1"/>
    <col min="8196" max="8196" width="0" style="927" hidden="1" customWidth="1"/>
    <col min="8197" max="8197" width="9.140625" style="927" customWidth="1"/>
    <col min="8198" max="8198" width="2.42578125" style="927" customWidth="1"/>
    <col min="8199" max="8199" width="9.140625" style="927" customWidth="1"/>
    <col min="8200" max="8200" width="9.42578125" style="927" customWidth="1"/>
    <col min="8201" max="8201" width="0" style="927" hidden="1" customWidth="1"/>
    <col min="8202" max="8202" width="9.140625" style="927" customWidth="1"/>
    <col min="8203" max="8203" width="2.28515625" style="927" customWidth="1"/>
    <col min="8204" max="8204" width="9.140625" style="927" customWidth="1"/>
    <col min="8205" max="8205" width="9.42578125" style="927" customWidth="1"/>
    <col min="8206" max="8206" width="0" style="927" hidden="1" customWidth="1"/>
    <col min="8207" max="8207" width="9.140625" style="927" customWidth="1"/>
    <col min="8208" max="8208" width="2.5703125" style="927" customWidth="1"/>
    <col min="8209" max="8209" width="9.140625" style="927" customWidth="1"/>
    <col min="8210" max="8210" width="9.5703125" style="927" customWidth="1"/>
    <col min="8211" max="8211" width="0" style="927" hidden="1" customWidth="1"/>
    <col min="8212" max="8212" width="9.140625" style="927" customWidth="1"/>
    <col min="8213" max="8213" width="2.7109375" style="927" customWidth="1"/>
    <col min="8214" max="8215" width="9.140625" style="927" customWidth="1"/>
    <col min="8216" max="8216" width="3.140625" style="927" customWidth="1"/>
    <col min="8217" max="8217" width="4" style="927" customWidth="1"/>
    <col min="8218" max="8218" width="9.42578125" style="927" customWidth="1"/>
    <col min="8219" max="8220" width="9.140625" style="927" customWidth="1"/>
    <col min="8221" max="8221" width="10.5703125" style="927" customWidth="1"/>
    <col min="8222" max="8222" width="9.140625" style="927" customWidth="1"/>
    <col min="8223" max="8223" width="4" style="927" customWidth="1"/>
    <col min="8224" max="8224" width="9.42578125" style="927" customWidth="1"/>
    <col min="8225" max="8226" width="9.140625" style="927" customWidth="1"/>
    <col min="8227" max="8227" width="10.5703125" style="927" customWidth="1"/>
    <col min="8228" max="8228" width="9.140625" style="927" customWidth="1"/>
    <col min="8229" max="8229" width="4" style="927" customWidth="1"/>
    <col min="8230" max="8230" width="9.42578125" style="927" customWidth="1"/>
    <col min="8231" max="8232" width="9.140625" style="927" customWidth="1"/>
    <col min="8233" max="8233" width="10.5703125" style="927" customWidth="1"/>
    <col min="8234" max="8234" width="9.140625" style="927" customWidth="1"/>
    <col min="8235" max="8235" width="4" style="927" customWidth="1"/>
    <col min="8236" max="8236" width="9.42578125" style="927" customWidth="1"/>
    <col min="8237" max="8238" width="9.140625" style="927" customWidth="1"/>
    <col min="8239" max="8239" width="10.5703125" style="927" customWidth="1"/>
    <col min="8240" max="8240" width="9.140625" style="927" customWidth="1"/>
    <col min="8241" max="8241" width="4" style="927" customWidth="1"/>
    <col min="8242" max="8242" width="9.42578125" style="927" customWidth="1"/>
    <col min="8243" max="8244" width="9.140625" style="927" customWidth="1"/>
    <col min="8245" max="8245" width="10.5703125" style="927" customWidth="1"/>
    <col min="8246" max="8246" width="9.140625" style="927" customWidth="1"/>
    <col min="8247" max="8247" width="4" style="927" customWidth="1"/>
    <col min="8248" max="8248" width="9.42578125" style="927" customWidth="1"/>
    <col min="8249" max="8250" width="9.140625" style="927" customWidth="1"/>
    <col min="8251" max="8251" width="10.5703125" style="927" customWidth="1"/>
    <col min="8252" max="8252" width="9.140625" style="927" customWidth="1"/>
    <col min="8253" max="8253" width="4" style="927" customWidth="1"/>
    <col min="8254" max="8254" width="9.42578125" style="927" customWidth="1"/>
    <col min="8255" max="8256" width="9.140625" style="927" customWidth="1"/>
    <col min="8257" max="8257" width="10.5703125" style="927" customWidth="1"/>
    <col min="8258" max="8258" width="9.140625" style="927" customWidth="1"/>
    <col min="8259" max="8259" width="4" style="927" customWidth="1"/>
    <col min="8260" max="8260" width="9.42578125" style="927" customWidth="1"/>
    <col min="8261" max="8262" width="9.140625" style="927" customWidth="1"/>
    <col min="8263" max="8263" width="10.5703125" style="927" customWidth="1"/>
    <col min="8264" max="8264" width="9.140625" style="927" customWidth="1"/>
    <col min="8265" max="8265" width="4" style="927" customWidth="1"/>
    <col min="8266" max="8266" width="9.42578125" style="927" customWidth="1"/>
    <col min="8267" max="8268" width="9.140625" style="927" customWidth="1"/>
    <col min="8269" max="8269" width="10.5703125" style="927" customWidth="1"/>
    <col min="8270" max="8270" width="9.140625" style="927" customWidth="1"/>
    <col min="8271" max="8271" width="4" style="927" customWidth="1"/>
    <col min="8272" max="8272" width="9.42578125" style="927" customWidth="1"/>
    <col min="8273" max="8274" width="9.140625" style="927" customWidth="1"/>
    <col min="8275" max="8275" width="10.5703125" style="927" customWidth="1"/>
    <col min="8276" max="8276" width="9.140625" style="927" customWidth="1"/>
    <col min="8277" max="8277" width="4" style="927" customWidth="1"/>
    <col min="8278" max="8278" width="9.42578125" style="927" customWidth="1"/>
    <col min="8279" max="8280" width="9.140625" style="927" customWidth="1"/>
    <col min="8281" max="8281" width="10.5703125" style="927" customWidth="1"/>
    <col min="8282" max="8282" width="9.140625" style="927" customWidth="1"/>
    <col min="8283" max="8283" width="4" style="927" customWidth="1"/>
    <col min="8284" max="8284" width="9.42578125" style="927" customWidth="1"/>
    <col min="8285" max="8286" width="9.140625" style="927" customWidth="1"/>
    <col min="8287" max="8287" width="10.5703125" style="927" customWidth="1"/>
    <col min="8288" max="8288" width="9.140625" style="927" customWidth="1"/>
    <col min="8289" max="8289" width="4" style="927" customWidth="1"/>
    <col min="8290" max="8290" width="9.42578125" style="927" customWidth="1"/>
    <col min="8291" max="8292" width="9.140625" style="927" customWidth="1"/>
    <col min="8293" max="8293" width="10.5703125" style="927" customWidth="1"/>
    <col min="8294" max="8294" width="9.140625" style="927" customWidth="1"/>
    <col min="8295" max="8295" width="4" style="927" customWidth="1"/>
    <col min="8296" max="8296" width="12.42578125" style="927" customWidth="1"/>
    <col min="8297" max="8298" width="9.140625" style="927" customWidth="1"/>
    <col min="8299" max="8299" width="10.5703125" style="927" customWidth="1"/>
    <col min="8300" max="8300" width="9.140625" style="927" customWidth="1"/>
    <col min="8301" max="8301" width="4" style="927" customWidth="1"/>
    <col min="8302" max="8302" width="12.42578125" style="927" customWidth="1"/>
    <col min="8303" max="8304" width="9.140625" style="927" customWidth="1"/>
    <col min="8305" max="8305" width="10.5703125" style="927" customWidth="1"/>
    <col min="8306" max="8306" width="9.140625" style="927" customWidth="1"/>
    <col min="8307" max="8307" width="4" style="927" customWidth="1"/>
    <col min="8308" max="8308" width="12.42578125" style="927" customWidth="1"/>
    <col min="8309" max="8310" width="9.140625" style="927" customWidth="1"/>
    <col min="8311" max="8311" width="10.5703125" style="927" customWidth="1"/>
    <col min="8312" max="8312" width="9.140625" style="927" customWidth="1"/>
    <col min="8313" max="8313" width="4" style="927" customWidth="1"/>
    <col min="8314" max="8314" width="12.42578125" style="927" customWidth="1"/>
    <col min="8315" max="8316" width="9.140625" style="927" customWidth="1"/>
    <col min="8317" max="8317" width="10.5703125" style="927" customWidth="1"/>
    <col min="8318" max="8318" width="9.140625" style="927" customWidth="1"/>
    <col min="8319" max="8319" width="4" style="927" customWidth="1"/>
    <col min="8320" max="8320" width="12.42578125" style="927" customWidth="1"/>
    <col min="8321" max="8322" width="9.140625" style="927" customWidth="1"/>
    <col min="8323" max="8323" width="10.5703125" style="927" customWidth="1"/>
    <col min="8324" max="8448" width="9.140625" style="927"/>
    <col min="8449" max="8449" width="2.7109375" style="927" customWidth="1"/>
    <col min="8450" max="8450" width="9.140625" style="927" customWidth="1"/>
    <col min="8451" max="8451" width="9.42578125" style="927" customWidth="1"/>
    <col min="8452" max="8452" width="0" style="927" hidden="1" customWidth="1"/>
    <col min="8453" max="8453" width="9.140625" style="927" customWidth="1"/>
    <col min="8454" max="8454" width="2.42578125" style="927" customWidth="1"/>
    <col min="8455" max="8455" width="9.140625" style="927" customWidth="1"/>
    <col min="8456" max="8456" width="9.42578125" style="927" customWidth="1"/>
    <col min="8457" max="8457" width="0" style="927" hidden="1" customWidth="1"/>
    <col min="8458" max="8458" width="9.140625" style="927" customWidth="1"/>
    <col min="8459" max="8459" width="2.28515625" style="927" customWidth="1"/>
    <col min="8460" max="8460" width="9.140625" style="927" customWidth="1"/>
    <col min="8461" max="8461" width="9.42578125" style="927" customWidth="1"/>
    <col min="8462" max="8462" width="0" style="927" hidden="1" customWidth="1"/>
    <col min="8463" max="8463" width="9.140625" style="927" customWidth="1"/>
    <col min="8464" max="8464" width="2.5703125" style="927" customWidth="1"/>
    <col min="8465" max="8465" width="9.140625" style="927" customWidth="1"/>
    <col min="8466" max="8466" width="9.5703125" style="927" customWidth="1"/>
    <col min="8467" max="8467" width="0" style="927" hidden="1" customWidth="1"/>
    <col min="8468" max="8468" width="9.140625" style="927" customWidth="1"/>
    <col min="8469" max="8469" width="2.7109375" style="927" customWidth="1"/>
    <col min="8470" max="8471" width="9.140625" style="927" customWidth="1"/>
    <col min="8472" max="8472" width="3.140625" style="927" customWidth="1"/>
    <col min="8473" max="8473" width="4" style="927" customWidth="1"/>
    <col min="8474" max="8474" width="9.42578125" style="927" customWidth="1"/>
    <col min="8475" max="8476" width="9.140625" style="927" customWidth="1"/>
    <col min="8477" max="8477" width="10.5703125" style="927" customWidth="1"/>
    <col min="8478" max="8478" width="9.140625" style="927" customWidth="1"/>
    <col min="8479" max="8479" width="4" style="927" customWidth="1"/>
    <col min="8480" max="8480" width="9.42578125" style="927" customWidth="1"/>
    <col min="8481" max="8482" width="9.140625" style="927" customWidth="1"/>
    <col min="8483" max="8483" width="10.5703125" style="927" customWidth="1"/>
    <col min="8484" max="8484" width="9.140625" style="927" customWidth="1"/>
    <col min="8485" max="8485" width="4" style="927" customWidth="1"/>
    <col min="8486" max="8486" width="9.42578125" style="927" customWidth="1"/>
    <col min="8487" max="8488" width="9.140625" style="927" customWidth="1"/>
    <col min="8489" max="8489" width="10.5703125" style="927" customWidth="1"/>
    <col min="8490" max="8490" width="9.140625" style="927" customWidth="1"/>
    <col min="8491" max="8491" width="4" style="927" customWidth="1"/>
    <col min="8492" max="8492" width="9.42578125" style="927" customWidth="1"/>
    <col min="8493" max="8494" width="9.140625" style="927" customWidth="1"/>
    <col min="8495" max="8495" width="10.5703125" style="927" customWidth="1"/>
    <col min="8496" max="8496" width="9.140625" style="927" customWidth="1"/>
    <col min="8497" max="8497" width="4" style="927" customWidth="1"/>
    <col min="8498" max="8498" width="9.42578125" style="927" customWidth="1"/>
    <col min="8499" max="8500" width="9.140625" style="927" customWidth="1"/>
    <col min="8501" max="8501" width="10.5703125" style="927" customWidth="1"/>
    <col min="8502" max="8502" width="9.140625" style="927" customWidth="1"/>
    <col min="8503" max="8503" width="4" style="927" customWidth="1"/>
    <col min="8504" max="8504" width="9.42578125" style="927" customWidth="1"/>
    <col min="8505" max="8506" width="9.140625" style="927" customWidth="1"/>
    <col min="8507" max="8507" width="10.5703125" style="927" customWidth="1"/>
    <col min="8508" max="8508" width="9.140625" style="927" customWidth="1"/>
    <col min="8509" max="8509" width="4" style="927" customWidth="1"/>
    <col min="8510" max="8510" width="9.42578125" style="927" customWidth="1"/>
    <col min="8511" max="8512" width="9.140625" style="927" customWidth="1"/>
    <col min="8513" max="8513" width="10.5703125" style="927" customWidth="1"/>
    <col min="8514" max="8514" width="9.140625" style="927" customWidth="1"/>
    <col min="8515" max="8515" width="4" style="927" customWidth="1"/>
    <col min="8516" max="8516" width="9.42578125" style="927" customWidth="1"/>
    <col min="8517" max="8518" width="9.140625" style="927" customWidth="1"/>
    <col min="8519" max="8519" width="10.5703125" style="927" customWidth="1"/>
    <col min="8520" max="8520" width="9.140625" style="927" customWidth="1"/>
    <col min="8521" max="8521" width="4" style="927" customWidth="1"/>
    <col min="8522" max="8522" width="9.42578125" style="927" customWidth="1"/>
    <col min="8523" max="8524" width="9.140625" style="927" customWidth="1"/>
    <col min="8525" max="8525" width="10.5703125" style="927" customWidth="1"/>
    <col min="8526" max="8526" width="9.140625" style="927" customWidth="1"/>
    <col min="8527" max="8527" width="4" style="927" customWidth="1"/>
    <col min="8528" max="8528" width="9.42578125" style="927" customWidth="1"/>
    <col min="8529" max="8530" width="9.140625" style="927" customWidth="1"/>
    <col min="8531" max="8531" width="10.5703125" style="927" customWidth="1"/>
    <col min="8532" max="8532" width="9.140625" style="927" customWidth="1"/>
    <col min="8533" max="8533" width="4" style="927" customWidth="1"/>
    <col min="8534" max="8534" width="9.42578125" style="927" customWidth="1"/>
    <col min="8535" max="8536" width="9.140625" style="927" customWidth="1"/>
    <col min="8537" max="8537" width="10.5703125" style="927" customWidth="1"/>
    <col min="8538" max="8538" width="9.140625" style="927" customWidth="1"/>
    <col min="8539" max="8539" width="4" style="927" customWidth="1"/>
    <col min="8540" max="8540" width="9.42578125" style="927" customWidth="1"/>
    <col min="8541" max="8542" width="9.140625" style="927" customWidth="1"/>
    <col min="8543" max="8543" width="10.5703125" style="927" customWidth="1"/>
    <col min="8544" max="8544" width="9.140625" style="927" customWidth="1"/>
    <col min="8545" max="8545" width="4" style="927" customWidth="1"/>
    <col min="8546" max="8546" width="9.42578125" style="927" customWidth="1"/>
    <col min="8547" max="8548" width="9.140625" style="927" customWidth="1"/>
    <col min="8549" max="8549" width="10.5703125" style="927" customWidth="1"/>
    <col min="8550" max="8550" width="9.140625" style="927" customWidth="1"/>
    <col min="8551" max="8551" width="4" style="927" customWidth="1"/>
    <col min="8552" max="8552" width="12.42578125" style="927" customWidth="1"/>
    <col min="8553" max="8554" width="9.140625" style="927" customWidth="1"/>
    <col min="8555" max="8555" width="10.5703125" style="927" customWidth="1"/>
    <col min="8556" max="8556" width="9.140625" style="927" customWidth="1"/>
    <col min="8557" max="8557" width="4" style="927" customWidth="1"/>
    <col min="8558" max="8558" width="12.42578125" style="927" customWidth="1"/>
    <col min="8559" max="8560" width="9.140625" style="927" customWidth="1"/>
    <col min="8561" max="8561" width="10.5703125" style="927" customWidth="1"/>
    <col min="8562" max="8562" width="9.140625" style="927" customWidth="1"/>
    <col min="8563" max="8563" width="4" style="927" customWidth="1"/>
    <col min="8564" max="8564" width="12.42578125" style="927" customWidth="1"/>
    <col min="8565" max="8566" width="9.140625" style="927" customWidth="1"/>
    <col min="8567" max="8567" width="10.5703125" style="927" customWidth="1"/>
    <col min="8568" max="8568" width="9.140625" style="927" customWidth="1"/>
    <col min="8569" max="8569" width="4" style="927" customWidth="1"/>
    <col min="8570" max="8570" width="12.42578125" style="927" customWidth="1"/>
    <col min="8571" max="8572" width="9.140625" style="927" customWidth="1"/>
    <col min="8573" max="8573" width="10.5703125" style="927" customWidth="1"/>
    <col min="8574" max="8574" width="9.140625" style="927" customWidth="1"/>
    <col min="8575" max="8575" width="4" style="927" customWidth="1"/>
    <col min="8576" max="8576" width="12.42578125" style="927" customWidth="1"/>
    <col min="8577" max="8578" width="9.140625" style="927" customWidth="1"/>
    <col min="8579" max="8579" width="10.5703125" style="927" customWidth="1"/>
    <col min="8580" max="8704" width="9.140625" style="927"/>
    <col min="8705" max="8705" width="2.7109375" style="927" customWidth="1"/>
    <col min="8706" max="8706" width="9.140625" style="927" customWidth="1"/>
    <col min="8707" max="8707" width="9.42578125" style="927" customWidth="1"/>
    <col min="8708" max="8708" width="0" style="927" hidden="1" customWidth="1"/>
    <col min="8709" max="8709" width="9.140625" style="927" customWidth="1"/>
    <col min="8710" max="8710" width="2.42578125" style="927" customWidth="1"/>
    <col min="8711" max="8711" width="9.140625" style="927" customWidth="1"/>
    <col min="8712" max="8712" width="9.42578125" style="927" customWidth="1"/>
    <col min="8713" max="8713" width="0" style="927" hidden="1" customWidth="1"/>
    <col min="8714" max="8714" width="9.140625" style="927" customWidth="1"/>
    <col min="8715" max="8715" width="2.28515625" style="927" customWidth="1"/>
    <col min="8716" max="8716" width="9.140625" style="927" customWidth="1"/>
    <col min="8717" max="8717" width="9.42578125" style="927" customWidth="1"/>
    <col min="8718" max="8718" width="0" style="927" hidden="1" customWidth="1"/>
    <col min="8719" max="8719" width="9.140625" style="927" customWidth="1"/>
    <col min="8720" max="8720" width="2.5703125" style="927" customWidth="1"/>
    <col min="8721" max="8721" width="9.140625" style="927" customWidth="1"/>
    <col min="8722" max="8722" width="9.5703125" style="927" customWidth="1"/>
    <col min="8723" max="8723" width="0" style="927" hidden="1" customWidth="1"/>
    <col min="8724" max="8724" width="9.140625" style="927" customWidth="1"/>
    <col min="8725" max="8725" width="2.7109375" style="927" customWidth="1"/>
    <col min="8726" max="8727" width="9.140625" style="927" customWidth="1"/>
    <col min="8728" max="8728" width="3.140625" style="927" customWidth="1"/>
    <col min="8729" max="8729" width="4" style="927" customWidth="1"/>
    <col min="8730" max="8730" width="9.42578125" style="927" customWidth="1"/>
    <col min="8731" max="8732" width="9.140625" style="927" customWidth="1"/>
    <col min="8733" max="8733" width="10.5703125" style="927" customWidth="1"/>
    <col min="8734" max="8734" width="9.140625" style="927" customWidth="1"/>
    <col min="8735" max="8735" width="4" style="927" customWidth="1"/>
    <col min="8736" max="8736" width="9.42578125" style="927" customWidth="1"/>
    <col min="8737" max="8738" width="9.140625" style="927" customWidth="1"/>
    <col min="8739" max="8739" width="10.5703125" style="927" customWidth="1"/>
    <col min="8740" max="8740" width="9.140625" style="927" customWidth="1"/>
    <col min="8741" max="8741" width="4" style="927" customWidth="1"/>
    <col min="8742" max="8742" width="9.42578125" style="927" customWidth="1"/>
    <col min="8743" max="8744" width="9.140625" style="927" customWidth="1"/>
    <col min="8745" max="8745" width="10.5703125" style="927" customWidth="1"/>
    <col min="8746" max="8746" width="9.140625" style="927" customWidth="1"/>
    <col min="8747" max="8747" width="4" style="927" customWidth="1"/>
    <col min="8748" max="8748" width="9.42578125" style="927" customWidth="1"/>
    <col min="8749" max="8750" width="9.140625" style="927" customWidth="1"/>
    <col min="8751" max="8751" width="10.5703125" style="927" customWidth="1"/>
    <col min="8752" max="8752" width="9.140625" style="927" customWidth="1"/>
    <col min="8753" max="8753" width="4" style="927" customWidth="1"/>
    <col min="8754" max="8754" width="9.42578125" style="927" customWidth="1"/>
    <col min="8755" max="8756" width="9.140625" style="927" customWidth="1"/>
    <col min="8757" max="8757" width="10.5703125" style="927" customWidth="1"/>
    <col min="8758" max="8758" width="9.140625" style="927" customWidth="1"/>
    <col min="8759" max="8759" width="4" style="927" customWidth="1"/>
    <col min="8760" max="8760" width="9.42578125" style="927" customWidth="1"/>
    <col min="8761" max="8762" width="9.140625" style="927" customWidth="1"/>
    <col min="8763" max="8763" width="10.5703125" style="927" customWidth="1"/>
    <col min="8764" max="8764" width="9.140625" style="927" customWidth="1"/>
    <col min="8765" max="8765" width="4" style="927" customWidth="1"/>
    <col min="8766" max="8766" width="9.42578125" style="927" customWidth="1"/>
    <col min="8767" max="8768" width="9.140625" style="927" customWidth="1"/>
    <col min="8769" max="8769" width="10.5703125" style="927" customWidth="1"/>
    <col min="8770" max="8770" width="9.140625" style="927" customWidth="1"/>
    <col min="8771" max="8771" width="4" style="927" customWidth="1"/>
    <col min="8772" max="8772" width="9.42578125" style="927" customWidth="1"/>
    <col min="8773" max="8774" width="9.140625" style="927" customWidth="1"/>
    <col min="8775" max="8775" width="10.5703125" style="927" customWidth="1"/>
    <col min="8776" max="8776" width="9.140625" style="927" customWidth="1"/>
    <col min="8777" max="8777" width="4" style="927" customWidth="1"/>
    <col min="8778" max="8778" width="9.42578125" style="927" customWidth="1"/>
    <col min="8779" max="8780" width="9.140625" style="927" customWidth="1"/>
    <col min="8781" max="8781" width="10.5703125" style="927" customWidth="1"/>
    <col min="8782" max="8782" width="9.140625" style="927" customWidth="1"/>
    <col min="8783" max="8783" width="4" style="927" customWidth="1"/>
    <col min="8784" max="8784" width="9.42578125" style="927" customWidth="1"/>
    <col min="8785" max="8786" width="9.140625" style="927" customWidth="1"/>
    <col min="8787" max="8787" width="10.5703125" style="927" customWidth="1"/>
    <col min="8788" max="8788" width="9.140625" style="927" customWidth="1"/>
    <col min="8789" max="8789" width="4" style="927" customWidth="1"/>
    <col min="8790" max="8790" width="9.42578125" style="927" customWidth="1"/>
    <col min="8791" max="8792" width="9.140625" style="927" customWidth="1"/>
    <col min="8793" max="8793" width="10.5703125" style="927" customWidth="1"/>
    <col min="8794" max="8794" width="9.140625" style="927" customWidth="1"/>
    <col min="8795" max="8795" width="4" style="927" customWidth="1"/>
    <col min="8796" max="8796" width="9.42578125" style="927" customWidth="1"/>
    <col min="8797" max="8798" width="9.140625" style="927" customWidth="1"/>
    <col min="8799" max="8799" width="10.5703125" style="927" customWidth="1"/>
    <col min="8800" max="8800" width="9.140625" style="927" customWidth="1"/>
    <col min="8801" max="8801" width="4" style="927" customWidth="1"/>
    <col min="8802" max="8802" width="9.42578125" style="927" customWidth="1"/>
    <col min="8803" max="8804" width="9.140625" style="927" customWidth="1"/>
    <col min="8805" max="8805" width="10.5703125" style="927" customWidth="1"/>
    <col min="8806" max="8806" width="9.140625" style="927" customWidth="1"/>
    <col min="8807" max="8807" width="4" style="927" customWidth="1"/>
    <col min="8808" max="8808" width="12.42578125" style="927" customWidth="1"/>
    <col min="8809" max="8810" width="9.140625" style="927" customWidth="1"/>
    <col min="8811" max="8811" width="10.5703125" style="927" customWidth="1"/>
    <col min="8812" max="8812" width="9.140625" style="927" customWidth="1"/>
    <col min="8813" max="8813" width="4" style="927" customWidth="1"/>
    <col min="8814" max="8814" width="12.42578125" style="927" customWidth="1"/>
    <col min="8815" max="8816" width="9.140625" style="927" customWidth="1"/>
    <col min="8817" max="8817" width="10.5703125" style="927" customWidth="1"/>
    <col min="8818" max="8818" width="9.140625" style="927" customWidth="1"/>
    <col min="8819" max="8819" width="4" style="927" customWidth="1"/>
    <col min="8820" max="8820" width="12.42578125" style="927" customWidth="1"/>
    <col min="8821" max="8822" width="9.140625" style="927" customWidth="1"/>
    <col min="8823" max="8823" width="10.5703125" style="927" customWidth="1"/>
    <col min="8824" max="8824" width="9.140625" style="927" customWidth="1"/>
    <col min="8825" max="8825" width="4" style="927" customWidth="1"/>
    <col min="8826" max="8826" width="12.42578125" style="927" customWidth="1"/>
    <col min="8827" max="8828" width="9.140625" style="927" customWidth="1"/>
    <col min="8829" max="8829" width="10.5703125" style="927" customWidth="1"/>
    <col min="8830" max="8830" width="9.140625" style="927" customWidth="1"/>
    <col min="8831" max="8831" width="4" style="927" customWidth="1"/>
    <col min="8832" max="8832" width="12.42578125" style="927" customWidth="1"/>
    <col min="8833" max="8834" width="9.140625" style="927" customWidth="1"/>
    <col min="8835" max="8835" width="10.5703125" style="927" customWidth="1"/>
    <col min="8836" max="8960" width="9.140625" style="927"/>
    <col min="8961" max="8961" width="2.7109375" style="927" customWidth="1"/>
    <col min="8962" max="8962" width="9.140625" style="927" customWidth="1"/>
    <col min="8963" max="8963" width="9.42578125" style="927" customWidth="1"/>
    <col min="8964" max="8964" width="0" style="927" hidden="1" customWidth="1"/>
    <col min="8965" max="8965" width="9.140625" style="927" customWidth="1"/>
    <col min="8966" max="8966" width="2.42578125" style="927" customWidth="1"/>
    <col min="8967" max="8967" width="9.140625" style="927" customWidth="1"/>
    <col min="8968" max="8968" width="9.42578125" style="927" customWidth="1"/>
    <col min="8969" max="8969" width="0" style="927" hidden="1" customWidth="1"/>
    <col min="8970" max="8970" width="9.140625" style="927" customWidth="1"/>
    <col min="8971" max="8971" width="2.28515625" style="927" customWidth="1"/>
    <col min="8972" max="8972" width="9.140625" style="927" customWidth="1"/>
    <col min="8973" max="8973" width="9.42578125" style="927" customWidth="1"/>
    <col min="8974" max="8974" width="0" style="927" hidden="1" customWidth="1"/>
    <col min="8975" max="8975" width="9.140625" style="927" customWidth="1"/>
    <col min="8976" max="8976" width="2.5703125" style="927" customWidth="1"/>
    <col min="8977" max="8977" width="9.140625" style="927" customWidth="1"/>
    <col min="8978" max="8978" width="9.5703125" style="927" customWidth="1"/>
    <col min="8979" max="8979" width="0" style="927" hidden="1" customWidth="1"/>
    <col min="8980" max="8980" width="9.140625" style="927" customWidth="1"/>
    <col min="8981" max="8981" width="2.7109375" style="927" customWidth="1"/>
    <col min="8982" max="8983" width="9.140625" style="927" customWidth="1"/>
    <col min="8984" max="8984" width="3.140625" style="927" customWidth="1"/>
    <col min="8985" max="8985" width="4" style="927" customWidth="1"/>
    <col min="8986" max="8986" width="9.42578125" style="927" customWidth="1"/>
    <col min="8987" max="8988" width="9.140625" style="927" customWidth="1"/>
    <col min="8989" max="8989" width="10.5703125" style="927" customWidth="1"/>
    <col min="8990" max="8990" width="9.140625" style="927" customWidth="1"/>
    <col min="8991" max="8991" width="4" style="927" customWidth="1"/>
    <col min="8992" max="8992" width="9.42578125" style="927" customWidth="1"/>
    <col min="8993" max="8994" width="9.140625" style="927" customWidth="1"/>
    <col min="8995" max="8995" width="10.5703125" style="927" customWidth="1"/>
    <col min="8996" max="8996" width="9.140625" style="927" customWidth="1"/>
    <col min="8997" max="8997" width="4" style="927" customWidth="1"/>
    <col min="8998" max="8998" width="9.42578125" style="927" customWidth="1"/>
    <col min="8999" max="9000" width="9.140625" style="927" customWidth="1"/>
    <col min="9001" max="9001" width="10.5703125" style="927" customWidth="1"/>
    <col min="9002" max="9002" width="9.140625" style="927" customWidth="1"/>
    <col min="9003" max="9003" width="4" style="927" customWidth="1"/>
    <col min="9004" max="9004" width="9.42578125" style="927" customWidth="1"/>
    <col min="9005" max="9006" width="9.140625" style="927" customWidth="1"/>
    <col min="9007" max="9007" width="10.5703125" style="927" customWidth="1"/>
    <col min="9008" max="9008" width="9.140625" style="927" customWidth="1"/>
    <col min="9009" max="9009" width="4" style="927" customWidth="1"/>
    <col min="9010" max="9010" width="9.42578125" style="927" customWidth="1"/>
    <col min="9011" max="9012" width="9.140625" style="927" customWidth="1"/>
    <col min="9013" max="9013" width="10.5703125" style="927" customWidth="1"/>
    <col min="9014" max="9014" width="9.140625" style="927" customWidth="1"/>
    <col min="9015" max="9015" width="4" style="927" customWidth="1"/>
    <col min="9016" max="9016" width="9.42578125" style="927" customWidth="1"/>
    <col min="9017" max="9018" width="9.140625" style="927" customWidth="1"/>
    <col min="9019" max="9019" width="10.5703125" style="927" customWidth="1"/>
    <col min="9020" max="9020" width="9.140625" style="927" customWidth="1"/>
    <col min="9021" max="9021" width="4" style="927" customWidth="1"/>
    <col min="9022" max="9022" width="9.42578125" style="927" customWidth="1"/>
    <col min="9023" max="9024" width="9.140625" style="927" customWidth="1"/>
    <col min="9025" max="9025" width="10.5703125" style="927" customWidth="1"/>
    <col min="9026" max="9026" width="9.140625" style="927" customWidth="1"/>
    <col min="9027" max="9027" width="4" style="927" customWidth="1"/>
    <col min="9028" max="9028" width="9.42578125" style="927" customWidth="1"/>
    <col min="9029" max="9030" width="9.140625" style="927" customWidth="1"/>
    <col min="9031" max="9031" width="10.5703125" style="927" customWidth="1"/>
    <col min="9032" max="9032" width="9.140625" style="927" customWidth="1"/>
    <col min="9033" max="9033" width="4" style="927" customWidth="1"/>
    <col min="9034" max="9034" width="9.42578125" style="927" customWidth="1"/>
    <col min="9035" max="9036" width="9.140625" style="927" customWidth="1"/>
    <col min="9037" max="9037" width="10.5703125" style="927" customWidth="1"/>
    <col min="9038" max="9038" width="9.140625" style="927" customWidth="1"/>
    <col min="9039" max="9039" width="4" style="927" customWidth="1"/>
    <col min="9040" max="9040" width="9.42578125" style="927" customWidth="1"/>
    <col min="9041" max="9042" width="9.140625" style="927" customWidth="1"/>
    <col min="9043" max="9043" width="10.5703125" style="927" customWidth="1"/>
    <col min="9044" max="9044" width="9.140625" style="927" customWidth="1"/>
    <col min="9045" max="9045" width="4" style="927" customWidth="1"/>
    <col min="9046" max="9046" width="9.42578125" style="927" customWidth="1"/>
    <col min="9047" max="9048" width="9.140625" style="927" customWidth="1"/>
    <col min="9049" max="9049" width="10.5703125" style="927" customWidth="1"/>
    <col min="9050" max="9050" width="9.140625" style="927" customWidth="1"/>
    <col min="9051" max="9051" width="4" style="927" customWidth="1"/>
    <col min="9052" max="9052" width="9.42578125" style="927" customWidth="1"/>
    <col min="9053" max="9054" width="9.140625" style="927" customWidth="1"/>
    <col min="9055" max="9055" width="10.5703125" style="927" customWidth="1"/>
    <col min="9056" max="9056" width="9.140625" style="927" customWidth="1"/>
    <col min="9057" max="9057" width="4" style="927" customWidth="1"/>
    <col min="9058" max="9058" width="9.42578125" style="927" customWidth="1"/>
    <col min="9059" max="9060" width="9.140625" style="927" customWidth="1"/>
    <col min="9061" max="9061" width="10.5703125" style="927" customWidth="1"/>
    <col min="9062" max="9062" width="9.140625" style="927" customWidth="1"/>
    <col min="9063" max="9063" width="4" style="927" customWidth="1"/>
    <col min="9064" max="9064" width="12.42578125" style="927" customWidth="1"/>
    <col min="9065" max="9066" width="9.140625" style="927" customWidth="1"/>
    <col min="9067" max="9067" width="10.5703125" style="927" customWidth="1"/>
    <col min="9068" max="9068" width="9.140625" style="927" customWidth="1"/>
    <col min="9069" max="9069" width="4" style="927" customWidth="1"/>
    <col min="9070" max="9070" width="12.42578125" style="927" customWidth="1"/>
    <col min="9071" max="9072" width="9.140625" style="927" customWidth="1"/>
    <col min="9073" max="9073" width="10.5703125" style="927" customWidth="1"/>
    <col min="9074" max="9074" width="9.140625" style="927" customWidth="1"/>
    <col min="9075" max="9075" width="4" style="927" customWidth="1"/>
    <col min="9076" max="9076" width="12.42578125" style="927" customWidth="1"/>
    <col min="9077" max="9078" width="9.140625" style="927" customWidth="1"/>
    <col min="9079" max="9079" width="10.5703125" style="927" customWidth="1"/>
    <col min="9080" max="9080" width="9.140625" style="927" customWidth="1"/>
    <col min="9081" max="9081" width="4" style="927" customWidth="1"/>
    <col min="9082" max="9082" width="12.42578125" style="927" customWidth="1"/>
    <col min="9083" max="9084" width="9.140625" style="927" customWidth="1"/>
    <col min="9085" max="9085" width="10.5703125" style="927" customWidth="1"/>
    <col min="9086" max="9086" width="9.140625" style="927" customWidth="1"/>
    <col min="9087" max="9087" width="4" style="927" customWidth="1"/>
    <col min="9088" max="9088" width="12.42578125" style="927" customWidth="1"/>
    <col min="9089" max="9090" width="9.140625" style="927" customWidth="1"/>
    <col min="9091" max="9091" width="10.5703125" style="927" customWidth="1"/>
    <col min="9092" max="9216" width="9.140625" style="927"/>
    <col min="9217" max="9217" width="2.7109375" style="927" customWidth="1"/>
    <col min="9218" max="9218" width="9.140625" style="927" customWidth="1"/>
    <col min="9219" max="9219" width="9.42578125" style="927" customWidth="1"/>
    <col min="9220" max="9220" width="0" style="927" hidden="1" customWidth="1"/>
    <col min="9221" max="9221" width="9.140625" style="927" customWidth="1"/>
    <col min="9222" max="9222" width="2.42578125" style="927" customWidth="1"/>
    <col min="9223" max="9223" width="9.140625" style="927" customWidth="1"/>
    <col min="9224" max="9224" width="9.42578125" style="927" customWidth="1"/>
    <col min="9225" max="9225" width="0" style="927" hidden="1" customWidth="1"/>
    <col min="9226" max="9226" width="9.140625" style="927" customWidth="1"/>
    <col min="9227" max="9227" width="2.28515625" style="927" customWidth="1"/>
    <col min="9228" max="9228" width="9.140625" style="927" customWidth="1"/>
    <col min="9229" max="9229" width="9.42578125" style="927" customWidth="1"/>
    <col min="9230" max="9230" width="0" style="927" hidden="1" customWidth="1"/>
    <col min="9231" max="9231" width="9.140625" style="927" customWidth="1"/>
    <col min="9232" max="9232" width="2.5703125" style="927" customWidth="1"/>
    <col min="9233" max="9233" width="9.140625" style="927" customWidth="1"/>
    <col min="9234" max="9234" width="9.5703125" style="927" customWidth="1"/>
    <col min="9235" max="9235" width="0" style="927" hidden="1" customWidth="1"/>
    <col min="9236" max="9236" width="9.140625" style="927" customWidth="1"/>
    <col min="9237" max="9237" width="2.7109375" style="927" customWidth="1"/>
    <col min="9238" max="9239" width="9.140625" style="927" customWidth="1"/>
    <col min="9240" max="9240" width="3.140625" style="927" customWidth="1"/>
    <col min="9241" max="9241" width="4" style="927" customWidth="1"/>
    <col min="9242" max="9242" width="9.42578125" style="927" customWidth="1"/>
    <col min="9243" max="9244" width="9.140625" style="927" customWidth="1"/>
    <col min="9245" max="9245" width="10.5703125" style="927" customWidth="1"/>
    <col min="9246" max="9246" width="9.140625" style="927" customWidth="1"/>
    <col min="9247" max="9247" width="4" style="927" customWidth="1"/>
    <col min="9248" max="9248" width="9.42578125" style="927" customWidth="1"/>
    <col min="9249" max="9250" width="9.140625" style="927" customWidth="1"/>
    <col min="9251" max="9251" width="10.5703125" style="927" customWidth="1"/>
    <col min="9252" max="9252" width="9.140625" style="927" customWidth="1"/>
    <col min="9253" max="9253" width="4" style="927" customWidth="1"/>
    <col min="9254" max="9254" width="9.42578125" style="927" customWidth="1"/>
    <col min="9255" max="9256" width="9.140625" style="927" customWidth="1"/>
    <col min="9257" max="9257" width="10.5703125" style="927" customWidth="1"/>
    <col min="9258" max="9258" width="9.140625" style="927" customWidth="1"/>
    <col min="9259" max="9259" width="4" style="927" customWidth="1"/>
    <col min="9260" max="9260" width="9.42578125" style="927" customWidth="1"/>
    <col min="9261" max="9262" width="9.140625" style="927" customWidth="1"/>
    <col min="9263" max="9263" width="10.5703125" style="927" customWidth="1"/>
    <col min="9264" max="9264" width="9.140625" style="927" customWidth="1"/>
    <col min="9265" max="9265" width="4" style="927" customWidth="1"/>
    <col min="9266" max="9266" width="9.42578125" style="927" customWidth="1"/>
    <col min="9267" max="9268" width="9.140625" style="927" customWidth="1"/>
    <col min="9269" max="9269" width="10.5703125" style="927" customWidth="1"/>
    <col min="9270" max="9270" width="9.140625" style="927" customWidth="1"/>
    <col min="9271" max="9271" width="4" style="927" customWidth="1"/>
    <col min="9272" max="9272" width="9.42578125" style="927" customWidth="1"/>
    <col min="9273" max="9274" width="9.140625" style="927" customWidth="1"/>
    <col min="9275" max="9275" width="10.5703125" style="927" customWidth="1"/>
    <col min="9276" max="9276" width="9.140625" style="927" customWidth="1"/>
    <col min="9277" max="9277" width="4" style="927" customWidth="1"/>
    <col min="9278" max="9278" width="9.42578125" style="927" customWidth="1"/>
    <col min="9279" max="9280" width="9.140625" style="927" customWidth="1"/>
    <col min="9281" max="9281" width="10.5703125" style="927" customWidth="1"/>
    <col min="9282" max="9282" width="9.140625" style="927" customWidth="1"/>
    <col min="9283" max="9283" width="4" style="927" customWidth="1"/>
    <col min="9284" max="9284" width="9.42578125" style="927" customWidth="1"/>
    <col min="9285" max="9286" width="9.140625" style="927" customWidth="1"/>
    <col min="9287" max="9287" width="10.5703125" style="927" customWidth="1"/>
    <col min="9288" max="9288" width="9.140625" style="927" customWidth="1"/>
    <col min="9289" max="9289" width="4" style="927" customWidth="1"/>
    <col min="9290" max="9290" width="9.42578125" style="927" customWidth="1"/>
    <col min="9291" max="9292" width="9.140625" style="927" customWidth="1"/>
    <col min="9293" max="9293" width="10.5703125" style="927" customWidth="1"/>
    <col min="9294" max="9294" width="9.140625" style="927" customWidth="1"/>
    <col min="9295" max="9295" width="4" style="927" customWidth="1"/>
    <col min="9296" max="9296" width="9.42578125" style="927" customWidth="1"/>
    <col min="9297" max="9298" width="9.140625" style="927" customWidth="1"/>
    <col min="9299" max="9299" width="10.5703125" style="927" customWidth="1"/>
    <col min="9300" max="9300" width="9.140625" style="927" customWidth="1"/>
    <col min="9301" max="9301" width="4" style="927" customWidth="1"/>
    <col min="9302" max="9302" width="9.42578125" style="927" customWidth="1"/>
    <col min="9303" max="9304" width="9.140625" style="927" customWidth="1"/>
    <col min="9305" max="9305" width="10.5703125" style="927" customWidth="1"/>
    <col min="9306" max="9306" width="9.140625" style="927" customWidth="1"/>
    <col min="9307" max="9307" width="4" style="927" customWidth="1"/>
    <col min="9308" max="9308" width="9.42578125" style="927" customWidth="1"/>
    <col min="9309" max="9310" width="9.140625" style="927" customWidth="1"/>
    <col min="9311" max="9311" width="10.5703125" style="927" customWidth="1"/>
    <col min="9312" max="9312" width="9.140625" style="927" customWidth="1"/>
    <col min="9313" max="9313" width="4" style="927" customWidth="1"/>
    <col min="9314" max="9314" width="9.42578125" style="927" customWidth="1"/>
    <col min="9315" max="9316" width="9.140625" style="927" customWidth="1"/>
    <col min="9317" max="9317" width="10.5703125" style="927" customWidth="1"/>
    <col min="9318" max="9318" width="9.140625" style="927" customWidth="1"/>
    <col min="9319" max="9319" width="4" style="927" customWidth="1"/>
    <col min="9320" max="9320" width="12.42578125" style="927" customWidth="1"/>
    <col min="9321" max="9322" width="9.140625" style="927" customWidth="1"/>
    <col min="9323" max="9323" width="10.5703125" style="927" customWidth="1"/>
    <col min="9324" max="9324" width="9.140625" style="927" customWidth="1"/>
    <col min="9325" max="9325" width="4" style="927" customWidth="1"/>
    <col min="9326" max="9326" width="12.42578125" style="927" customWidth="1"/>
    <col min="9327" max="9328" width="9.140625" style="927" customWidth="1"/>
    <col min="9329" max="9329" width="10.5703125" style="927" customWidth="1"/>
    <col min="9330" max="9330" width="9.140625" style="927" customWidth="1"/>
    <col min="9331" max="9331" width="4" style="927" customWidth="1"/>
    <col min="9332" max="9332" width="12.42578125" style="927" customWidth="1"/>
    <col min="9333" max="9334" width="9.140625" style="927" customWidth="1"/>
    <col min="9335" max="9335" width="10.5703125" style="927" customWidth="1"/>
    <col min="9336" max="9336" width="9.140625" style="927" customWidth="1"/>
    <col min="9337" max="9337" width="4" style="927" customWidth="1"/>
    <col min="9338" max="9338" width="12.42578125" style="927" customWidth="1"/>
    <col min="9339" max="9340" width="9.140625" style="927" customWidth="1"/>
    <col min="9341" max="9341" width="10.5703125" style="927" customWidth="1"/>
    <col min="9342" max="9342" width="9.140625" style="927" customWidth="1"/>
    <col min="9343" max="9343" width="4" style="927" customWidth="1"/>
    <col min="9344" max="9344" width="12.42578125" style="927" customWidth="1"/>
    <col min="9345" max="9346" width="9.140625" style="927" customWidth="1"/>
    <col min="9347" max="9347" width="10.5703125" style="927" customWidth="1"/>
    <col min="9348" max="9472" width="9.140625" style="927"/>
    <col min="9473" max="9473" width="2.7109375" style="927" customWidth="1"/>
    <col min="9474" max="9474" width="9.140625" style="927" customWidth="1"/>
    <col min="9475" max="9475" width="9.42578125" style="927" customWidth="1"/>
    <col min="9476" max="9476" width="0" style="927" hidden="1" customWidth="1"/>
    <col min="9477" max="9477" width="9.140625" style="927" customWidth="1"/>
    <col min="9478" max="9478" width="2.42578125" style="927" customWidth="1"/>
    <col min="9479" max="9479" width="9.140625" style="927" customWidth="1"/>
    <col min="9480" max="9480" width="9.42578125" style="927" customWidth="1"/>
    <col min="9481" max="9481" width="0" style="927" hidden="1" customWidth="1"/>
    <col min="9482" max="9482" width="9.140625" style="927" customWidth="1"/>
    <col min="9483" max="9483" width="2.28515625" style="927" customWidth="1"/>
    <col min="9484" max="9484" width="9.140625" style="927" customWidth="1"/>
    <col min="9485" max="9485" width="9.42578125" style="927" customWidth="1"/>
    <col min="9486" max="9486" width="0" style="927" hidden="1" customWidth="1"/>
    <col min="9487" max="9487" width="9.140625" style="927" customWidth="1"/>
    <col min="9488" max="9488" width="2.5703125" style="927" customWidth="1"/>
    <col min="9489" max="9489" width="9.140625" style="927" customWidth="1"/>
    <col min="9490" max="9490" width="9.5703125" style="927" customWidth="1"/>
    <col min="9491" max="9491" width="0" style="927" hidden="1" customWidth="1"/>
    <col min="9492" max="9492" width="9.140625" style="927" customWidth="1"/>
    <col min="9493" max="9493" width="2.7109375" style="927" customWidth="1"/>
    <col min="9494" max="9495" width="9.140625" style="927" customWidth="1"/>
    <col min="9496" max="9496" width="3.140625" style="927" customWidth="1"/>
    <col min="9497" max="9497" width="4" style="927" customWidth="1"/>
    <col min="9498" max="9498" width="9.42578125" style="927" customWidth="1"/>
    <col min="9499" max="9500" width="9.140625" style="927" customWidth="1"/>
    <col min="9501" max="9501" width="10.5703125" style="927" customWidth="1"/>
    <col min="9502" max="9502" width="9.140625" style="927" customWidth="1"/>
    <col min="9503" max="9503" width="4" style="927" customWidth="1"/>
    <col min="9504" max="9504" width="9.42578125" style="927" customWidth="1"/>
    <col min="9505" max="9506" width="9.140625" style="927" customWidth="1"/>
    <col min="9507" max="9507" width="10.5703125" style="927" customWidth="1"/>
    <col min="9508" max="9508" width="9.140625" style="927" customWidth="1"/>
    <col min="9509" max="9509" width="4" style="927" customWidth="1"/>
    <col min="9510" max="9510" width="9.42578125" style="927" customWidth="1"/>
    <col min="9511" max="9512" width="9.140625" style="927" customWidth="1"/>
    <col min="9513" max="9513" width="10.5703125" style="927" customWidth="1"/>
    <col min="9514" max="9514" width="9.140625" style="927" customWidth="1"/>
    <col min="9515" max="9515" width="4" style="927" customWidth="1"/>
    <col min="9516" max="9516" width="9.42578125" style="927" customWidth="1"/>
    <col min="9517" max="9518" width="9.140625" style="927" customWidth="1"/>
    <col min="9519" max="9519" width="10.5703125" style="927" customWidth="1"/>
    <col min="9520" max="9520" width="9.140625" style="927" customWidth="1"/>
    <col min="9521" max="9521" width="4" style="927" customWidth="1"/>
    <col min="9522" max="9522" width="9.42578125" style="927" customWidth="1"/>
    <col min="9523" max="9524" width="9.140625" style="927" customWidth="1"/>
    <col min="9525" max="9525" width="10.5703125" style="927" customWidth="1"/>
    <col min="9526" max="9526" width="9.140625" style="927" customWidth="1"/>
    <col min="9527" max="9527" width="4" style="927" customWidth="1"/>
    <col min="9528" max="9528" width="9.42578125" style="927" customWidth="1"/>
    <col min="9529" max="9530" width="9.140625" style="927" customWidth="1"/>
    <col min="9531" max="9531" width="10.5703125" style="927" customWidth="1"/>
    <col min="9532" max="9532" width="9.140625" style="927" customWidth="1"/>
    <col min="9533" max="9533" width="4" style="927" customWidth="1"/>
    <col min="9534" max="9534" width="9.42578125" style="927" customWidth="1"/>
    <col min="9535" max="9536" width="9.140625" style="927" customWidth="1"/>
    <col min="9537" max="9537" width="10.5703125" style="927" customWidth="1"/>
    <col min="9538" max="9538" width="9.140625" style="927" customWidth="1"/>
    <col min="9539" max="9539" width="4" style="927" customWidth="1"/>
    <col min="9540" max="9540" width="9.42578125" style="927" customWidth="1"/>
    <col min="9541" max="9542" width="9.140625" style="927" customWidth="1"/>
    <col min="9543" max="9543" width="10.5703125" style="927" customWidth="1"/>
    <col min="9544" max="9544" width="9.140625" style="927" customWidth="1"/>
    <col min="9545" max="9545" width="4" style="927" customWidth="1"/>
    <col min="9546" max="9546" width="9.42578125" style="927" customWidth="1"/>
    <col min="9547" max="9548" width="9.140625" style="927" customWidth="1"/>
    <col min="9549" max="9549" width="10.5703125" style="927" customWidth="1"/>
    <col min="9550" max="9550" width="9.140625" style="927" customWidth="1"/>
    <col min="9551" max="9551" width="4" style="927" customWidth="1"/>
    <col min="9552" max="9552" width="9.42578125" style="927" customWidth="1"/>
    <col min="9553" max="9554" width="9.140625" style="927" customWidth="1"/>
    <col min="9555" max="9555" width="10.5703125" style="927" customWidth="1"/>
    <col min="9556" max="9556" width="9.140625" style="927" customWidth="1"/>
    <col min="9557" max="9557" width="4" style="927" customWidth="1"/>
    <col min="9558" max="9558" width="9.42578125" style="927" customWidth="1"/>
    <col min="9559" max="9560" width="9.140625" style="927" customWidth="1"/>
    <col min="9561" max="9561" width="10.5703125" style="927" customWidth="1"/>
    <col min="9562" max="9562" width="9.140625" style="927" customWidth="1"/>
    <col min="9563" max="9563" width="4" style="927" customWidth="1"/>
    <col min="9564" max="9564" width="9.42578125" style="927" customWidth="1"/>
    <col min="9565" max="9566" width="9.140625" style="927" customWidth="1"/>
    <col min="9567" max="9567" width="10.5703125" style="927" customWidth="1"/>
    <col min="9568" max="9568" width="9.140625" style="927" customWidth="1"/>
    <col min="9569" max="9569" width="4" style="927" customWidth="1"/>
    <col min="9570" max="9570" width="9.42578125" style="927" customWidth="1"/>
    <col min="9571" max="9572" width="9.140625" style="927" customWidth="1"/>
    <col min="9573" max="9573" width="10.5703125" style="927" customWidth="1"/>
    <col min="9574" max="9574" width="9.140625" style="927" customWidth="1"/>
    <col min="9575" max="9575" width="4" style="927" customWidth="1"/>
    <col min="9576" max="9576" width="12.42578125" style="927" customWidth="1"/>
    <col min="9577" max="9578" width="9.140625" style="927" customWidth="1"/>
    <col min="9579" max="9579" width="10.5703125" style="927" customWidth="1"/>
    <col min="9580" max="9580" width="9.140625" style="927" customWidth="1"/>
    <col min="9581" max="9581" width="4" style="927" customWidth="1"/>
    <col min="9582" max="9582" width="12.42578125" style="927" customWidth="1"/>
    <col min="9583" max="9584" width="9.140625" style="927" customWidth="1"/>
    <col min="9585" max="9585" width="10.5703125" style="927" customWidth="1"/>
    <col min="9586" max="9586" width="9.140625" style="927" customWidth="1"/>
    <col min="9587" max="9587" width="4" style="927" customWidth="1"/>
    <col min="9588" max="9588" width="12.42578125" style="927" customWidth="1"/>
    <col min="9589" max="9590" width="9.140625" style="927" customWidth="1"/>
    <col min="9591" max="9591" width="10.5703125" style="927" customWidth="1"/>
    <col min="9592" max="9592" width="9.140625" style="927" customWidth="1"/>
    <col min="9593" max="9593" width="4" style="927" customWidth="1"/>
    <col min="9594" max="9594" width="12.42578125" style="927" customWidth="1"/>
    <col min="9595" max="9596" width="9.140625" style="927" customWidth="1"/>
    <col min="9597" max="9597" width="10.5703125" style="927" customWidth="1"/>
    <col min="9598" max="9598" width="9.140625" style="927" customWidth="1"/>
    <col min="9599" max="9599" width="4" style="927" customWidth="1"/>
    <col min="9600" max="9600" width="12.42578125" style="927" customWidth="1"/>
    <col min="9601" max="9602" width="9.140625" style="927" customWidth="1"/>
    <col min="9603" max="9603" width="10.5703125" style="927" customWidth="1"/>
    <col min="9604" max="9728" width="9.140625" style="927"/>
    <col min="9729" max="9729" width="2.7109375" style="927" customWidth="1"/>
    <col min="9730" max="9730" width="9.140625" style="927" customWidth="1"/>
    <col min="9731" max="9731" width="9.42578125" style="927" customWidth="1"/>
    <col min="9732" max="9732" width="0" style="927" hidden="1" customWidth="1"/>
    <col min="9733" max="9733" width="9.140625" style="927" customWidth="1"/>
    <col min="9734" max="9734" width="2.42578125" style="927" customWidth="1"/>
    <col min="9735" max="9735" width="9.140625" style="927" customWidth="1"/>
    <col min="9736" max="9736" width="9.42578125" style="927" customWidth="1"/>
    <col min="9737" max="9737" width="0" style="927" hidden="1" customWidth="1"/>
    <col min="9738" max="9738" width="9.140625" style="927" customWidth="1"/>
    <col min="9739" max="9739" width="2.28515625" style="927" customWidth="1"/>
    <col min="9740" max="9740" width="9.140625" style="927" customWidth="1"/>
    <col min="9741" max="9741" width="9.42578125" style="927" customWidth="1"/>
    <col min="9742" max="9742" width="0" style="927" hidden="1" customWidth="1"/>
    <col min="9743" max="9743" width="9.140625" style="927" customWidth="1"/>
    <col min="9744" max="9744" width="2.5703125" style="927" customWidth="1"/>
    <col min="9745" max="9745" width="9.140625" style="927" customWidth="1"/>
    <col min="9746" max="9746" width="9.5703125" style="927" customWidth="1"/>
    <col min="9747" max="9747" width="0" style="927" hidden="1" customWidth="1"/>
    <col min="9748" max="9748" width="9.140625" style="927" customWidth="1"/>
    <col min="9749" max="9749" width="2.7109375" style="927" customWidth="1"/>
    <col min="9750" max="9751" width="9.140625" style="927" customWidth="1"/>
    <col min="9752" max="9752" width="3.140625" style="927" customWidth="1"/>
    <col min="9753" max="9753" width="4" style="927" customWidth="1"/>
    <col min="9754" max="9754" width="9.42578125" style="927" customWidth="1"/>
    <col min="9755" max="9756" width="9.140625" style="927" customWidth="1"/>
    <col min="9757" max="9757" width="10.5703125" style="927" customWidth="1"/>
    <col min="9758" max="9758" width="9.140625" style="927" customWidth="1"/>
    <col min="9759" max="9759" width="4" style="927" customWidth="1"/>
    <col min="9760" max="9760" width="9.42578125" style="927" customWidth="1"/>
    <col min="9761" max="9762" width="9.140625" style="927" customWidth="1"/>
    <col min="9763" max="9763" width="10.5703125" style="927" customWidth="1"/>
    <col min="9764" max="9764" width="9.140625" style="927" customWidth="1"/>
    <col min="9765" max="9765" width="4" style="927" customWidth="1"/>
    <col min="9766" max="9766" width="9.42578125" style="927" customWidth="1"/>
    <col min="9767" max="9768" width="9.140625" style="927" customWidth="1"/>
    <col min="9769" max="9769" width="10.5703125" style="927" customWidth="1"/>
    <col min="9770" max="9770" width="9.140625" style="927" customWidth="1"/>
    <col min="9771" max="9771" width="4" style="927" customWidth="1"/>
    <col min="9772" max="9772" width="9.42578125" style="927" customWidth="1"/>
    <col min="9773" max="9774" width="9.140625" style="927" customWidth="1"/>
    <col min="9775" max="9775" width="10.5703125" style="927" customWidth="1"/>
    <col min="9776" max="9776" width="9.140625" style="927" customWidth="1"/>
    <col min="9777" max="9777" width="4" style="927" customWidth="1"/>
    <col min="9778" max="9778" width="9.42578125" style="927" customWidth="1"/>
    <col min="9779" max="9780" width="9.140625" style="927" customWidth="1"/>
    <col min="9781" max="9781" width="10.5703125" style="927" customWidth="1"/>
    <col min="9782" max="9782" width="9.140625" style="927" customWidth="1"/>
    <col min="9783" max="9783" width="4" style="927" customWidth="1"/>
    <col min="9784" max="9784" width="9.42578125" style="927" customWidth="1"/>
    <col min="9785" max="9786" width="9.140625" style="927" customWidth="1"/>
    <col min="9787" max="9787" width="10.5703125" style="927" customWidth="1"/>
    <col min="9788" max="9788" width="9.140625" style="927" customWidth="1"/>
    <col min="9789" max="9789" width="4" style="927" customWidth="1"/>
    <col min="9790" max="9790" width="9.42578125" style="927" customWidth="1"/>
    <col min="9791" max="9792" width="9.140625" style="927" customWidth="1"/>
    <col min="9793" max="9793" width="10.5703125" style="927" customWidth="1"/>
    <col min="9794" max="9794" width="9.140625" style="927" customWidth="1"/>
    <col min="9795" max="9795" width="4" style="927" customWidth="1"/>
    <col min="9796" max="9796" width="9.42578125" style="927" customWidth="1"/>
    <col min="9797" max="9798" width="9.140625" style="927" customWidth="1"/>
    <col min="9799" max="9799" width="10.5703125" style="927" customWidth="1"/>
    <col min="9800" max="9800" width="9.140625" style="927" customWidth="1"/>
    <col min="9801" max="9801" width="4" style="927" customWidth="1"/>
    <col min="9802" max="9802" width="9.42578125" style="927" customWidth="1"/>
    <col min="9803" max="9804" width="9.140625" style="927" customWidth="1"/>
    <col min="9805" max="9805" width="10.5703125" style="927" customWidth="1"/>
    <col min="9806" max="9806" width="9.140625" style="927" customWidth="1"/>
    <col min="9807" max="9807" width="4" style="927" customWidth="1"/>
    <col min="9808" max="9808" width="9.42578125" style="927" customWidth="1"/>
    <col min="9809" max="9810" width="9.140625" style="927" customWidth="1"/>
    <col min="9811" max="9811" width="10.5703125" style="927" customWidth="1"/>
    <col min="9812" max="9812" width="9.140625" style="927" customWidth="1"/>
    <col min="9813" max="9813" width="4" style="927" customWidth="1"/>
    <col min="9814" max="9814" width="9.42578125" style="927" customWidth="1"/>
    <col min="9815" max="9816" width="9.140625" style="927" customWidth="1"/>
    <col min="9817" max="9817" width="10.5703125" style="927" customWidth="1"/>
    <col min="9818" max="9818" width="9.140625" style="927" customWidth="1"/>
    <col min="9819" max="9819" width="4" style="927" customWidth="1"/>
    <col min="9820" max="9820" width="9.42578125" style="927" customWidth="1"/>
    <col min="9821" max="9822" width="9.140625" style="927" customWidth="1"/>
    <col min="9823" max="9823" width="10.5703125" style="927" customWidth="1"/>
    <col min="9824" max="9824" width="9.140625" style="927" customWidth="1"/>
    <col min="9825" max="9825" width="4" style="927" customWidth="1"/>
    <col min="9826" max="9826" width="9.42578125" style="927" customWidth="1"/>
    <col min="9827" max="9828" width="9.140625" style="927" customWidth="1"/>
    <col min="9829" max="9829" width="10.5703125" style="927" customWidth="1"/>
    <col min="9830" max="9830" width="9.140625" style="927" customWidth="1"/>
    <col min="9831" max="9831" width="4" style="927" customWidth="1"/>
    <col min="9832" max="9832" width="12.42578125" style="927" customWidth="1"/>
    <col min="9833" max="9834" width="9.140625" style="927" customWidth="1"/>
    <col min="9835" max="9835" width="10.5703125" style="927" customWidth="1"/>
    <col min="9836" max="9836" width="9.140625" style="927" customWidth="1"/>
    <col min="9837" max="9837" width="4" style="927" customWidth="1"/>
    <col min="9838" max="9838" width="12.42578125" style="927" customWidth="1"/>
    <col min="9839" max="9840" width="9.140625" style="927" customWidth="1"/>
    <col min="9841" max="9841" width="10.5703125" style="927" customWidth="1"/>
    <col min="9842" max="9842" width="9.140625" style="927" customWidth="1"/>
    <col min="9843" max="9843" width="4" style="927" customWidth="1"/>
    <col min="9844" max="9844" width="12.42578125" style="927" customWidth="1"/>
    <col min="9845" max="9846" width="9.140625" style="927" customWidth="1"/>
    <col min="9847" max="9847" width="10.5703125" style="927" customWidth="1"/>
    <col min="9848" max="9848" width="9.140625" style="927" customWidth="1"/>
    <col min="9849" max="9849" width="4" style="927" customWidth="1"/>
    <col min="9850" max="9850" width="12.42578125" style="927" customWidth="1"/>
    <col min="9851" max="9852" width="9.140625" style="927" customWidth="1"/>
    <col min="9853" max="9853" width="10.5703125" style="927" customWidth="1"/>
    <col min="9854" max="9854" width="9.140625" style="927" customWidth="1"/>
    <col min="9855" max="9855" width="4" style="927" customWidth="1"/>
    <col min="9856" max="9856" width="12.42578125" style="927" customWidth="1"/>
    <col min="9857" max="9858" width="9.140625" style="927" customWidth="1"/>
    <col min="9859" max="9859" width="10.5703125" style="927" customWidth="1"/>
    <col min="9860" max="9984" width="9.140625" style="927"/>
    <col min="9985" max="9985" width="2.7109375" style="927" customWidth="1"/>
    <col min="9986" max="9986" width="9.140625" style="927" customWidth="1"/>
    <col min="9987" max="9987" width="9.42578125" style="927" customWidth="1"/>
    <col min="9988" max="9988" width="0" style="927" hidden="1" customWidth="1"/>
    <col min="9989" max="9989" width="9.140625" style="927" customWidth="1"/>
    <col min="9990" max="9990" width="2.42578125" style="927" customWidth="1"/>
    <col min="9991" max="9991" width="9.140625" style="927" customWidth="1"/>
    <col min="9992" max="9992" width="9.42578125" style="927" customWidth="1"/>
    <col min="9993" max="9993" width="0" style="927" hidden="1" customWidth="1"/>
    <col min="9994" max="9994" width="9.140625" style="927" customWidth="1"/>
    <col min="9995" max="9995" width="2.28515625" style="927" customWidth="1"/>
    <col min="9996" max="9996" width="9.140625" style="927" customWidth="1"/>
    <col min="9997" max="9997" width="9.42578125" style="927" customWidth="1"/>
    <col min="9998" max="9998" width="0" style="927" hidden="1" customWidth="1"/>
    <col min="9999" max="9999" width="9.140625" style="927" customWidth="1"/>
    <col min="10000" max="10000" width="2.5703125" style="927" customWidth="1"/>
    <col min="10001" max="10001" width="9.140625" style="927" customWidth="1"/>
    <col min="10002" max="10002" width="9.5703125" style="927" customWidth="1"/>
    <col min="10003" max="10003" width="0" style="927" hidden="1" customWidth="1"/>
    <col min="10004" max="10004" width="9.140625" style="927" customWidth="1"/>
    <col min="10005" max="10005" width="2.7109375" style="927" customWidth="1"/>
    <col min="10006" max="10007" width="9.140625" style="927" customWidth="1"/>
    <col min="10008" max="10008" width="3.140625" style="927" customWidth="1"/>
    <col min="10009" max="10009" width="4" style="927" customWidth="1"/>
    <col min="10010" max="10010" width="9.42578125" style="927" customWidth="1"/>
    <col min="10011" max="10012" width="9.140625" style="927" customWidth="1"/>
    <col min="10013" max="10013" width="10.5703125" style="927" customWidth="1"/>
    <col min="10014" max="10014" width="9.140625" style="927" customWidth="1"/>
    <col min="10015" max="10015" width="4" style="927" customWidth="1"/>
    <col min="10016" max="10016" width="9.42578125" style="927" customWidth="1"/>
    <col min="10017" max="10018" width="9.140625" style="927" customWidth="1"/>
    <col min="10019" max="10019" width="10.5703125" style="927" customWidth="1"/>
    <col min="10020" max="10020" width="9.140625" style="927" customWidth="1"/>
    <col min="10021" max="10021" width="4" style="927" customWidth="1"/>
    <col min="10022" max="10022" width="9.42578125" style="927" customWidth="1"/>
    <col min="10023" max="10024" width="9.140625" style="927" customWidth="1"/>
    <col min="10025" max="10025" width="10.5703125" style="927" customWidth="1"/>
    <col min="10026" max="10026" width="9.140625" style="927" customWidth="1"/>
    <col min="10027" max="10027" width="4" style="927" customWidth="1"/>
    <col min="10028" max="10028" width="9.42578125" style="927" customWidth="1"/>
    <col min="10029" max="10030" width="9.140625" style="927" customWidth="1"/>
    <col min="10031" max="10031" width="10.5703125" style="927" customWidth="1"/>
    <col min="10032" max="10032" width="9.140625" style="927" customWidth="1"/>
    <col min="10033" max="10033" width="4" style="927" customWidth="1"/>
    <col min="10034" max="10034" width="9.42578125" style="927" customWidth="1"/>
    <col min="10035" max="10036" width="9.140625" style="927" customWidth="1"/>
    <col min="10037" max="10037" width="10.5703125" style="927" customWidth="1"/>
    <col min="10038" max="10038" width="9.140625" style="927" customWidth="1"/>
    <col min="10039" max="10039" width="4" style="927" customWidth="1"/>
    <col min="10040" max="10040" width="9.42578125" style="927" customWidth="1"/>
    <col min="10041" max="10042" width="9.140625" style="927" customWidth="1"/>
    <col min="10043" max="10043" width="10.5703125" style="927" customWidth="1"/>
    <col min="10044" max="10044" width="9.140625" style="927" customWidth="1"/>
    <col min="10045" max="10045" width="4" style="927" customWidth="1"/>
    <col min="10046" max="10046" width="9.42578125" style="927" customWidth="1"/>
    <col min="10047" max="10048" width="9.140625" style="927" customWidth="1"/>
    <col min="10049" max="10049" width="10.5703125" style="927" customWidth="1"/>
    <col min="10050" max="10050" width="9.140625" style="927" customWidth="1"/>
    <col min="10051" max="10051" width="4" style="927" customWidth="1"/>
    <col min="10052" max="10052" width="9.42578125" style="927" customWidth="1"/>
    <col min="10053" max="10054" width="9.140625" style="927" customWidth="1"/>
    <col min="10055" max="10055" width="10.5703125" style="927" customWidth="1"/>
    <col min="10056" max="10056" width="9.140625" style="927" customWidth="1"/>
    <col min="10057" max="10057" width="4" style="927" customWidth="1"/>
    <col min="10058" max="10058" width="9.42578125" style="927" customWidth="1"/>
    <col min="10059" max="10060" width="9.140625" style="927" customWidth="1"/>
    <col min="10061" max="10061" width="10.5703125" style="927" customWidth="1"/>
    <col min="10062" max="10062" width="9.140625" style="927" customWidth="1"/>
    <col min="10063" max="10063" width="4" style="927" customWidth="1"/>
    <col min="10064" max="10064" width="9.42578125" style="927" customWidth="1"/>
    <col min="10065" max="10066" width="9.140625" style="927" customWidth="1"/>
    <col min="10067" max="10067" width="10.5703125" style="927" customWidth="1"/>
    <col min="10068" max="10068" width="9.140625" style="927" customWidth="1"/>
    <col min="10069" max="10069" width="4" style="927" customWidth="1"/>
    <col min="10070" max="10070" width="9.42578125" style="927" customWidth="1"/>
    <col min="10071" max="10072" width="9.140625" style="927" customWidth="1"/>
    <col min="10073" max="10073" width="10.5703125" style="927" customWidth="1"/>
    <col min="10074" max="10074" width="9.140625" style="927" customWidth="1"/>
    <col min="10075" max="10075" width="4" style="927" customWidth="1"/>
    <col min="10076" max="10076" width="9.42578125" style="927" customWidth="1"/>
    <col min="10077" max="10078" width="9.140625" style="927" customWidth="1"/>
    <col min="10079" max="10079" width="10.5703125" style="927" customWidth="1"/>
    <col min="10080" max="10080" width="9.140625" style="927" customWidth="1"/>
    <col min="10081" max="10081" width="4" style="927" customWidth="1"/>
    <col min="10082" max="10082" width="9.42578125" style="927" customWidth="1"/>
    <col min="10083" max="10084" width="9.140625" style="927" customWidth="1"/>
    <col min="10085" max="10085" width="10.5703125" style="927" customWidth="1"/>
    <col min="10086" max="10086" width="9.140625" style="927" customWidth="1"/>
    <col min="10087" max="10087" width="4" style="927" customWidth="1"/>
    <col min="10088" max="10088" width="12.42578125" style="927" customWidth="1"/>
    <col min="10089" max="10090" width="9.140625" style="927" customWidth="1"/>
    <col min="10091" max="10091" width="10.5703125" style="927" customWidth="1"/>
    <col min="10092" max="10092" width="9.140625" style="927" customWidth="1"/>
    <col min="10093" max="10093" width="4" style="927" customWidth="1"/>
    <col min="10094" max="10094" width="12.42578125" style="927" customWidth="1"/>
    <col min="10095" max="10096" width="9.140625" style="927" customWidth="1"/>
    <col min="10097" max="10097" width="10.5703125" style="927" customWidth="1"/>
    <col min="10098" max="10098" width="9.140625" style="927" customWidth="1"/>
    <col min="10099" max="10099" width="4" style="927" customWidth="1"/>
    <col min="10100" max="10100" width="12.42578125" style="927" customWidth="1"/>
    <col min="10101" max="10102" width="9.140625" style="927" customWidth="1"/>
    <col min="10103" max="10103" width="10.5703125" style="927" customWidth="1"/>
    <col min="10104" max="10104" width="9.140625" style="927" customWidth="1"/>
    <col min="10105" max="10105" width="4" style="927" customWidth="1"/>
    <col min="10106" max="10106" width="12.42578125" style="927" customWidth="1"/>
    <col min="10107" max="10108" width="9.140625" style="927" customWidth="1"/>
    <col min="10109" max="10109" width="10.5703125" style="927" customWidth="1"/>
    <col min="10110" max="10110" width="9.140625" style="927" customWidth="1"/>
    <col min="10111" max="10111" width="4" style="927" customWidth="1"/>
    <col min="10112" max="10112" width="12.42578125" style="927" customWidth="1"/>
    <col min="10113" max="10114" width="9.140625" style="927" customWidth="1"/>
    <col min="10115" max="10115" width="10.5703125" style="927" customWidth="1"/>
    <col min="10116" max="10240" width="9.140625" style="927"/>
    <col min="10241" max="10241" width="2.7109375" style="927" customWidth="1"/>
    <col min="10242" max="10242" width="9.140625" style="927" customWidth="1"/>
    <col min="10243" max="10243" width="9.42578125" style="927" customWidth="1"/>
    <col min="10244" max="10244" width="0" style="927" hidden="1" customWidth="1"/>
    <col min="10245" max="10245" width="9.140625" style="927" customWidth="1"/>
    <col min="10246" max="10246" width="2.42578125" style="927" customWidth="1"/>
    <col min="10247" max="10247" width="9.140625" style="927" customWidth="1"/>
    <col min="10248" max="10248" width="9.42578125" style="927" customWidth="1"/>
    <col min="10249" max="10249" width="0" style="927" hidden="1" customWidth="1"/>
    <col min="10250" max="10250" width="9.140625" style="927" customWidth="1"/>
    <col min="10251" max="10251" width="2.28515625" style="927" customWidth="1"/>
    <col min="10252" max="10252" width="9.140625" style="927" customWidth="1"/>
    <col min="10253" max="10253" width="9.42578125" style="927" customWidth="1"/>
    <col min="10254" max="10254" width="0" style="927" hidden="1" customWidth="1"/>
    <col min="10255" max="10255" width="9.140625" style="927" customWidth="1"/>
    <col min="10256" max="10256" width="2.5703125" style="927" customWidth="1"/>
    <col min="10257" max="10257" width="9.140625" style="927" customWidth="1"/>
    <col min="10258" max="10258" width="9.5703125" style="927" customWidth="1"/>
    <col min="10259" max="10259" width="0" style="927" hidden="1" customWidth="1"/>
    <col min="10260" max="10260" width="9.140625" style="927" customWidth="1"/>
    <col min="10261" max="10261" width="2.7109375" style="927" customWidth="1"/>
    <col min="10262" max="10263" width="9.140625" style="927" customWidth="1"/>
    <col min="10264" max="10264" width="3.140625" style="927" customWidth="1"/>
    <col min="10265" max="10265" width="4" style="927" customWidth="1"/>
    <col min="10266" max="10266" width="9.42578125" style="927" customWidth="1"/>
    <col min="10267" max="10268" width="9.140625" style="927" customWidth="1"/>
    <col min="10269" max="10269" width="10.5703125" style="927" customWidth="1"/>
    <col min="10270" max="10270" width="9.140625" style="927" customWidth="1"/>
    <col min="10271" max="10271" width="4" style="927" customWidth="1"/>
    <col min="10272" max="10272" width="9.42578125" style="927" customWidth="1"/>
    <col min="10273" max="10274" width="9.140625" style="927" customWidth="1"/>
    <col min="10275" max="10275" width="10.5703125" style="927" customWidth="1"/>
    <col min="10276" max="10276" width="9.140625" style="927" customWidth="1"/>
    <col min="10277" max="10277" width="4" style="927" customWidth="1"/>
    <col min="10278" max="10278" width="9.42578125" style="927" customWidth="1"/>
    <col min="10279" max="10280" width="9.140625" style="927" customWidth="1"/>
    <col min="10281" max="10281" width="10.5703125" style="927" customWidth="1"/>
    <col min="10282" max="10282" width="9.140625" style="927" customWidth="1"/>
    <col min="10283" max="10283" width="4" style="927" customWidth="1"/>
    <col min="10284" max="10284" width="9.42578125" style="927" customWidth="1"/>
    <col min="10285" max="10286" width="9.140625" style="927" customWidth="1"/>
    <col min="10287" max="10287" width="10.5703125" style="927" customWidth="1"/>
    <col min="10288" max="10288" width="9.140625" style="927" customWidth="1"/>
    <col min="10289" max="10289" width="4" style="927" customWidth="1"/>
    <col min="10290" max="10290" width="9.42578125" style="927" customWidth="1"/>
    <col min="10291" max="10292" width="9.140625" style="927" customWidth="1"/>
    <col min="10293" max="10293" width="10.5703125" style="927" customWidth="1"/>
    <col min="10294" max="10294" width="9.140625" style="927" customWidth="1"/>
    <col min="10295" max="10295" width="4" style="927" customWidth="1"/>
    <col min="10296" max="10296" width="9.42578125" style="927" customWidth="1"/>
    <col min="10297" max="10298" width="9.140625" style="927" customWidth="1"/>
    <col min="10299" max="10299" width="10.5703125" style="927" customWidth="1"/>
    <col min="10300" max="10300" width="9.140625" style="927" customWidth="1"/>
    <col min="10301" max="10301" width="4" style="927" customWidth="1"/>
    <col min="10302" max="10302" width="9.42578125" style="927" customWidth="1"/>
    <col min="10303" max="10304" width="9.140625" style="927" customWidth="1"/>
    <col min="10305" max="10305" width="10.5703125" style="927" customWidth="1"/>
    <col min="10306" max="10306" width="9.140625" style="927" customWidth="1"/>
    <col min="10307" max="10307" width="4" style="927" customWidth="1"/>
    <col min="10308" max="10308" width="9.42578125" style="927" customWidth="1"/>
    <col min="10309" max="10310" width="9.140625" style="927" customWidth="1"/>
    <col min="10311" max="10311" width="10.5703125" style="927" customWidth="1"/>
    <col min="10312" max="10312" width="9.140625" style="927" customWidth="1"/>
    <col min="10313" max="10313" width="4" style="927" customWidth="1"/>
    <col min="10314" max="10314" width="9.42578125" style="927" customWidth="1"/>
    <col min="10315" max="10316" width="9.140625" style="927" customWidth="1"/>
    <col min="10317" max="10317" width="10.5703125" style="927" customWidth="1"/>
    <col min="10318" max="10318" width="9.140625" style="927" customWidth="1"/>
    <col min="10319" max="10319" width="4" style="927" customWidth="1"/>
    <col min="10320" max="10320" width="9.42578125" style="927" customWidth="1"/>
    <col min="10321" max="10322" width="9.140625" style="927" customWidth="1"/>
    <col min="10323" max="10323" width="10.5703125" style="927" customWidth="1"/>
    <col min="10324" max="10324" width="9.140625" style="927" customWidth="1"/>
    <col min="10325" max="10325" width="4" style="927" customWidth="1"/>
    <col min="10326" max="10326" width="9.42578125" style="927" customWidth="1"/>
    <col min="10327" max="10328" width="9.140625" style="927" customWidth="1"/>
    <col min="10329" max="10329" width="10.5703125" style="927" customWidth="1"/>
    <col min="10330" max="10330" width="9.140625" style="927" customWidth="1"/>
    <col min="10331" max="10331" width="4" style="927" customWidth="1"/>
    <col min="10332" max="10332" width="9.42578125" style="927" customWidth="1"/>
    <col min="10333" max="10334" width="9.140625" style="927" customWidth="1"/>
    <col min="10335" max="10335" width="10.5703125" style="927" customWidth="1"/>
    <col min="10336" max="10336" width="9.140625" style="927" customWidth="1"/>
    <col min="10337" max="10337" width="4" style="927" customWidth="1"/>
    <col min="10338" max="10338" width="9.42578125" style="927" customWidth="1"/>
    <col min="10339" max="10340" width="9.140625" style="927" customWidth="1"/>
    <col min="10341" max="10341" width="10.5703125" style="927" customWidth="1"/>
    <col min="10342" max="10342" width="9.140625" style="927" customWidth="1"/>
    <col min="10343" max="10343" width="4" style="927" customWidth="1"/>
    <col min="10344" max="10344" width="12.42578125" style="927" customWidth="1"/>
    <col min="10345" max="10346" width="9.140625" style="927" customWidth="1"/>
    <col min="10347" max="10347" width="10.5703125" style="927" customWidth="1"/>
    <col min="10348" max="10348" width="9.140625" style="927" customWidth="1"/>
    <col min="10349" max="10349" width="4" style="927" customWidth="1"/>
    <col min="10350" max="10350" width="12.42578125" style="927" customWidth="1"/>
    <col min="10351" max="10352" width="9.140625" style="927" customWidth="1"/>
    <col min="10353" max="10353" width="10.5703125" style="927" customWidth="1"/>
    <col min="10354" max="10354" width="9.140625" style="927" customWidth="1"/>
    <col min="10355" max="10355" width="4" style="927" customWidth="1"/>
    <col min="10356" max="10356" width="12.42578125" style="927" customWidth="1"/>
    <col min="10357" max="10358" width="9.140625" style="927" customWidth="1"/>
    <col min="10359" max="10359" width="10.5703125" style="927" customWidth="1"/>
    <col min="10360" max="10360" width="9.140625" style="927" customWidth="1"/>
    <col min="10361" max="10361" width="4" style="927" customWidth="1"/>
    <col min="10362" max="10362" width="12.42578125" style="927" customWidth="1"/>
    <col min="10363" max="10364" width="9.140625" style="927" customWidth="1"/>
    <col min="10365" max="10365" width="10.5703125" style="927" customWidth="1"/>
    <col min="10366" max="10366" width="9.140625" style="927" customWidth="1"/>
    <col min="10367" max="10367" width="4" style="927" customWidth="1"/>
    <col min="10368" max="10368" width="12.42578125" style="927" customWidth="1"/>
    <col min="10369" max="10370" width="9.140625" style="927" customWidth="1"/>
    <col min="10371" max="10371" width="10.5703125" style="927" customWidth="1"/>
    <col min="10372" max="10496" width="9.140625" style="927"/>
    <col min="10497" max="10497" width="2.7109375" style="927" customWidth="1"/>
    <col min="10498" max="10498" width="9.140625" style="927" customWidth="1"/>
    <col min="10499" max="10499" width="9.42578125" style="927" customWidth="1"/>
    <col min="10500" max="10500" width="0" style="927" hidden="1" customWidth="1"/>
    <col min="10501" max="10501" width="9.140625" style="927" customWidth="1"/>
    <col min="10502" max="10502" width="2.42578125" style="927" customWidth="1"/>
    <col min="10503" max="10503" width="9.140625" style="927" customWidth="1"/>
    <col min="10504" max="10504" width="9.42578125" style="927" customWidth="1"/>
    <col min="10505" max="10505" width="0" style="927" hidden="1" customWidth="1"/>
    <col min="10506" max="10506" width="9.140625" style="927" customWidth="1"/>
    <col min="10507" max="10507" width="2.28515625" style="927" customWidth="1"/>
    <col min="10508" max="10508" width="9.140625" style="927" customWidth="1"/>
    <col min="10509" max="10509" width="9.42578125" style="927" customWidth="1"/>
    <col min="10510" max="10510" width="0" style="927" hidden="1" customWidth="1"/>
    <col min="10511" max="10511" width="9.140625" style="927" customWidth="1"/>
    <col min="10512" max="10512" width="2.5703125" style="927" customWidth="1"/>
    <col min="10513" max="10513" width="9.140625" style="927" customWidth="1"/>
    <col min="10514" max="10514" width="9.5703125" style="927" customWidth="1"/>
    <col min="10515" max="10515" width="0" style="927" hidden="1" customWidth="1"/>
    <col min="10516" max="10516" width="9.140625" style="927" customWidth="1"/>
    <col min="10517" max="10517" width="2.7109375" style="927" customWidth="1"/>
    <col min="10518" max="10519" width="9.140625" style="927" customWidth="1"/>
    <col min="10520" max="10520" width="3.140625" style="927" customWidth="1"/>
    <col min="10521" max="10521" width="4" style="927" customWidth="1"/>
    <col min="10522" max="10522" width="9.42578125" style="927" customWidth="1"/>
    <col min="10523" max="10524" width="9.140625" style="927" customWidth="1"/>
    <col min="10525" max="10525" width="10.5703125" style="927" customWidth="1"/>
    <col min="10526" max="10526" width="9.140625" style="927" customWidth="1"/>
    <col min="10527" max="10527" width="4" style="927" customWidth="1"/>
    <col min="10528" max="10528" width="9.42578125" style="927" customWidth="1"/>
    <col min="10529" max="10530" width="9.140625" style="927" customWidth="1"/>
    <col min="10531" max="10531" width="10.5703125" style="927" customWidth="1"/>
    <col min="10532" max="10532" width="9.140625" style="927" customWidth="1"/>
    <col min="10533" max="10533" width="4" style="927" customWidth="1"/>
    <col min="10534" max="10534" width="9.42578125" style="927" customWidth="1"/>
    <col min="10535" max="10536" width="9.140625" style="927" customWidth="1"/>
    <col min="10537" max="10537" width="10.5703125" style="927" customWidth="1"/>
    <col min="10538" max="10538" width="9.140625" style="927" customWidth="1"/>
    <col min="10539" max="10539" width="4" style="927" customWidth="1"/>
    <col min="10540" max="10540" width="9.42578125" style="927" customWidth="1"/>
    <col min="10541" max="10542" width="9.140625" style="927" customWidth="1"/>
    <col min="10543" max="10543" width="10.5703125" style="927" customWidth="1"/>
    <col min="10544" max="10544" width="9.140625" style="927" customWidth="1"/>
    <col min="10545" max="10545" width="4" style="927" customWidth="1"/>
    <col min="10546" max="10546" width="9.42578125" style="927" customWidth="1"/>
    <col min="10547" max="10548" width="9.140625" style="927" customWidth="1"/>
    <col min="10549" max="10549" width="10.5703125" style="927" customWidth="1"/>
    <col min="10550" max="10550" width="9.140625" style="927" customWidth="1"/>
    <col min="10551" max="10551" width="4" style="927" customWidth="1"/>
    <col min="10552" max="10552" width="9.42578125" style="927" customWidth="1"/>
    <col min="10553" max="10554" width="9.140625" style="927" customWidth="1"/>
    <col min="10555" max="10555" width="10.5703125" style="927" customWidth="1"/>
    <col min="10556" max="10556" width="9.140625" style="927" customWidth="1"/>
    <col min="10557" max="10557" width="4" style="927" customWidth="1"/>
    <col min="10558" max="10558" width="9.42578125" style="927" customWidth="1"/>
    <col min="10559" max="10560" width="9.140625" style="927" customWidth="1"/>
    <col min="10561" max="10561" width="10.5703125" style="927" customWidth="1"/>
    <col min="10562" max="10562" width="9.140625" style="927" customWidth="1"/>
    <col min="10563" max="10563" width="4" style="927" customWidth="1"/>
    <col min="10564" max="10564" width="9.42578125" style="927" customWidth="1"/>
    <col min="10565" max="10566" width="9.140625" style="927" customWidth="1"/>
    <col min="10567" max="10567" width="10.5703125" style="927" customWidth="1"/>
    <col min="10568" max="10568" width="9.140625" style="927" customWidth="1"/>
    <col min="10569" max="10569" width="4" style="927" customWidth="1"/>
    <col min="10570" max="10570" width="9.42578125" style="927" customWidth="1"/>
    <col min="10571" max="10572" width="9.140625" style="927" customWidth="1"/>
    <col min="10573" max="10573" width="10.5703125" style="927" customWidth="1"/>
    <col min="10574" max="10574" width="9.140625" style="927" customWidth="1"/>
    <col min="10575" max="10575" width="4" style="927" customWidth="1"/>
    <col min="10576" max="10576" width="9.42578125" style="927" customWidth="1"/>
    <col min="10577" max="10578" width="9.140625" style="927" customWidth="1"/>
    <col min="10579" max="10579" width="10.5703125" style="927" customWidth="1"/>
    <col min="10580" max="10580" width="9.140625" style="927" customWidth="1"/>
    <col min="10581" max="10581" width="4" style="927" customWidth="1"/>
    <col min="10582" max="10582" width="9.42578125" style="927" customWidth="1"/>
    <col min="10583" max="10584" width="9.140625" style="927" customWidth="1"/>
    <col min="10585" max="10585" width="10.5703125" style="927" customWidth="1"/>
    <col min="10586" max="10586" width="9.140625" style="927" customWidth="1"/>
    <col min="10587" max="10587" width="4" style="927" customWidth="1"/>
    <col min="10588" max="10588" width="9.42578125" style="927" customWidth="1"/>
    <col min="10589" max="10590" width="9.140625" style="927" customWidth="1"/>
    <col min="10591" max="10591" width="10.5703125" style="927" customWidth="1"/>
    <col min="10592" max="10592" width="9.140625" style="927" customWidth="1"/>
    <col min="10593" max="10593" width="4" style="927" customWidth="1"/>
    <col min="10594" max="10594" width="9.42578125" style="927" customWidth="1"/>
    <col min="10595" max="10596" width="9.140625" style="927" customWidth="1"/>
    <col min="10597" max="10597" width="10.5703125" style="927" customWidth="1"/>
    <col min="10598" max="10598" width="9.140625" style="927" customWidth="1"/>
    <col min="10599" max="10599" width="4" style="927" customWidth="1"/>
    <col min="10600" max="10600" width="12.42578125" style="927" customWidth="1"/>
    <col min="10601" max="10602" width="9.140625" style="927" customWidth="1"/>
    <col min="10603" max="10603" width="10.5703125" style="927" customWidth="1"/>
    <col min="10604" max="10604" width="9.140625" style="927" customWidth="1"/>
    <col min="10605" max="10605" width="4" style="927" customWidth="1"/>
    <col min="10606" max="10606" width="12.42578125" style="927" customWidth="1"/>
    <col min="10607" max="10608" width="9.140625" style="927" customWidth="1"/>
    <col min="10609" max="10609" width="10.5703125" style="927" customWidth="1"/>
    <col min="10610" max="10610" width="9.140625" style="927" customWidth="1"/>
    <col min="10611" max="10611" width="4" style="927" customWidth="1"/>
    <col min="10612" max="10612" width="12.42578125" style="927" customWidth="1"/>
    <col min="10613" max="10614" width="9.140625" style="927" customWidth="1"/>
    <col min="10615" max="10615" width="10.5703125" style="927" customWidth="1"/>
    <col min="10616" max="10616" width="9.140625" style="927" customWidth="1"/>
    <col min="10617" max="10617" width="4" style="927" customWidth="1"/>
    <col min="10618" max="10618" width="12.42578125" style="927" customWidth="1"/>
    <col min="10619" max="10620" width="9.140625" style="927" customWidth="1"/>
    <col min="10621" max="10621" width="10.5703125" style="927" customWidth="1"/>
    <col min="10622" max="10622" width="9.140625" style="927" customWidth="1"/>
    <col min="10623" max="10623" width="4" style="927" customWidth="1"/>
    <col min="10624" max="10624" width="12.42578125" style="927" customWidth="1"/>
    <col min="10625" max="10626" width="9.140625" style="927" customWidth="1"/>
    <col min="10627" max="10627" width="10.5703125" style="927" customWidth="1"/>
    <col min="10628" max="10752" width="9.140625" style="927"/>
    <col min="10753" max="10753" width="2.7109375" style="927" customWidth="1"/>
    <col min="10754" max="10754" width="9.140625" style="927" customWidth="1"/>
    <col min="10755" max="10755" width="9.42578125" style="927" customWidth="1"/>
    <col min="10756" max="10756" width="0" style="927" hidden="1" customWidth="1"/>
    <col min="10757" max="10757" width="9.140625" style="927" customWidth="1"/>
    <col min="10758" max="10758" width="2.42578125" style="927" customWidth="1"/>
    <col min="10759" max="10759" width="9.140625" style="927" customWidth="1"/>
    <col min="10760" max="10760" width="9.42578125" style="927" customWidth="1"/>
    <col min="10761" max="10761" width="0" style="927" hidden="1" customWidth="1"/>
    <col min="10762" max="10762" width="9.140625" style="927" customWidth="1"/>
    <col min="10763" max="10763" width="2.28515625" style="927" customWidth="1"/>
    <col min="10764" max="10764" width="9.140625" style="927" customWidth="1"/>
    <col min="10765" max="10765" width="9.42578125" style="927" customWidth="1"/>
    <col min="10766" max="10766" width="0" style="927" hidden="1" customWidth="1"/>
    <col min="10767" max="10767" width="9.140625" style="927" customWidth="1"/>
    <col min="10768" max="10768" width="2.5703125" style="927" customWidth="1"/>
    <col min="10769" max="10769" width="9.140625" style="927" customWidth="1"/>
    <col min="10770" max="10770" width="9.5703125" style="927" customWidth="1"/>
    <col min="10771" max="10771" width="0" style="927" hidden="1" customWidth="1"/>
    <col min="10772" max="10772" width="9.140625" style="927" customWidth="1"/>
    <col min="10773" max="10773" width="2.7109375" style="927" customWidth="1"/>
    <col min="10774" max="10775" width="9.140625" style="927" customWidth="1"/>
    <col min="10776" max="10776" width="3.140625" style="927" customWidth="1"/>
    <col min="10777" max="10777" width="4" style="927" customWidth="1"/>
    <col min="10778" max="10778" width="9.42578125" style="927" customWidth="1"/>
    <col min="10779" max="10780" width="9.140625" style="927" customWidth="1"/>
    <col min="10781" max="10781" width="10.5703125" style="927" customWidth="1"/>
    <col min="10782" max="10782" width="9.140625" style="927" customWidth="1"/>
    <col min="10783" max="10783" width="4" style="927" customWidth="1"/>
    <col min="10784" max="10784" width="9.42578125" style="927" customWidth="1"/>
    <col min="10785" max="10786" width="9.140625" style="927" customWidth="1"/>
    <col min="10787" max="10787" width="10.5703125" style="927" customWidth="1"/>
    <col min="10788" max="10788" width="9.140625" style="927" customWidth="1"/>
    <col min="10789" max="10789" width="4" style="927" customWidth="1"/>
    <col min="10790" max="10790" width="9.42578125" style="927" customWidth="1"/>
    <col min="10791" max="10792" width="9.140625" style="927" customWidth="1"/>
    <col min="10793" max="10793" width="10.5703125" style="927" customWidth="1"/>
    <col min="10794" max="10794" width="9.140625" style="927" customWidth="1"/>
    <col min="10795" max="10795" width="4" style="927" customWidth="1"/>
    <col min="10796" max="10796" width="9.42578125" style="927" customWidth="1"/>
    <col min="10797" max="10798" width="9.140625" style="927" customWidth="1"/>
    <col min="10799" max="10799" width="10.5703125" style="927" customWidth="1"/>
    <col min="10800" max="10800" width="9.140625" style="927" customWidth="1"/>
    <col min="10801" max="10801" width="4" style="927" customWidth="1"/>
    <col min="10802" max="10802" width="9.42578125" style="927" customWidth="1"/>
    <col min="10803" max="10804" width="9.140625" style="927" customWidth="1"/>
    <col min="10805" max="10805" width="10.5703125" style="927" customWidth="1"/>
    <col min="10806" max="10806" width="9.140625" style="927" customWidth="1"/>
    <col min="10807" max="10807" width="4" style="927" customWidth="1"/>
    <col min="10808" max="10808" width="9.42578125" style="927" customWidth="1"/>
    <col min="10809" max="10810" width="9.140625" style="927" customWidth="1"/>
    <col min="10811" max="10811" width="10.5703125" style="927" customWidth="1"/>
    <col min="10812" max="10812" width="9.140625" style="927" customWidth="1"/>
    <col min="10813" max="10813" width="4" style="927" customWidth="1"/>
    <col min="10814" max="10814" width="9.42578125" style="927" customWidth="1"/>
    <col min="10815" max="10816" width="9.140625" style="927" customWidth="1"/>
    <col min="10817" max="10817" width="10.5703125" style="927" customWidth="1"/>
    <col min="10818" max="10818" width="9.140625" style="927" customWidth="1"/>
    <col min="10819" max="10819" width="4" style="927" customWidth="1"/>
    <col min="10820" max="10820" width="9.42578125" style="927" customWidth="1"/>
    <col min="10821" max="10822" width="9.140625" style="927" customWidth="1"/>
    <col min="10823" max="10823" width="10.5703125" style="927" customWidth="1"/>
    <col min="10824" max="10824" width="9.140625" style="927" customWidth="1"/>
    <col min="10825" max="10825" width="4" style="927" customWidth="1"/>
    <col min="10826" max="10826" width="9.42578125" style="927" customWidth="1"/>
    <col min="10827" max="10828" width="9.140625" style="927" customWidth="1"/>
    <col min="10829" max="10829" width="10.5703125" style="927" customWidth="1"/>
    <col min="10830" max="10830" width="9.140625" style="927" customWidth="1"/>
    <col min="10831" max="10831" width="4" style="927" customWidth="1"/>
    <col min="10832" max="10832" width="9.42578125" style="927" customWidth="1"/>
    <col min="10833" max="10834" width="9.140625" style="927" customWidth="1"/>
    <col min="10835" max="10835" width="10.5703125" style="927" customWidth="1"/>
    <col min="10836" max="10836" width="9.140625" style="927" customWidth="1"/>
    <col min="10837" max="10837" width="4" style="927" customWidth="1"/>
    <col min="10838" max="10838" width="9.42578125" style="927" customWidth="1"/>
    <col min="10839" max="10840" width="9.140625" style="927" customWidth="1"/>
    <col min="10841" max="10841" width="10.5703125" style="927" customWidth="1"/>
    <col min="10842" max="10842" width="9.140625" style="927" customWidth="1"/>
    <col min="10843" max="10843" width="4" style="927" customWidth="1"/>
    <col min="10844" max="10844" width="9.42578125" style="927" customWidth="1"/>
    <col min="10845" max="10846" width="9.140625" style="927" customWidth="1"/>
    <col min="10847" max="10847" width="10.5703125" style="927" customWidth="1"/>
    <col min="10848" max="10848" width="9.140625" style="927" customWidth="1"/>
    <col min="10849" max="10849" width="4" style="927" customWidth="1"/>
    <col min="10850" max="10850" width="9.42578125" style="927" customWidth="1"/>
    <col min="10851" max="10852" width="9.140625" style="927" customWidth="1"/>
    <col min="10853" max="10853" width="10.5703125" style="927" customWidth="1"/>
    <col min="10854" max="10854" width="9.140625" style="927" customWidth="1"/>
    <col min="10855" max="10855" width="4" style="927" customWidth="1"/>
    <col min="10856" max="10856" width="12.42578125" style="927" customWidth="1"/>
    <col min="10857" max="10858" width="9.140625" style="927" customWidth="1"/>
    <col min="10859" max="10859" width="10.5703125" style="927" customWidth="1"/>
    <col min="10860" max="10860" width="9.140625" style="927" customWidth="1"/>
    <col min="10861" max="10861" width="4" style="927" customWidth="1"/>
    <col min="10862" max="10862" width="12.42578125" style="927" customWidth="1"/>
    <col min="10863" max="10864" width="9.140625" style="927" customWidth="1"/>
    <col min="10865" max="10865" width="10.5703125" style="927" customWidth="1"/>
    <col min="10866" max="10866" width="9.140625" style="927" customWidth="1"/>
    <col min="10867" max="10867" width="4" style="927" customWidth="1"/>
    <col min="10868" max="10868" width="12.42578125" style="927" customWidth="1"/>
    <col min="10869" max="10870" width="9.140625" style="927" customWidth="1"/>
    <col min="10871" max="10871" width="10.5703125" style="927" customWidth="1"/>
    <col min="10872" max="10872" width="9.140625" style="927" customWidth="1"/>
    <col min="10873" max="10873" width="4" style="927" customWidth="1"/>
    <col min="10874" max="10874" width="12.42578125" style="927" customWidth="1"/>
    <col min="10875" max="10876" width="9.140625" style="927" customWidth="1"/>
    <col min="10877" max="10877" width="10.5703125" style="927" customWidth="1"/>
    <col min="10878" max="10878" width="9.140625" style="927" customWidth="1"/>
    <col min="10879" max="10879" width="4" style="927" customWidth="1"/>
    <col min="10880" max="10880" width="12.42578125" style="927" customWidth="1"/>
    <col min="10881" max="10882" width="9.140625" style="927" customWidth="1"/>
    <col min="10883" max="10883" width="10.5703125" style="927" customWidth="1"/>
    <col min="10884" max="11008" width="9.140625" style="927"/>
    <col min="11009" max="11009" width="2.7109375" style="927" customWidth="1"/>
    <col min="11010" max="11010" width="9.140625" style="927" customWidth="1"/>
    <col min="11011" max="11011" width="9.42578125" style="927" customWidth="1"/>
    <col min="11012" max="11012" width="0" style="927" hidden="1" customWidth="1"/>
    <col min="11013" max="11013" width="9.140625" style="927" customWidth="1"/>
    <col min="11014" max="11014" width="2.42578125" style="927" customWidth="1"/>
    <col min="11015" max="11015" width="9.140625" style="927" customWidth="1"/>
    <col min="11016" max="11016" width="9.42578125" style="927" customWidth="1"/>
    <col min="11017" max="11017" width="0" style="927" hidden="1" customWidth="1"/>
    <col min="11018" max="11018" width="9.140625" style="927" customWidth="1"/>
    <col min="11019" max="11019" width="2.28515625" style="927" customWidth="1"/>
    <col min="11020" max="11020" width="9.140625" style="927" customWidth="1"/>
    <col min="11021" max="11021" width="9.42578125" style="927" customWidth="1"/>
    <col min="11022" max="11022" width="0" style="927" hidden="1" customWidth="1"/>
    <col min="11023" max="11023" width="9.140625" style="927" customWidth="1"/>
    <col min="11024" max="11024" width="2.5703125" style="927" customWidth="1"/>
    <col min="11025" max="11025" width="9.140625" style="927" customWidth="1"/>
    <col min="11026" max="11026" width="9.5703125" style="927" customWidth="1"/>
    <col min="11027" max="11027" width="0" style="927" hidden="1" customWidth="1"/>
    <col min="11028" max="11028" width="9.140625" style="927" customWidth="1"/>
    <col min="11029" max="11029" width="2.7109375" style="927" customWidth="1"/>
    <col min="11030" max="11031" width="9.140625" style="927" customWidth="1"/>
    <col min="11032" max="11032" width="3.140625" style="927" customWidth="1"/>
    <col min="11033" max="11033" width="4" style="927" customWidth="1"/>
    <col min="11034" max="11034" width="9.42578125" style="927" customWidth="1"/>
    <col min="11035" max="11036" width="9.140625" style="927" customWidth="1"/>
    <col min="11037" max="11037" width="10.5703125" style="927" customWidth="1"/>
    <col min="11038" max="11038" width="9.140625" style="927" customWidth="1"/>
    <col min="11039" max="11039" width="4" style="927" customWidth="1"/>
    <col min="11040" max="11040" width="9.42578125" style="927" customWidth="1"/>
    <col min="11041" max="11042" width="9.140625" style="927" customWidth="1"/>
    <col min="11043" max="11043" width="10.5703125" style="927" customWidth="1"/>
    <col min="11044" max="11044" width="9.140625" style="927" customWidth="1"/>
    <col min="11045" max="11045" width="4" style="927" customWidth="1"/>
    <col min="11046" max="11046" width="9.42578125" style="927" customWidth="1"/>
    <col min="11047" max="11048" width="9.140625" style="927" customWidth="1"/>
    <col min="11049" max="11049" width="10.5703125" style="927" customWidth="1"/>
    <col min="11050" max="11050" width="9.140625" style="927" customWidth="1"/>
    <col min="11051" max="11051" width="4" style="927" customWidth="1"/>
    <col min="11052" max="11052" width="9.42578125" style="927" customWidth="1"/>
    <col min="11053" max="11054" width="9.140625" style="927" customWidth="1"/>
    <col min="11055" max="11055" width="10.5703125" style="927" customWidth="1"/>
    <col min="11056" max="11056" width="9.140625" style="927" customWidth="1"/>
    <col min="11057" max="11057" width="4" style="927" customWidth="1"/>
    <col min="11058" max="11058" width="9.42578125" style="927" customWidth="1"/>
    <col min="11059" max="11060" width="9.140625" style="927" customWidth="1"/>
    <col min="11061" max="11061" width="10.5703125" style="927" customWidth="1"/>
    <col min="11062" max="11062" width="9.140625" style="927" customWidth="1"/>
    <col min="11063" max="11063" width="4" style="927" customWidth="1"/>
    <col min="11064" max="11064" width="9.42578125" style="927" customWidth="1"/>
    <col min="11065" max="11066" width="9.140625" style="927" customWidth="1"/>
    <col min="11067" max="11067" width="10.5703125" style="927" customWidth="1"/>
    <col min="11068" max="11068" width="9.140625" style="927" customWidth="1"/>
    <col min="11069" max="11069" width="4" style="927" customWidth="1"/>
    <col min="11070" max="11070" width="9.42578125" style="927" customWidth="1"/>
    <col min="11071" max="11072" width="9.140625" style="927" customWidth="1"/>
    <col min="11073" max="11073" width="10.5703125" style="927" customWidth="1"/>
    <col min="11074" max="11074" width="9.140625" style="927" customWidth="1"/>
    <col min="11075" max="11075" width="4" style="927" customWidth="1"/>
    <col min="11076" max="11076" width="9.42578125" style="927" customWidth="1"/>
    <col min="11077" max="11078" width="9.140625" style="927" customWidth="1"/>
    <col min="11079" max="11079" width="10.5703125" style="927" customWidth="1"/>
    <col min="11080" max="11080" width="9.140625" style="927" customWidth="1"/>
    <col min="11081" max="11081" width="4" style="927" customWidth="1"/>
    <col min="11082" max="11082" width="9.42578125" style="927" customWidth="1"/>
    <col min="11083" max="11084" width="9.140625" style="927" customWidth="1"/>
    <col min="11085" max="11085" width="10.5703125" style="927" customWidth="1"/>
    <col min="11086" max="11086" width="9.140625" style="927" customWidth="1"/>
    <col min="11087" max="11087" width="4" style="927" customWidth="1"/>
    <col min="11088" max="11088" width="9.42578125" style="927" customWidth="1"/>
    <col min="11089" max="11090" width="9.140625" style="927" customWidth="1"/>
    <col min="11091" max="11091" width="10.5703125" style="927" customWidth="1"/>
    <col min="11092" max="11092" width="9.140625" style="927" customWidth="1"/>
    <col min="11093" max="11093" width="4" style="927" customWidth="1"/>
    <col min="11094" max="11094" width="9.42578125" style="927" customWidth="1"/>
    <col min="11095" max="11096" width="9.140625" style="927" customWidth="1"/>
    <col min="11097" max="11097" width="10.5703125" style="927" customWidth="1"/>
    <col min="11098" max="11098" width="9.140625" style="927" customWidth="1"/>
    <col min="11099" max="11099" width="4" style="927" customWidth="1"/>
    <col min="11100" max="11100" width="9.42578125" style="927" customWidth="1"/>
    <col min="11101" max="11102" width="9.140625" style="927" customWidth="1"/>
    <col min="11103" max="11103" width="10.5703125" style="927" customWidth="1"/>
    <col min="11104" max="11104" width="9.140625" style="927" customWidth="1"/>
    <col min="11105" max="11105" width="4" style="927" customWidth="1"/>
    <col min="11106" max="11106" width="9.42578125" style="927" customWidth="1"/>
    <col min="11107" max="11108" width="9.140625" style="927" customWidth="1"/>
    <col min="11109" max="11109" width="10.5703125" style="927" customWidth="1"/>
    <col min="11110" max="11110" width="9.140625" style="927" customWidth="1"/>
    <col min="11111" max="11111" width="4" style="927" customWidth="1"/>
    <col min="11112" max="11112" width="12.42578125" style="927" customWidth="1"/>
    <col min="11113" max="11114" width="9.140625" style="927" customWidth="1"/>
    <col min="11115" max="11115" width="10.5703125" style="927" customWidth="1"/>
    <col min="11116" max="11116" width="9.140625" style="927" customWidth="1"/>
    <col min="11117" max="11117" width="4" style="927" customWidth="1"/>
    <col min="11118" max="11118" width="12.42578125" style="927" customWidth="1"/>
    <col min="11119" max="11120" width="9.140625" style="927" customWidth="1"/>
    <col min="11121" max="11121" width="10.5703125" style="927" customWidth="1"/>
    <col min="11122" max="11122" width="9.140625" style="927" customWidth="1"/>
    <col min="11123" max="11123" width="4" style="927" customWidth="1"/>
    <col min="11124" max="11124" width="12.42578125" style="927" customWidth="1"/>
    <col min="11125" max="11126" width="9.140625" style="927" customWidth="1"/>
    <col min="11127" max="11127" width="10.5703125" style="927" customWidth="1"/>
    <col min="11128" max="11128" width="9.140625" style="927" customWidth="1"/>
    <col min="11129" max="11129" width="4" style="927" customWidth="1"/>
    <col min="11130" max="11130" width="12.42578125" style="927" customWidth="1"/>
    <col min="11131" max="11132" width="9.140625" style="927" customWidth="1"/>
    <col min="11133" max="11133" width="10.5703125" style="927" customWidth="1"/>
    <col min="11134" max="11134" width="9.140625" style="927" customWidth="1"/>
    <col min="11135" max="11135" width="4" style="927" customWidth="1"/>
    <col min="11136" max="11136" width="12.42578125" style="927" customWidth="1"/>
    <col min="11137" max="11138" width="9.140625" style="927" customWidth="1"/>
    <col min="11139" max="11139" width="10.5703125" style="927" customWidth="1"/>
    <col min="11140" max="11264" width="9.140625" style="927"/>
    <col min="11265" max="11265" width="2.7109375" style="927" customWidth="1"/>
    <col min="11266" max="11266" width="9.140625" style="927" customWidth="1"/>
    <col min="11267" max="11267" width="9.42578125" style="927" customWidth="1"/>
    <col min="11268" max="11268" width="0" style="927" hidden="1" customWidth="1"/>
    <col min="11269" max="11269" width="9.140625" style="927" customWidth="1"/>
    <col min="11270" max="11270" width="2.42578125" style="927" customWidth="1"/>
    <col min="11271" max="11271" width="9.140625" style="927" customWidth="1"/>
    <col min="11272" max="11272" width="9.42578125" style="927" customWidth="1"/>
    <col min="11273" max="11273" width="0" style="927" hidden="1" customWidth="1"/>
    <col min="11274" max="11274" width="9.140625" style="927" customWidth="1"/>
    <col min="11275" max="11275" width="2.28515625" style="927" customWidth="1"/>
    <col min="11276" max="11276" width="9.140625" style="927" customWidth="1"/>
    <col min="11277" max="11277" width="9.42578125" style="927" customWidth="1"/>
    <col min="11278" max="11278" width="0" style="927" hidden="1" customWidth="1"/>
    <col min="11279" max="11279" width="9.140625" style="927" customWidth="1"/>
    <col min="11280" max="11280" width="2.5703125" style="927" customWidth="1"/>
    <col min="11281" max="11281" width="9.140625" style="927" customWidth="1"/>
    <col min="11282" max="11282" width="9.5703125" style="927" customWidth="1"/>
    <col min="11283" max="11283" width="0" style="927" hidden="1" customWidth="1"/>
    <col min="11284" max="11284" width="9.140625" style="927" customWidth="1"/>
    <col min="11285" max="11285" width="2.7109375" style="927" customWidth="1"/>
    <col min="11286" max="11287" width="9.140625" style="927" customWidth="1"/>
    <col min="11288" max="11288" width="3.140625" style="927" customWidth="1"/>
    <col min="11289" max="11289" width="4" style="927" customWidth="1"/>
    <col min="11290" max="11290" width="9.42578125" style="927" customWidth="1"/>
    <col min="11291" max="11292" width="9.140625" style="927" customWidth="1"/>
    <col min="11293" max="11293" width="10.5703125" style="927" customWidth="1"/>
    <col min="11294" max="11294" width="9.140625" style="927" customWidth="1"/>
    <col min="11295" max="11295" width="4" style="927" customWidth="1"/>
    <col min="11296" max="11296" width="9.42578125" style="927" customWidth="1"/>
    <col min="11297" max="11298" width="9.140625" style="927" customWidth="1"/>
    <col min="11299" max="11299" width="10.5703125" style="927" customWidth="1"/>
    <col min="11300" max="11300" width="9.140625" style="927" customWidth="1"/>
    <col min="11301" max="11301" width="4" style="927" customWidth="1"/>
    <col min="11302" max="11302" width="9.42578125" style="927" customWidth="1"/>
    <col min="11303" max="11304" width="9.140625" style="927" customWidth="1"/>
    <col min="11305" max="11305" width="10.5703125" style="927" customWidth="1"/>
    <col min="11306" max="11306" width="9.140625" style="927" customWidth="1"/>
    <col min="11307" max="11307" width="4" style="927" customWidth="1"/>
    <col min="11308" max="11308" width="9.42578125" style="927" customWidth="1"/>
    <col min="11309" max="11310" width="9.140625" style="927" customWidth="1"/>
    <col min="11311" max="11311" width="10.5703125" style="927" customWidth="1"/>
    <col min="11312" max="11312" width="9.140625" style="927" customWidth="1"/>
    <col min="11313" max="11313" width="4" style="927" customWidth="1"/>
    <col min="11314" max="11314" width="9.42578125" style="927" customWidth="1"/>
    <col min="11315" max="11316" width="9.140625" style="927" customWidth="1"/>
    <col min="11317" max="11317" width="10.5703125" style="927" customWidth="1"/>
    <col min="11318" max="11318" width="9.140625" style="927" customWidth="1"/>
    <col min="11319" max="11319" width="4" style="927" customWidth="1"/>
    <col min="11320" max="11320" width="9.42578125" style="927" customWidth="1"/>
    <col min="11321" max="11322" width="9.140625" style="927" customWidth="1"/>
    <col min="11323" max="11323" width="10.5703125" style="927" customWidth="1"/>
    <col min="11324" max="11324" width="9.140625" style="927" customWidth="1"/>
    <col min="11325" max="11325" width="4" style="927" customWidth="1"/>
    <col min="11326" max="11326" width="9.42578125" style="927" customWidth="1"/>
    <col min="11327" max="11328" width="9.140625" style="927" customWidth="1"/>
    <col min="11329" max="11329" width="10.5703125" style="927" customWidth="1"/>
    <col min="11330" max="11330" width="9.140625" style="927" customWidth="1"/>
    <col min="11331" max="11331" width="4" style="927" customWidth="1"/>
    <col min="11332" max="11332" width="9.42578125" style="927" customWidth="1"/>
    <col min="11333" max="11334" width="9.140625" style="927" customWidth="1"/>
    <col min="11335" max="11335" width="10.5703125" style="927" customWidth="1"/>
    <col min="11336" max="11336" width="9.140625" style="927" customWidth="1"/>
    <col min="11337" max="11337" width="4" style="927" customWidth="1"/>
    <col min="11338" max="11338" width="9.42578125" style="927" customWidth="1"/>
    <col min="11339" max="11340" width="9.140625" style="927" customWidth="1"/>
    <col min="11341" max="11341" width="10.5703125" style="927" customWidth="1"/>
    <col min="11342" max="11342" width="9.140625" style="927" customWidth="1"/>
    <col min="11343" max="11343" width="4" style="927" customWidth="1"/>
    <col min="11344" max="11344" width="9.42578125" style="927" customWidth="1"/>
    <col min="11345" max="11346" width="9.140625" style="927" customWidth="1"/>
    <col min="11347" max="11347" width="10.5703125" style="927" customWidth="1"/>
    <col min="11348" max="11348" width="9.140625" style="927" customWidth="1"/>
    <col min="11349" max="11349" width="4" style="927" customWidth="1"/>
    <col min="11350" max="11350" width="9.42578125" style="927" customWidth="1"/>
    <col min="11351" max="11352" width="9.140625" style="927" customWidth="1"/>
    <col min="11353" max="11353" width="10.5703125" style="927" customWidth="1"/>
    <col min="11354" max="11354" width="9.140625" style="927" customWidth="1"/>
    <col min="11355" max="11355" width="4" style="927" customWidth="1"/>
    <col min="11356" max="11356" width="9.42578125" style="927" customWidth="1"/>
    <col min="11357" max="11358" width="9.140625" style="927" customWidth="1"/>
    <col min="11359" max="11359" width="10.5703125" style="927" customWidth="1"/>
    <col min="11360" max="11360" width="9.140625" style="927" customWidth="1"/>
    <col min="11361" max="11361" width="4" style="927" customWidth="1"/>
    <col min="11362" max="11362" width="9.42578125" style="927" customWidth="1"/>
    <col min="11363" max="11364" width="9.140625" style="927" customWidth="1"/>
    <col min="11365" max="11365" width="10.5703125" style="927" customWidth="1"/>
    <col min="11366" max="11366" width="9.140625" style="927" customWidth="1"/>
    <col min="11367" max="11367" width="4" style="927" customWidth="1"/>
    <col min="11368" max="11368" width="12.42578125" style="927" customWidth="1"/>
    <col min="11369" max="11370" width="9.140625" style="927" customWidth="1"/>
    <col min="11371" max="11371" width="10.5703125" style="927" customWidth="1"/>
    <col min="11372" max="11372" width="9.140625" style="927" customWidth="1"/>
    <col min="11373" max="11373" width="4" style="927" customWidth="1"/>
    <col min="11374" max="11374" width="12.42578125" style="927" customWidth="1"/>
    <col min="11375" max="11376" width="9.140625" style="927" customWidth="1"/>
    <col min="11377" max="11377" width="10.5703125" style="927" customWidth="1"/>
    <col min="11378" max="11378" width="9.140625" style="927" customWidth="1"/>
    <col min="11379" max="11379" width="4" style="927" customWidth="1"/>
    <col min="11380" max="11380" width="12.42578125" style="927" customWidth="1"/>
    <col min="11381" max="11382" width="9.140625" style="927" customWidth="1"/>
    <col min="11383" max="11383" width="10.5703125" style="927" customWidth="1"/>
    <col min="11384" max="11384" width="9.140625" style="927" customWidth="1"/>
    <col min="11385" max="11385" width="4" style="927" customWidth="1"/>
    <col min="11386" max="11386" width="12.42578125" style="927" customWidth="1"/>
    <col min="11387" max="11388" width="9.140625" style="927" customWidth="1"/>
    <col min="11389" max="11389" width="10.5703125" style="927" customWidth="1"/>
    <col min="11390" max="11390" width="9.140625" style="927" customWidth="1"/>
    <col min="11391" max="11391" width="4" style="927" customWidth="1"/>
    <col min="11392" max="11392" width="12.42578125" style="927" customWidth="1"/>
    <col min="11393" max="11394" width="9.140625" style="927" customWidth="1"/>
    <col min="11395" max="11395" width="10.5703125" style="927" customWidth="1"/>
    <col min="11396" max="11520" width="9.140625" style="927"/>
    <col min="11521" max="11521" width="2.7109375" style="927" customWidth="1"/>
    <col min="11522" max="11522" width="9.140625" style="927" customWidth="1"/>
    <col min="11523" max="11523" width="9.42578125" style="927" customWidth="1"/>
    <col min="11524" max="11524" width="0" style="927" hidden="1" customWidth="1"/>
    <col min="11525" max="11525" width="9.140625" style="927" customWidth="1"/>
    <col min="11526" max="11526" width="2.42578125" style="927" customWidth="1"/>
    <col min="11527" max="11527" width="9.140625" style="927" customWidth="1"/>
    <col min="11528" max="11528" width="9.42578125" style="927" customWidth="1"/>
    <col min="11529" max="11529" width="0" style="927" hidden="1" customWidth="1"/>
    <col min="11530" max="11530" width="9.140625" style="927" customWidth="1"/>
    <col min="11531" max="11531" width="2.28515625" style="927" customWidth="1"/>
    <col min="11532" max="11532" width="9.140625" style="927" customWidth="1"/>
    <col min="11533" max="11533" width="9.42578125" style="927" customWidth="1"/>
    <col min="11534" max="11534" width="0" style="927" hidden="1" customWidth="1"/>
    <col min="11535" max="11535" width="9.140625" style="927" customWidth="1"/>
    <col min="11536" max="11536" width="2.5703125" style="927" customWidth="1"/>
    <col min="11537" max="11537" width="9.140625" style="927" customWidth="1"/>
    <col min="11538" max="11538" width="9.5703125" style="927" customWidth="1"/>
    <col min="11539" max="11539" width="0" style="927" hidden="1" customWidth="1"/>
    <col min="11540" max="11540" width="9.140625" style="927" customWidth="1"/>
    <col min="11541" max="11541" width="2.7109375" style="927" customWidth="1"/>
    <col min="11542" max="11543" width="9.140625" style="927" customWidth="1"/>
    <col min="11544" max="11544" width="3.140625" style="927" customWidth="1"/>
    <col min="11545" max="11545" width="4" style="927" customWidth="1"/>
    <col min="11546" max="11546" width="9.42578125" style="927" customWidth="1"/>
    <col min="11547" max="11548" width="9.140625" style="927" customWidth="1"/>
    <col min="11549" max="11549" width="10.5703125" style="927" customWidth="1"/>
    <col min="11550" max="11550" width="9.140625" style="927" customWidth="1"/>
    <col min="11551" max="11551" width="4" style="927" customWidth="1"/>
    <col min="11552" max="11552" width="9.42578125" style="927" customWidth="1"/>
    <col min="11553" max="11554" width="9.140625" style="927" customWidth="1"/>
    <col min="11555" max="11555" width="10.5703125" style="927" customWidth="1"/>
    <col min="11556" max="11556" width="9.140625" style="927" customWidth="1"/>
    <col min="11557" max="11557" width="4" style="927" customWidth="1"/>
    <col min="11558" max="11558" width="9.42578125" style="927" customWidth="1"/>
    <col min="11559" max="11560" width="9.140625" style="927" customWidth="1"/>
    <col min="11561" max="11561" width="10.5703125" style="927" customWidth="1"/>
    <col min="11562" max="11562" width="9.140625" style="927" customWidth="1"/>
    <col min="11563" max="11563" width="4" style="927" customWidth="1"/>
    <col min="11564" max="11564" width="9.42578125" style="927" customWidth="1"/>
    <col min="11565" max="11566" width="9.140625" style="927" customWidth="1"/>
    <col min="11567" max="11567" width="10.5703125" style="927" customWidth="1"/>
    <col min="11568" max="11568" width="9.140625" style="927" customWidth="1"/>
    <col min="11569" max="11569" width="4" style="927" customWidth="1"/>
    <col min="11570" max="11570" width="9.42578125" style="927" customWidth="1"/>
    <col min="11571" max="11572" width="9.140625" style="927" customWidth="1"/>
    <col min="11573" max="11573" width="10.5703125" style="927" customWidth="1"/>
    <col min="11574" max="11574" width="9.140625" style="927" customWidth="1"/>
    <col min="11575" max="11575" width="4" style="927" customWidth="1"/>
    <col min="11576" max="11576" width="9.42578125" style="927" customWidth="1"/>
    <col min="11577" max="11578" width="9.140625" style="927" customWidth="1"/>
    <col min="11579" max="11579" width="10.5703125" style="927" customWidth="1"/>
    <col min="11580" max="11580" width="9.140625" style="927" customWidth="1"/>
    <col min="11581" max="11581" width="4" style="927" customWidth="1"/>
    <col min="11582" max="11582" width="9.42578125" style="927" customWidth="1"/>
    <col min="11583" max="11584" width="9.140625" style="927" customWidth="1"/>
    <col min="11585" max="11585" width="10.5703125" style="927" customWidth="1"/>
    <col min="11586" max="11586" width="9.140625" style="927" customWidth="1"/>
    <col min="11587" max="11587" width="4" style="927" customWidth="1"/>
    <col min="11588" max="11588" width="9.42578125" style="927" customWidth="1"/>
    <col min="11589" max="11590" width="9.140625" style="927" customWidth="1"/>
    <col min="11591" max="11591" width="10.5703125" style="927" customWidth="1"/>
    <col min="11592" max="11592" width="9.140625" style="927" customWidth="1"/>
    <col min="11593" max="11593" width="4" style="927" customWidth="1"/>
    <col min="11594" max="11594" width="9.42578125" style="927" customWidth="1"/>
    <col min="11595" max="11596" width="9.140625" style="927" customWidth="1"/>
    <col min="11597" max="11597" width="10.5703125" style="927" customWidth="1"/>
    <col min="11598" max="11598" width="9.140625" style="927" customWidth="1"/>
    <col min="11599" max="11599" width="4" style="927" customWidth="1"/>
    <col min="11600" max="11600" width="9.42578125" style="927" customWidth="1"/>
    <col min="11601" max="11602" width="9.140625" style="927" customWidth="1"/>
    <col min="11603" max="11603" width="10.5703125" style="927" customWidth="1"/>
    <col min="11604" max="11604" width="9.140625" style="927" customWidth="1"/>
    <col min="11605" max="11605" width="4" style="927" customWidth="1"/>
    <col min="11606" max="11606" width="9.42578125" style="927" customWidth="1"/>
    <col min="11607" max="11608" width="9.140625" style="927" customWidth="1"/>
    <col min="11609" max="11609" width="10.5703125" style="927" customWidth="1"/>
    <col min="11610" max="11610" width="9.140625" style="927" customWidth="1"/>
    <col min="11611" max="11611" width="4" style="927" customWidth="1"/>
    <col min="11612" max="11612" width="9.42578125" style="927" customWidth="1"/>
    <col min="11613" max="11614" width="9.140625" style="927" customWidth="1"/>
    <col min="11615" max="11615" width="10.5703125" style="927" customWidth="1"/>
    <col min="11616" max="11616" width="9.140625" style="927" customWidth="1"/>
    <col min="11617" max="11617" width="4" style="927" customWidth="1"/>
    <col min="11618" max="11618" width="9.42578125" style="927" customWidth="1"/>
    <col min="11619" max="11620" width="9.140625" style="927" customWidth="1"/>
    <col min="11621" max="11621" width="10.5703125" style="927" customWidth="1"/>
    <col min="11622" max="11622" width="9.140625" style="927" customWidth="1"/>
    <col min="11623" max="11623" width="4" style="927" customWidth="1"/>
    <col min="11624" max="11624" width="12.42578125" style="927" customWidth="1"/>
    <col min="11625" max="11626" width="9.140625" style="927" customWidth="1"/>
    <col min="11627" max="11627" width="10.5703125" style="927" customWidth="1"/>
    <col min="11628" max="11628" width="9.140625" style="927" customWidth="1"/>
    <col min="11629" max="11629" width="4" style="927" customWidth="1"/>
    <col min="11630" max="11630" width="12.42578125" style="927" customWidth="1"/>
    <col min="11631" max="11632" width="9.140625" style="927" customWidth="1"/>
    <col min="11633" max="11633" width="10.5703125" style="927" customWidth="1"/>
    <col min="11634" max="11634" width="9.140625" style="927" customWidth="1"/>
    <col min="11635" max="11635" width="4" style="927" customWidth="1"/>
    <col min="11636" max="11636" width="12.42578125" style="927" customWidth="1"/>
    <col min="11637" max="11638" width="9.140625" style="927" customWidth="1"/>
    <col min="11639" max="11639" width="10.5703125" style="927" customWidth="1"/>
    <col min="11640" max="11640" width="9.140625" style="927" customWidth="1"/>
    <col min="11641" max="11641" width="4" style="927" customWidth="1"/>
    <col min="11642" max="11642" width="12.42578125" style="927" customWidth="1"/>
    <col min="11643" max="11644" width="9.140625" style="927" customWidth="1"/>
    <col min="11645" max="11645" width="10.5703125" style="927" customWidth="1"/>
    <col min="11646" max="11646" width="9.140625" style="927" customWidth="1"/>
    <col min="11647" max="11647" width="4" style="927" customWidth="1"/>
    <col min="11648" max="11648" width="12.42578125" style="927" customWidth="1"/>
    <col min="11649" max="11650" width="9.140625" style="927" customWidth="1"/>
    <col min="11651" max="11651" width="10.5703125" style="927" customWidth="1"/>
    <col min="11652" max="11776" width="9.140625" style="927"/>
    <col min="11777" max="11777" width="2.7109375" style="927" customWidth="1"/>
    <col min="11778" max="11778" width="9.140625" style="927" customWidth="1"/>
    <col min="11779" max="11779" width="9.42578125" style="927" customWidth="1"/>
    <col min="11780" max="11780" width="0" style="927" hidden="1" customWidth="1"/>
    <col min="11781" max="11781" width="9.140625" style="927" customWidth="1"/>
    <col min="11782" max="11782" width="2.42578125" style="927" customWidth="1"/>
    <col min="11783" max="11783" width="9.140625" style="927" customWidth="1"/>
    <col min="11784" max="11784" width="9.42578125" style="927" customWidth="1"/>
    <col min="11785" max="11785" width="0" style="927" hidden="1" customWidth="1"/>
    <col min="11786" max="11786" width="9.140625" style="927" customWidth="1"/>
    <col min="11787" max="11787" width="2.28515625" style="927" customWidth="1"/>
    <col min="11788" max="11788" width="9.140625" style="927" customWidth="1"/>
    <col min="11789" max="11789" width="9.42578125" style="927" customWidth="1"/>
    <col min="11790" max="11790" width="0" style="927" hidden="1" customWidth="1"/>
    <col min="11791" max="11791" width="9.140625" style="927" customWidth="1"/>
    <col min="11792" max="11792" width="2.5703125" style="927" customWidth="1"/>
    <col min="11793" max="11793" width="9.140625" style="927" customWidth="1"/>
    <col min="11794" max="11794" width="9.5703125" style="927" customWidth="1"/>
    <col min="11795" max="11795" width="0" style="927" hidden="1" customWidth="1"/>
    <col min="11796" max="11796" width="9.140625" style="927" customWidth="1"/>
    <col min="11797" max="11797" width="2.7109375" style="927" customWidth="1"/>
    <col min="11798" max="11799" width="9.140625" style="927" customWidth="1"/>
    <col min="11800" max="11800" width="3.140625" style="927" customWidth="1"/>
    <col min="11801" max="11801" width="4" style="927" customWidth="1"/>
    <col min="11802" max="11802" width="9.42578125" style="927" customWidth="1"/>
    <col min="11803" max="11804" width="9.140625" style="927" customWidth="1"/>
    <col min="11805" max="11805" width="10.5703125" style="927" customWidth="1"/>
    <col min="11806" max="11806" width="9.140625" style="927" customWidth="1"/>
    <col min="11807" max="11807" width="4" style="927" customWidth="1"/>
    <col min="11808" max="11808" width="9.42578125" style="927" customWidth="1"/>
    <col min="11809" max="11810" width="9.140625" style="927" customWidth="1"/>
    <col min="11811" max="11811" width="10.5703125" style="927" customWidth="1"/>
    <col min="11812" max="11812" width="9.140625" style="927" customWidth="1"/>
    <col min="11813" max="11813" width="4" style="927" customWidth="1"/>
    <col min="11814" max="11814" width="9.42578125" style="927" customWidth="1"/>
    <col min="11815" max="11816" width="9.140625" style="927" customWidth="1"/>
    <col min="11817" max="11817" width="10.5703125" style="927" customWidth="1"/>
    <col min="11818" max="11818" width="9.140625" style="927" customWidth="1"/>
    <col min="11819" max="11819" width="4" style="927" customWidth="1"/>
    <col min="11820" max="11820" width="9.42578125" style="927" customWidth="1"/>
    <col min="11821" max="11822" width="9.140625" style="927" customWidth="1"/>
    <col min="11823" max="11823" width="10.5703125" style="927" customWidth="1"/>
    <col min="11824" max="11824" width="9.140625" style="927" customWidth="1"/>
    <col min="11825" max="11825" width="4" style="927" customWidth="1"/>
    <col min="11826" max="11826" width="9.42578125" style="927" customWidth="1"/>
    <col min="11827" max="11828" width="9.140625" style="927" customWidth="1"/>
    <col min="11829" max="11829" width="10.5703125" style="927" customWidth="1"/>
    <col min="11830" max="11830" width="9.140625" style="927" customWidth="1"/>
    <col min="11831" max="11831" width="4" style="927" customWidth="1"/>
    <col min="11832" max="11832" width="9.42578125" style="927" customWidth="1"/>
    <col min="11833" max="11834" width="9.140625" style="927" customWidth="1"/>
    <col min="11835" max="11835" width="10.5703125" style="927" customWidth="1"/>
    <col min="11836" max="11836" width="9.140625" style="927" customWidth="1"/>
    <col min="11837" max="11837" width="4" style="927" customWidth="1"/>
    <col min="11838" max="11838" width="9.42578125" style="927" customWidth="1"/>
    <col min="11839" max="11840" width="9.140625" style="927" customWidth="1"/>
    <col min="11841" max="11841" width="10.5703125" style="927" customWidth="1"/>
    <col min="11842" max="11842" width="9.140625" style="927" customWidth="1"/>
    <col min="11843" max="11843" width="4" style="927" customWidth="1"/>
    <col min="11844" max="11844" width="9.42578125" style="927" customWidth="1"/>
    <col min="11845" max="11846" width="9.140625" style="927" customWidth="1"/>
    <col min="11847" max="11847" width="10.5703125" style="927" customWidth="1"/>
    <col min="11848" max="11848" width="9.140625" style="927" customWidth="1"/>
    <col min="11849" max="11849" width="4" style="927" customWidth="1"/>
    <col min="11850" max="11850" width="9.42578125" style="927" customWidth="1"/>
    <col min="11851" max="11852" width="9.140625" style="927" customWidth="1"/>
    <col min="11853" max="11853" width="10.5703125" style="927" customWidth="1"/>
    <col min="11854" max="11854" width="9.140625" style="927" customWidth="1"/>
    <col min="11855" max="11855" width="4" style="927" customWidth="1"/>
    <col min="11856" max="11856" width="9.42578125" style="927" customWidth="1"/>
    <col min="11857" max="11858" width="9.140625" style="927" customWidth="1"/>
    <col min="11859" max="11859" width="10.5703125" style="927" customWidth="1"/>
    <col min="11860" max="11860" width="9.140625" style="927" customWidth="1"/>
    <col min="11861" max="11861" width="4" style="927" customWidth="1"/>
    <col min="11862" max="11862" width="9.42578125" style="927" customWidth="1"/>
    <col min="11863" max="11864" width="9.140625" style="927" customWidth="1"/>
    <col min="11865" max="11865" width="10.5703125" style="927" customWidth="1"/>
    <col min="11866" max="11866" width="9.140625" style="927" customWidth="1"/>
    <col min="11867" max="11867" width="4" style="927" customWidth="1"/>
    <col min="11868" max="11868" width="9.42578125" style="927" customWidth="1"/>
    <col min="11869" max="11870" width="9.140625" style="927" customWidth="1"/>
    <col min="11871" max="11871" width="10.5703125" style="927" customWidth="1"/>
    <col min="11872" max="11872" width="9.140625" style="927" customWidth="1"/>
    <col min="11873" max="11873" width="4" style="927" customWidth="1"/>
    <col min="11874" max="11874" width="9.42578125" style="927" customWidth="1"/>
    <col min="11875" max="11876" width="9.140625" style="927" customWidth="1"/>
    <col min="11877" max="11877" width="10.5703125" style="927" customWidth="1"/>
    <col min="11878" max="11878" width="9.140625" style="927" customWidth="1"/>
    <col min="11879" max="11879" width="4" style="927" customWidth="1"/>
    <col min="11880" max="11880" width="12.42578125" style="927" customWidth="1"/>
    <col min="11881" max="11882" width="9.140625" style="927" customWidth="1"/>
    <col min="11883" max="11883" width="10.5703125" style="927" customWidth="1"/>
    <col min="11884" max="11884" width="9.140625" style="927" customWidth="1"/>
    <col min="11885" max="11885" width="4" style="927" customWidth="1"/>
    <col min="11886" max="11886" width="12.42578125" style="927" customWidth="1"/>
    <col min="11887" max="11888" width="9.140625" style="927" customWidth="1"/>
    <col min="11889" max="11889" width="10.5703125" style="927" customWidth="1"/>
    <col min="11890" max="11890" width="9.140625" style="927" customWidth="1"/>
    <col min="11891" max="11891" width="4" style="927" customWidth="1"/>
    <col min="11892" max="11892" width="12.42578125" style="927" customWidth="1"/>
    <col min="11893" max="11894" width="9.140625" style="927" customWidth="1"/>
    <col min="11895" max="11895" width="10.5703125" style="927" customWidth="1"/>
    <col min="11896" max="11896" width="9.140625" style="927" customWidth="1"/>
    <col min="11897" max="11897" width="4" style="927" customWidth="1"/>
    <col min="11898" max="11898" width="12.42578125" style="927" customWidth="1"/>
    <col min="11899" max="11900" width="9.140625" style="927" customWidth="1"/>
    <col min="11901" max="11901" width="10.5703125" style="927" customWidth="1"/>
    <col min="11902" max="11902" width="9.140625" style="927" customWidth="1"/>
    <col min="11903" max="11903" width="4" style="927" customWidth="1"/>
    <col min="11904" max="11904" width="12.42578125" style="927" customWidth="1"/>
    <col min="11905" max="11906" width="9.140625" style="927" customWidth="1"/>
    <col min="11907" max="11907" width="10.5703125" style="927" customWidth="1"/>
    <col min="11908" max="12032" width="9.140625" style="927"/>
    <col min="12033" max="12033" width="2.7109375" style="927" customWidth="1"/>
    <col min="12034" max="12034" width="9.140625" style="927" customWidth="1"/>
    <col min="12035" max="12035" width="9.42578125" style="927" customWidth="1"/>
    <col min="12036" max="12036" width="0" style="927" hidden="1" customWidth="1"/>
    <col min="12037" max="12037" width="9.140625" style="927" customWidth="1"/>
    <col min="12038" max="12038" width="2.42578125" style="927" customWidth="1"/>
    <col min="12039" max="12039" width="9.140625" style="927" customWidth="1"/>
    <col min="12040" max="12040" width="9.42578125" style="927" customWidth="1"/>
    <col min="12041" max="12041" width="0" style="927" hidden="1" customWidth="1"/>
    <col min="12042" max="12042" width="9.140625" style="927" customWidth="1"/>
    <col min="12043" max="12043" width="2.28515625" style="927" customWidth="1"/>
    <col min="12044" max="12044" width="9.140625" style="927" customWidth="1"/>
    <col min="12045" max="12045" width="9.42578125" style="927" customWidth="1"/>
    <col min="12046" max="12046" width="0" style="927" hidden="1" customWidth="1"/>
    <col min="12047" max="12047" width="9.140625" style="927" customWidth="1"/>
    <col min="12048" max="12048" width="2.5703125" style="927" customWidth="1"/>
    <col min="12049" max="12049" width="9.140625" style="927" customWidth="1"/>
    <col min="12050" max="12050" width="9.5703125" style="927" customWidth="1"/>
    <col min="12051" max="12051" width="0" style="927" hidden="1" customWidth="1"/>
    <col min="12052" max="12052" width="9.140625" style="927" customWidth="1"/>
    <col min="12053" max="12053" width="2.7109375" style="927" customWidth="1"/>
    <col min="12054" max="12055" width="9.140625" style="927" customWidth="1"/>
    <col min="12056" max="12056" width="3.140625" style="927" customWidth="1"/>
    <col min="12057" max="12057" width="4" style="927" customWidth="1"/>
    <col min="12058" max="12058" width="9.42578125" style="927" customWidth="1"/>
    <col min="12059" max="12060" width="9.140625" style="927" customWidth="1"/>
    <col min="12061" max="12061" width="10.5703125" style="927" customWidth="1"/>
    <col min="12062" max="12062" width="9.140625" style="927" customWidth="1"/>
    <col min="12063" max="12063" width="4" style="927" customWidth="1"/>
    <col min="12064" max="12064" width="9.42578125" style="927" customWidth="1"/>
    <col min="12065" max="12066" width="9.140625" style="927" customWidth="1"/>
    <col min="12067" max="12067" width="10.5703125" style="927" customWidth="1"/>
    <col min="12068" max="12068" width="9.140625" style="927" customWidth="1"/>
    <col min="12069" max="12069" width="4" style="927" customWidth="1"/>
    <col min="12070" max="12070" width="9.42578125" style="927" customWidth="1"/>
    <col min="12071" max="12072" width="9.140625" style="927" customWidth="1"/>
    <col min="12073" max="12073" width="10.5703125" style="927" customWidth="1"/>
    <col min="12074" max="12074" width="9.140625" style="927" customWidth="1"/>
    <col min="12075" max="12075" width="4" style="927" customWidth="1"/>
    <col min="12076" max="12076" width="9.42578125" style="927" customWidth="1"/>
    <col min="12077" max="12078" width="9.140625" style="927" customWidth="1"/>
    <col min="12079" max="12079" width="10.5703125" style="927" customWidth="1"/>
    <col min="12080" max="12080" width="9.140625" style="927" customWidth="1"/>
    <col min="12081" max="12081" width="4" style="927" customWidth="1"/>
    <col min="12082" max="12082" width="9.42578125" style="927" customWidth="1"/>
    <col min="12083" max="12084" width="9.140625" style="927" customWidth="1"/>
    <col min="12085" max="12085" width="10.5703125" style="927" customWidth="1"/>
    <col min="12086" max="12086" width="9.140625" style="927" customWidth="1"/>
    <col min="12087" max="12087" width="4" style="927" customWidth="1"/>
    <col min="12088" max="12088" width="9.42578125" style="927" customWidth="1"/>
    <col min="12089" max="12090" width="9.140625" style="927" customWidth="1"/>
    <col min="12091" max="12091" width="10.5703125" style="927" customWidth="1"/>
    <col min="12092" max="12092" width="9.140625" style="927" customWidth="1"/>
    <col min="12093" max="12093" width="4" style="927" customWidth="1"/>
    <col min="12094" max="12094" width="9.42578125" style="927" customWidth="1"/>
    <col min="12095" max="12096" width="9.140625" style="927" customWidth="1"/>
    <col min="12097" max="12097" width="10.5703125" style="927" customWidth="1"/>
    <col min="12098" max="12098" width="9.140625" style="927" customWidth="1"/>
    <col min="12099" max="12099" width="4" style="927" customWidth="1"/>
    <col min="12100" max="12100" width="9.42578125" style="927" customWidth="1"/>
    <col min="12101" max="12102" width="9.140625" style="927" customWidth="1"/>
    <col min="12103" max="12103" width="10.5703125" style="927" customWidth="1"/>
    <col min="12104" max="12104" width="9.140625" style="927" customWidth="1"/>
    <col min="12105" max="12105" width="4" style="927" customWidth="1"/>
    <col min="12106" max="12106" width="9.42578125" style="927" customWidth="1"/>
    <col min="12107" max="12108" width="9.140625" style="927" customWidth="1"/>
    <col min="12109" max="12109" width="10.5703125" style="927" customWidth="1"/>
    <col min="12110" max="12110" width="9.140625" style="927" customWidth="1"/>
    <col min="12111" max="12111" width="4" style="927" customWidth="1"/>
    <col min="12112" max="12112" width="9.42578125" style="927" customWidth="1"/>
    <col min="12113" max="12114" width="9.140625" style="927" customWidth="1"/>
    <col min="12115" max="12115" width="10.5703125" style="927" customWidth="1"/>
    <col min="12116" max="12116" width="9.140625" style="927" customWidth="1"/>
    <col min="12117" max="12117" width="4" style="927" customWidth="1"/>
    <col min="12118" max="12118" width="9.42578125" style="927" customWidth="1"/>
    <col min="12119" max="12120" width="9.140625" style="927" customWidth="1"/>
    <col min="12121" max="12121" width="10.5703125" style="927" customWidth="1"/>
    <col min="12122" max="12122" width="9.140625" style="927" customWidth="1"/>
    <col min="12123" max="12123" width="4" style="927" customWidth="1"/>
    <col min="12124" max="12124" width="9.42578125" style="927" customWidth="1"/>
    <col min="12125" max="12126" width="9.140625" style="927" customWidth="1"/>
    <col min="12127" max="12127" width="10.5703125" style="927" customWidth="1"/>
    <col min="12128" max="12128" width="9.140625" style="927" customWidth="1"/>
    <col min="12129" max="12129" width="4" style="927" customWidth="1"/>
    <col min="12130" max="12130" width="9.42578125" style="927" customWidth="1"/>
    <col min="12131" max="12132" width="9.140625" style="927" customWidth="1"/>
    <col min="12133" max="12133" width="10.5703125" style="927" customWidth="1"/>
    <col min="12134" max="12134" width="9.140625" style="927" customWidth="1"/>
    <col min="12135" max="12135" width="4" style="927" customWidth="1"/>
    <col min="12136" max="12136" width="12.42578125" style="927" customWidth="1"/>
    <col min="12137" max="12138" width="9.140625" style="927" customWidth="1"/>
    <col min="12139" max="12139" width="10.5703125" style="927" customWidth="1"/>
    <col min="12140" max="12140" width="9.140625" style="927" customWidth="1"/>
    <col min="12141" max="12141" width="4" style="927" customWidth="1"/>
    <col min="12142" max="12142" width="12.42578125" style="927" customWidth="1"/>
    <col min="12143" max="12144" width="9.140625" style="927" customWidth="1"/>
    <col min="12145" max="12145" width="10.5703125" style="927" customWidth="1"/>
    <col min="12146" max="12146" width="9.140625" style="927" customWidth="1"/>
    <col min="12147" max="12147" width="4" style="927" customWidth="1"/>
    <col min="12148" max="12148" width="12.42578125" style="927" customWidth="1"/>
    <col min="12149" max="12150" width="9.140625" style="927" customWidth="1"/>
    <col min="12151" max="12151" width="10.5703125" style="927" customWidth="1"/>
    <col min="12152" max="12152" width="9.140625" style="927" customWidth="1"/>
    <col min="12153" max="12153" width="4" style="927" customWidth="1"/>
    <col min="12154" max="12154" width="12.42578125" style="927" customWidth="1"/>
    <col min="12155" max="12156" width="9.140625" style="927" customWidth="1"/>
    <col min="12157" max="12157" width="10.5703125" style="927" customWidth="1"/>
    <col min="12158" max="12158" width="9.140625" style="927" customWidth="1"/>
    <col min="12159" max="12159" width="4" style="927" customWidth="1"/>
    <col min="12160" max="12160" width="12.42578125" style="927" customWidth="1"/>
    <col min="12161" max="12162" width="9.140625" style="927" customWidth="1"/>
    <col min="12163" max="12163" width="10.5703125" style="927" customWidth="1"/>
    <col min="12164" max="12288" width="9.140625" style="927"/>
    <col min="12289" max="12289" width="2.7109375" style="927" customWidth="1"/>
    <col min="12290" max="12290" width="9.140625" style="927" customWidth="1"/>
    <col min="12291" max="12291" width="9.42578125" style="927" customWidth="1"/>
    <col min="12292" max="12292" width="0" style="927" hidden="1" customWidth="1"/>
    <col min="12293" max="12293" width="9.140625" style="927" customWidth="1"/>
    <col min="12294" max="12294" width="2.42578125" style="927" customWidth="1"/>
    <col min="12295" max="12295" width="9.140625" style="927" customWidth="1"/>
    <col min="12296" max="12296" width="9.42578125" style="927" customWidth="1"/>
    <col min="12297" max="12297" width="0" style="927" hidden="1" customWidth="1"/>
    <col min="12298" max="12298" width="9.140625" style="927" customWidth="1"/>
    <col min="12299" max="12299" width="2.28515625" style="927" customWidth="1"/>
    <col min="12300" max="12300" width="9.140625" style="927" customWidth="1"/>
    <col min="12301" max="12301" width="9.42578125" style="927" customWidth="1"/>
    <col min="12302" max="12302" width="0" style="927" hidden="1" customWidth="1"/>
    <col min="12303" max="12303" width="9.140625" style="927" customWidth="1"/>
    <col min="12304" max="12304" width="2.5703125" style="927" customWidth="1"/>
    <col min="12305" max="12305" width="9.140625" style="927" customWidth="1"/>
    <col min="12306" max="12306" width="9.5703125" style="927" customWidth="1"/>
    <col min="12307" max="12307" width="0" style="927" hidden="1" customWidth="1"/>
    <col min="12308" max="12308" width="9.140625" style="927" customWidth="1"/>
    <col min="12309" max="12309" width="2.7109375" style="927" customWidth="1"/>
    <col min="12310" max="12311" width="9.140625" style="927" customWidth="1"/>
    <col min="12312" max="12312" width="3.140625" style="927" customWidth="1"/>
    <col min="12313" max="12313" width="4" style="927" customWidth="1"/>
    <col min="12314" max="12314" width="9.42578125" style="927" customWidth="1"/>
    <col min="12315" max="12316" width="9.140625" style="927" customWidth="1"/>
    <col min="12317" max="12317" width="10.5703125" style="927" customWidth="1"/>
    <col min="12318" max="12318" width="9.140625" style="927" customWidth="1"/>
    <col min="12319" max="12319" width="4" style="927" customWidth="1"/>
    <col min="12320" max="12320" width="9.42578125" style="927" customWidth="1"/>
    <col min="12321" max="12322" width="9.140625" style="927" customWidth="1"/>
    <col min="12323" max="12323" width="10.5703125" style="927" customWidth="1"/>
    <col min="12324" max="12324" width="9.140625" style="927" customWidth="1"/>
    <col min="12325" max="12325" width="4" style="927" customWidth="1"/>
    <col min="12326" max="12326" width="9.42578125" style="927" customWidth="1"/>
    <col min="12327" max="12328" width="9.140625" style="927" customWidth="1"/>
    <col min="12329" max="12329" width="10.5703125" style="927" customWidth="1"/>
    <col min="12330" max="12330" width="9.140625" style="927" customWidth="1"/>
    <col min="12331" max="12331" width="4" style="927" customWidth="1"/>
    <col min="12332" max="12332" width="9.42578125" style="927" customWidth="1"/>
    <col min="12333" max="12334" width="9.140625" style="927" customWidth="1"/>
    <col min="12335" max="12335" width="10.5703125" style="927" customWidth="1"/>
    <col min="12336" max="12336" width="9.140625" style="927" customWidth="1"/>
    <col min="12337" max="12337" width="4" style="927" customWidth="1"/>
    <col min="12338" max="12338" width="9.42578125" style="927" customWidth="1"/>
    <col min="12339" max="12340" width="9.140625" style="927" customWidth="1"/>
    <col min="12341" max="12341" width="10.5703125" style="927" customWidth="1"/>
    <col min="12342" max="12342" width="9.140625" style="927" customWidth="1"/>
    <col min="12343" max="12343" width="4" style="927" customWidth="1"/>
    <col min="12344" max="12344" width="9.42578125" style="927" customWidth="1"/>
    <col min="12345" max="12346" width="9.140625" style="927" customWidth="1"/>
    <col min="12347" max="12347" width="10.5703125" style="927" customWidth="1"/>
    <col min="12348" max="12348" width="9.140625" style="927" customWidth="1"/>
    <col min="12349" max="12349" width="4" style="927" customWidth="1"/>
    <col min="12350" max="12350" width="9.42578125" style="927" customWidth="1"/>
    <col min="12351" max="12352" width="9.140625" style="927" customWidth="1"/>
    <col min="12353" max="12353" width="10.5703125" style="927" customWidth="1"/>
    <col min="12354" max="12354" width="9.140625" style="927" customWidth="1"/>
    <col min="12355" max="12355" width="4" style="927" customWidth="1"/>
    <col min="12356" max="12356" width="9.42578125" style="927" customWidth="1"/>
    <col min="12357" max="12358" width="9.140625" style="927" customWidth="1"/>
    <col min="12359" max="12359" width="10.5703125" style="927" customWidth="1"/>
    <col min="12360" max="12360" width="9.140625" style="927" customWidth="1"/>
    <col min="12361" max="12361" width="4" style="927" customWidth="1"/>
    <col min="12362" max="12362" width="9.42578125" style="927" customWidth="1"/>
    <col min="12363" max="12364" width="9.140625" style="927" customWidth="1"/>
    <col min="12365" max="12365" width="10.5703125" style="927" customWidth="1"/>
    <col min="12366" max="12366" width="9.140625" style="927" customWidth="1"/>
    <col min="12367" max="12367" width="4" style="927" customWidth="1"/>
    <col min="12368" max="12368" width="9.42578125" style="927" customWidth="1"/>
    <col min="12369" max="12370" width="9.140625" style="927" customWidth="1"/>
    <col min="12371" max="12371" width="10.5703125" style="927" customWidth="1"/>
    <col min="12372" max="12372" width="9.140625" style="927" customWidth="1"/>
    <col min="12373" max="12373" width="4" style="927" customWidth="1"/>
    <col min="12374" max="12374" width="9.42578125" style="927" customWidth="1"/>
    <col min="12375" max="12376" width="9.140625" style="927" customWidth="1"/>
    <col min="12377" max="12377" width="10.5703125" style="927" customWidth="1"/>
    <col min="12378" max="12378" width="9.140625" style="927" customWidth="1"/>
    <col min="12379" max="12379" width="4" style="927" customWidth="1"/>
    <col min="12380" max="12380" width="9.42578125" style="927" customWidth="1"/>
    <col min="12381" max="12382" width="9.140625" style="927" customWidth="1"/>
    <col min="12383" max="12383" width="10.5703125" style="927" customWidth="1"/>
    <col min="12384" max="12384" width="9.140625" style="927" customWidth="1"/>
    <col min="12385" max="12385" width="4" style="927" customWidth="1"/>
    <col min="12386" max="12386" width="9.42578125" style="927" customWidth="1"/>
    <col min="12387" max="12388" width="9.140625" style="927" customWidth="1"/>
    <col min="12389" max="12389" width="10.5703125" style="927" customWidth="1"/>
    <col min="12390" max="12390" width="9.140625" style="927" customWidth="1"/>
    <col min="12391" max="12391" width="4" style="927" customWidth="1"/>
    <col min="12392" max="12392" width="12.42578125" style="927" customWidth="1"/>
    <col min="12393" max="12394" width="9.140625" style="927" customWidth="1"/>
    <col min="12395" max="12395" width="10.5703125" style="927" customWidth="1"/>
    <col min="12396" max="12396" width="9.140625" style="927" customWidth="1"/>
    <col min="12397" max="12397" width="4" style="927" customWidth="1"/>
    <col min="12398" max="12398" width="12.42578125" style="927" customWidth="1"/>
    <col min="12399" max="12400" width="9.140625" style="927" customWidth="1"/>
    <col min="12401" max="12401" width="10.5703125" style="927" customWidth="1"/>
    <col min="12402" max="12402" width="9.140625" style="927" customWidth="1"/>
    <col min="12403" max="12403" width="4" style="927" customWidth="1"/>
    <col min="12404" max="12404" width="12.42578125" style="927" customWidth="1"/>
    <col min="12405" max="12406" width="9.140625" style="927" customWidth="1"/>
    <col min="12407" max="12407" width="10.5703125" style="927" customWidth="1"/>
    <col min="12408" max="12408" width="9.140625" style="927" customWidth="1"/>
    <col min="12409" max="12409" width="4" style="927" customWidth="1"/>
    <col min="12410" max="12410" width="12.42578125" style="927" customWidth="1"/>
    <col min="12411" max="12412" width="9.140625" style="927" customWidth="1"/>
    <col min="12413" max="12413" width="10.5703125" style="927" customWidth="1"/>
    <col min="12414" max="12414" width="9.140625" style="927" customWidth="1"/>
    <col min="12415" max="12415" width="4" style="927" customWidth="1"/>
    <col min="12416" max="12416" width="12.42578125" style="927" customWidth="1"/>
    <col min="12417" max="12418" width="9.140625" style="927" customWidth="1"/>
    <col min="12419" max="12419" width="10.5703125" style="927" customWidth="1"/>
    <col min="12420" max="12544" width="9.140625" style="927"/>
    <col min="12545" max="12545" width="2.7109375" style="927" customWidth="1"/>
    <col min="12546" max="12546" width="9.140625" style="927" customWidth="1"/>
    <col min="12547" max="12547" width="9.42578125" style="927" customWidth="1"/>
    <col min="12548" max="12548" width="0" style="927" hidden="1" customWidth="1"/>
    <col min="12549" max="12549" width="9.140625" style="927" customWidth="1"/>
    <col min="12550" max="12550" width="2.42578125" style="927" customWidth="1"/>
    <col min="12551" max="12551" width="9.140625" style="927" customWidth="1"/>
    <col min="12552" max="12552" width="9.42578125" style="927" customWidth="1"/>
    <col min="12553" max="12553" width="0" style="927" hidden="1" customWidth="1"/>
    <col min="12554" max="12554" width="9.140625" style="927" customWidth="1"/>
    <col min="12555" max="12555" width="2.28515625" style="927" customWidth="1"/>
    <col min="12556" max="12556" width="9.140625" style="927" customWidth="1"/>
    <col min="12557" max="12557" width="9.42578125" style="927" customWidth="1"/>
    <col min="12558" max="12558" width="0" style="927" hidden="1" customWidth="1"/>
    <col min="12559" max="12559" width="9.140625" style="927" customWidth="1"/>
    <col min="12560" max="12560" width="2.5703125" style="927" customWidth="1"/>
    <col min="12561" max="12561" width="9.140625" style="927" customWidth="1"/>
    <col min="12562" max="12562" width="9.5703125" style="927" customWidth="1"/>
    <col min="12563" max="12563" width="0" style="927" hidden="1" customWidth="1"/>
    <col min="12564" max="12564" width="9.140625" style="927" customWidth="1"/>
    <col min="12565" max="12565" width="2.7109375" style="927" customWidth="1"/>
    <col min="12566" max="12567" width="9.140625" style="927" customWidth="1"/>
    <col min="12568" max="12568" width="3.140625" style="927" customWidth="1"/>
    <col min="12569" max="12569" width="4" style="927" customWidth="1"/>
    <col min="12570" max="12570" width="9.42578125" style="927" customWidth="1"/>
    <col min="12571" max="12572" width="9.140625" style="927" customWidth="1"/>
    <col min="12573" max="12573" width="10.5703125" style="927" customWidth="1"/>
    <col min="12574" max="12574" width="9.140625" style="927" customWidth="1"/>
    <col min="12575" max="12575" width="4" style="927" customWidth="1"/>
    <col min="12576" max="12576" width="9.42578125" style="927" customWidth="1"/>
    <col min="12577" max="12578" width="9.140625" style="927" customWidth="1"/>
    <col min="12579" max="12579" width="10.5703125" style="927" customWidth="1"/>
    <col min="12580" max="12580" width="9.140625" style="927" customWidth="1"/>
    <col min="12581" max="12581" width="4" style="927" customWidth="1"/>
    <col min="12582" max="12582" width="9.42578125" style="927" customWidth="1"/>
    <col min="12583" max="12584" width="9.140625" style="927" customWidth="1"/>
    <col min="12585" max="12585" width="10.5703125" style="927" customWidth="1"/>
    <col min="12586" max="12586" width="9.140625" style="927" customWidth="1"/>
    <col min="12587" max="12587" width="4" style="927" customWidth="1"/>
    <col min="12588" max="12588" width="9.42578125" style="927" customWidth="1"/>
    <col min="12589" max="12590" width="9.140625" style="927" customWidth="1"/>
    <col min="12591" max="12591" width="10.5703125" style="927" customWidth="1"/>
    <col min="12592" max="12592" width="9.140625" style="927" customWidth="1"/>
    <col min="12593" max="12593" width="4" style="927" customWidth="1"/>
    <col min="12594" max="12594" width="9.42578125" style="927" customWidth="1"/>
    <col min="12595" max="12596" width="9.140625" style="927" customWidth="1"/>
    <col min="12597" max="12597" width="10.5703125" style="927" customWidth="1"/>
    <col min="12598" max="12598" width="9.140625" style="927" customWidth="1"/>
    <col min="12599" max="12599" width="4" style="927" customWidth="1"/>
    <col min="12600" max="12600" width="9.42578125" style="927" customWidth="1"/>
    <col min="12601" max="12602" width="9.140625" style="927" customWidth="1"/>
    <col min="12603" max="12603" width="10.5703125" style="927" customWidth="1"/>
    <col min="12604" max="12604" width="9.140625" style="927" customWidth="1"/>
    <col min="12605" max="12605" width="4" style="927" customWidth="1"/>
    <col min="12606" max="12606" width="9.42578125" style="927" customWidth="1"/>
    <col min="12607" max="12608" width="9.140625" style="927" customWidth="1"/>
    <col min="12609" max="12609" width="10.5703125" style="927" customWidth="1"/>
    <col min="12610" max="12610" width="9.140625" style="927" customWidth="1"/>
    <col min="12611" max="12611" width="4" style="927" customWidth="1"/>
    <col min="12612" max="12612" width="9.42578125" style="927" customWidth="1"/>
    <col min="12613" max="12614" width="9.140625" style="927" customWidth="1"/>
    <col min="12615" max="12615" width="10.5703125" style="927" customWidth="1"/>
    <col min="12616" max="12616" width="9.140625" style="927" customWidth="1"/>
    <col min="12617" max="12617" width="4" style="927" customWidth="1"/>
    <col min="12618" max="12618" width="9.42578125" style="927" customWidth="1"/>
    <col min="12619" max="12620" width="9.140625" style="927" customWidth="1"/>
    <col min="12621" max="12621" width="10.5703125" style="927" customWidth="1"/>
    <col min="12622" max="12622" width="9.140625" style="927" customWidth="1"/>
    <col min="12623" max="12623" width="4" style="927" customWidth="1"/>
    <col min="12624" max="12624" width="9.42578125" style="927" customWidth="1"/>
    <col min="12625" max="12626" width="9.140625" style="927" customWidth="1"/>
    <col min="12627" max="12627" width="10.5703125" style="927" customWidth="1"/>
    <col min="12628" max="12628" width="9.140625" style="927" customWidth="1"/>
    <col min="12629" max="12629" width="4" style="927" customWidth="1"/>
    <col min="12630" max="12630" width="9.42578125" style="927" customWidth="1"/>
    <col min="12631" max="12632" width="9.140625" style="927" customWidth="1"/>
    <col min="12633" max="12633" width="10.5703125" style="927" customWidth="1"/>
    <col min="12634" max="12634" width="9.140625" style="927" customWidth="1"/>
    <col min="12635" max="12635" width="4" style="927" customWidth="1"/>
    <col min="12636" max="12636" width="9.42578125" style="927" customWidth="1"/>
    <col min="12637" max="12638" width="9.140625" style="927" customWidth="1"/>
    <col min="12639" max="12639" width="10.5703125" style="927" customWidth="1"/>
    <col min="12640" max="12640" width="9.140625" style="927" customWidth="1"/>
    <col min="12641" max="12641" width="4" style="927" customWidth="1"/>
    <col min="12642" max="12642" width="9.42578125" style="927" customWidth="1"/>
    <col min="12643" max="12644" width="9.140625" style="927" customWidth="1"/>
    <col min="12645" max="12645" width="10.5703125" style="927" customWidth="1"/>
    <col min="12646" max="12646" width="9.140625" style="927" customWidth="1"/>
    <col min="12647" max="12647" width="4" style="927" customWidth="1"/>
    <col min="12648" max="12648" width="12.42578125" style="927" customWidth="1"/>
    <col min="12649" max="12650" width="9.140625" style="927" customWidth="1"/>
    <col min="12651" max="12651" width="10.5703125" style="927" customWidth="1"/>
    <col min="12652" max="12652" width="9.140625" style="927" customWidth="1"/>
    <col min="12653" max="12653" width="4" style="927" customWidth="1"/>
    <col min="12654" max="12654" width="12.42578125" style="927" customWidth="1"/>
    <col min="12655" max="12656" width="9.140625" style="927" customWidth="1"/>
    <col min="12657" max="12657" width="10.5703125" style="927" customWidth="1"/>
    <col min="12658" max="12658" width="9.140625" style="927" customWidth="1"/>
    <col min="12659" max="12659" width="4" style="927" customWidth="1"/>
    <col min="12660" max="12660" width="12.42578125" style="927" customWidth="1"/>
    <col min="12661" max="12662" width="9.140625" style="927" customWidth="1"/>
    <col min="12663" max="12663" width="10.5703125" style="927" customWidth="1"/>
    <col min="12664" max="12664" width="9.140625" style="927" customWidth="1"/>
    <col min="12665" max="12665" width="4" style="927" customWidth="1"/>
    <col min="12666" max="12666" width="12.42578125" style="927" customWidth="1"/>
    <col min="12667" max="12668" width="9.140625" style="927" customWidth="1"/>
    <col min="12669" max="12669" width="10.5703125" style="927" customWidth="1"/>
    <col min="12670" max="12670" width="9.140625" style="927" customWidth="1"/>
    <col min="12671" max="12671" width="4" style="927" customWidth="1"/>
    <col min="12672" max="12672" width="12.42578125" style="927" customWidth="1"/>
    <col min="12673" max="12674" width="9.140625" style="927" customWidth="1"/>
    <col min="12675" max="12675" width="10.5703125" style="927" customWidth="1"/>
    <col min="12676" max="12800" width="9.140625" style="927"/>
    <col min="12801" max="12801" width="2.7109375" style="927" customWidth="1"/>
    <col min="12802" max="12802" width="9.140625" style="927" customWidth="1"/>
    <col min="12803" max="12803" width="9.42578125" style="927" customWidth="1"/>
    <col min="12804" max="12804" width="0" style="927" hidden="1" customWidth="1"/>
    <col min="12805" max="12805" width="9.140625" style="927" customWidth="1"/>
    <col min="12806" max="12806" width="2.42578125" style="927" customWidth="1"/>
    <col min="12807" max="12807" width="9.140625" style="927" customWidth="1"/>
    <col min="12808" max="12808" width="9.42578125" style="927" customWidth="1"/>
    <col min="12809" max="12809" width="0" style="927" hidden="1" customWidth="1"/>
    <col min="12810" max="12810" width="9.140625" style="927" customWidth="1"/>
    <col min="12811" max="12811" width="2.28515625" style="927" customWidth="1"/>
    <col min="12812" max="12812" width="9.140625" style="927" customWidth="1"/>
    <col min="12813" max="12813" width="9.42578125" style="927" customWidth="1"/>
    <col min="12814" max="12814" width="0" style="927" hidden="1" customWidth="1"/>
    <col min="12815" max="12815" width="9.140625" style="927" customWidth="1"/>
    <col min="12816" max="12816" width="2.5703125" style="927" customWidth="1"/>
    <col min="12817" max="12817" width="9.140625" style="927" customWidth="1"/>
    <col min="12818" max="12818" width="9.5703125" style="927" customWidth="1"/>
    <col min="12819" max="12819" width="0" style="927" hidden="1" customWidth="1"/>
    <col min="12820" max="12820" width="9.140625" style="927" customWidth="1"/>
    <col min="12821" max="12821" width="2.7109375" style="927" customWidth="1"/>
    <col min="12822" max="12823" width="9.140625" style="927" customWidth="1"/>
    <col min="12824" max="12824" width="3.140625" style="927" customWidth="1"/>
    <col min="12825" max="12825" width="4" style="927" customWidth="1"/>
    <col min="12826" max="12826" width="9.42578125" style="927" customWidth="1"/>
    <col min="12827" max="12828" width="9.140625" style="927" customWidth="1"/>
    <col min="12829" max="12829" width="10.5703125" style="927" customWidth="1"/>
    <col min="12830" max="12830" width="9.140625" style="927" customWidth="1"/>
    <col min="12831" max="12831" width="4" style="927" customWidth="1"/>
    <col min="12832" max="12832" width="9.42578125" style="927" customWidth="1"/>
    <col min="12833" max="12834" width="9.140625" style="927" customWidth="1"/>
    <col min="12835" max="12835" width="10.5703125" style="927" customWidth="1"/>
    <col min="12836" max="12836" width="9.140625" style="927" customWidth="1"/>
    <col min="12837" max="12837" width="4" style="927" customWidth="1"/>
    <col min="12838" max="12838" width="9.42578125" style="927" customWidth="1"/>
    <col min="12839" max="12840" width="9.140625" style="927" customWidth="1"/>
    <col min="12841" max="12841" width="10.5703125" style="927" customWidth="1"/>
    <col min="12842" max="12842" width="9.140625" style="927" customWidth="1"/>
    <col min="12843" max="12843" width="4" style="927" customWidth="1"/>
    <col min="12844" max="12844" width="9.42578125" style="927" customWidth="1"/>
    <col min="12845" max="12846" width="9.140625" style="927" customWidth="1"/>
    <col min="12847" max="12847" width="10.5703125" style="927" customWidth="1"/>
    <col min="12848" max="12848" width="9.140625" style="927" customWidth="1"/>
    <col min="12849" max="12849" width="4" style="927" customWidth="1"/>
    <col min="12850" max="12850" width="9.42578125" style="927" customWidth="1"/>
    <col min="12851" max="12852" width="9.140625" style="927" customWidth="1"/>
    <col min="12853" max="12853" width="10.5703125" style="927" customWidth="1"/>
    <col min="12854" max="12854" width="9.140625" style="927" customWidth="1"/>
    <col min="12855" max="12855" width="4" style="927" customWidth="1"/>
    <col min="12856" max="12856" width="9.42578125" style="927" customWidth="1"/>
    <col min="12857" max="12858" width="9.140625" style="927" customWidth="1"/>
    <col min="12859" max="12859" width="10.5703125" style="927" customWidth="1"/>
    <col min="12860" max="12860" width="9.140625" style="927" customWidth="1"/>
    <col min="12861" max="12861" width="4" style="927" customWidth="1"/>
    <col min="12862" max="12862" width="9.42578125" style="927" customWidth="1"/>
    <col min="12863" max="12864" width="9.140625" style="927" customWidth="1"/>
    <col min="12865" max="12865" width="10.5703125" style="927" customWidth="1"/>
    <col min="12866" max="12866" width="9.140625" style="927" customWidth="1"/>
    <col min="12867" max="12867" width="4" style="927" customWidth="1"/>
    <col min="12868" max="12868" width="9.42578125" style="927" customWidth="1"/>
    <col min="12869" max="12870" width="9.140625" style="927" customWidth="1"/>
    <col min="12871" max="12871" width="10.5703125" style="927" customWidth="1"/>
    <col min="12872" max="12872" width="9.140625" style="927" customWidth="1"/>
    <col min="12873" max="12873" width="4" style="927" customWidth="1"/>
    <col min="12874" max="12874" width="9.42578125" style="927" customWidth="1"/>
    <col min="12875" max="12876" width="9.140625" style="927" customWidth="1"/>
    <col min="12877" max="12877" width="10.5703125" style="927" customWidth="1"/>
    <col min="12878" max="12878" width="9.140625" style="927" customWidth="1"/>
    <col min="12879" max="12879" width="4" style="927" customWidth="1"/>
    <col min="12880" max="12880" width="9.42578125" style="927" customWidth="1"/>
    <col min="12881" max="12882" width="9.140625" style="927" customWidth="1"/>
    <col min="12883" max="12883" width="10.5703125" style="927" customWidth="1"/>
    <col min="12884" max="12884" width="9.140625" style="927" customWidth="1"/>
    <col min="12885" max="12885" width="4" style="927" customWidth="1"/>
    <col min="12886" max="12886" width="9.42578125" style="927" customWidth="1"/>
    <col min="12887" max="12888" width="9.140625" style="927" customWidth="1"/>
    <col min="12889" max="12889" width="10.5703125" style="927" customWidth="1"/>
    <col min="12890" max="12890" width="9.140625" style="927" customWidth="1"/>
    <col min="12891" max="12891" width="4" style="927" customWidth="1"/>
    <col min="12892" max="12892" width="9.42578125" style="927" customWidth="1"/>
    <col min="12893" max="12894" width="9.140625" style="927" customWidth="1"/>
    <col min="12895" max="12895" width="10.5703125" style="927" customWidth="1"/>
    <col min="12896" max="12896" width="9.140625" style="927" customWidth="1"/>
    <col min="12897" max="12897" width="4" style="927" customWidth="1"/>
    <col min="12898" max="12898" width="9.42578125" style="927" customWidth="1"/>
    <col min="12899" max="12900" width="9.140625" style="927" customWidth="1"/>
    <col min="12901" max="12901" width="10.5703125" style="927" customWidth="1"/>
    <col min="12902" max="12902" width="9.140625" style="927" customWidth="1"/>
    <col min="12903" max="12903" width="4" style="927" customWidth="1"/>
    <col min="12904" max="12904" width="12.42578125" style="927" customWidth="1"/>
    <col min="12905" max="12906" width="9.140625" style="927" customWidth="1"/>
    <col min="12907" max="12907" width="10.5703125" style="927" customWidth="1"/>
    <col min="12908" max="12908" width="9.140625" style="927" customWidth="1"/>
    <col min="12909" max="12909" width="4" style="927" customWidth="1"/>
    <col min="12910" max="12910" width="12.42578125" style="927" customWidth="1"/>
    <col min="12911" max="12912" width="9.140625" style="927" customWidth="1"/>
    <col min="12913" max="12913" width="10.5703125" style="927" customWidth="1"/>
    <col min="12914" max="12914" width="9.140625" style="927" customWidth="1"/>
    <col min="12915" max="12915" width="4" style="927" customWidth="1"/>
    <col min="12916" max="12916" width="12.42578125" style="927" customWidth="1"/>
    <col min="12917" max="12918" width="9.140625" style="927" customWidth="1"/>
    <col min="12919" max="12919" width="10.5703125" style="927" customWidth="1"/>
    <col min="12920" max="12920" width="9.140625" style="927" customWidth="1"/>
    <col min="12921" max="12921" width="4" style="927" customWidth="1"/>
    <col min="12922" max="12922" width="12.42578125" style="927" customWidth="1"/>
    <col min="12923" max="12924" width="9.140625" style="927" customWidth="1"/>
    <col min="12925" max="12925" width="10.5703125" style="927" customWidth="1"/>
    <col min="12926" max="12926" width="9.140625" style="927" customWidth="1"/>
    <col min="12927" max="12927" width="4" style="927" customWidth="1"/>
    <col min="12928" max="12928" width="12.42578125" style="927" customWidth="1"/>
    <col min="12929" max="12930" width="9.140625" style="927" customWidth="1"/>
    <col min="12931" max="12931" width="10.5703125" style="927" customWidth="1"/>
    <col min="12932" max="13056" width="9.140625" style="927"/>
    <col min="13057" max="13057" width="2.7109375" style="927" customWidth="1"/>
    <col min="13058" max="13058" width="9.140625" style="927" customWidth="1"/>
    <col min="13059" max="13059" width="9.42578125" style="927" customWidth="1"/>
    <col min="13060" max="13060" width="0" style="927" hidden="1" customWidth="1"/>
    <col min="13061" max="13061" width="9.140625" style="927" customWidth="1"/>
    <col min="13062" max="13062" width="2.42578125" style="927" customWidth="1"/>
    <col min="13063" max="13063" width="9.140625" style="927" customWidth="1"/>
    <col min="13064" max="13064" width="9.42578125" style="927" customWidth="1"/>
    <col min="13065" max="13065" width="0" style="927" hidden="1" customWidth="1"/>
    <col min="13066" max="13066" width="9.140625" style="927" customWidth="1"/>
    <col min="13067" max="13067" width="2.28515625" style="927" customWidth="1"/>
    <col min="13068" max="13068" width="9.140625" style="927" customWidth="1"/>
    <col min="13069" max="13069" width="9.42578125" style="927" customWidth="1"/>
    <col min="13070" max="13070" width="0" style="927" hidden="1" customWidth="1"/>
    <col min="13071" max="13071" width="9.140625" style="927" customWidth="1"/>
    <col min="13072" max="13072" width="2.5703125" style="927" customWidth="1"/>
    <col min="13073" max="13073" width="9.140625" style="927" customWidth="1"/>
    <col min="13074" max="13074" width="9.5703125" style="927" customWidth="1"/>
    <col min="13075" max="13075" width="0" style="927" hidden="1" customWidth="1"/>
    <col min="13076" max="13076" width="9.140625" style="927" customWidth="1"/>
    <col min="13077" max="13077" width="2.7109375" style="927" customWidth="1"/>
    <col min="13078" max="13079" width="9.140625" style="927" customWidth="1"/>
    <col min="13080" max="13080" width="3.140625" style="927" customWidth="1"/>
    <col min="13081" max="13081" width="4" style="927" customWidth="1"/>
    <col min="13082" max="13082" width="9.42578125" style="927" customWidth="1"/>
    <col min="13083" max="13084" width="9.140625" style="927" customWidth="1"/>
    <col min="13085" max="13085" width="10.5703125" style="927" customWidth="1"/>
    <col min="13086" max="13086" width="9.140625" style="927" customWidth="1"/>
    <col min="13087" max="13087" width="4" style="927" customWidth="1"/>
    <col min="13088" max="13088" width="9.42578125" style="927" customWidth="1"/>
    <col min="13089" max="13090" width="9.140625" style="927" customWidth="1"/>
    <col min="13091" max="13091" width="10.5703125" style="927" customWidth="1"/>
    <col min="13092" max="13092" width="9.140625" style="927" customWidth="1"/>
    <col min="13093" max="13093" width="4" style="927" customWidth="1"/>
    <col min="13094" max="13094" width="9.42578125" style="927" customWidth="1"/>
    <col min="13095" max="13096" width="9.140625" style="927" customWidth="1"/>
    <col min="13097" max="13097" width="10.5703125" style="927" customWidth="1"/>
    <col min="13098" max="13098" width="9.140625" style="927" customWidth="1"/>
    <col min="13099" max="13099" width="4" style="927" customWidth="1"/>
    <col min="13100" max="13100" width="9.42578125" style="927" customWidth="1"/>
    <col min="13101" max="13102" width="9.140625" style="927" customWidth="1"/>
    <col min="13103" max="13103" width="10.5703125" style="927" customWidth="1"/>
    <col min="13104" max="13104" width="9.140625" style="927" customWidth="1"/>
    <col min="13105" max="13105" width="4" style="927" customWidth="1"/>
    <col min="13106" max="13106" width="9.42578125" style="927" customWidth="1"/>
    <col min="13107" max="13108" width="9.140625" style="927" customWidth="1"/>
    <col min="13109" max="13109" width="10.5703125" style="927" customWidth="1"/>
    <col min="13110" max="13110" width="9.140625" style="927" customWidth="1"/>
    <col min="13111" max="13111" width="4" style="927" customWidth="1"/>
    <col min="13112" max="13112" width="9.42578125" style="927" customWidth="1"/>
    <col min="13113" max="13114" width="9.140625" style="927" customWidth="1"/>
    <col min="13115" max="13115" width="10.5703125" style="927" customWidth="1"/>
    <col min="13116" max="13116" width="9.140625" style="927" customWidth="1"/>
    <col min="13117" max="13117" width="4" style="927" customWidth="1"/>
    <col min="13118" max="13118" width="9.42578125" style="927" customWidth="1"/>
    <col min="13119" max="13120" width="9.140625" style="927" customWidth="1"/>
    <col min="13121" max="13121" width="10.5703125" style="927" customWidth="1"/>
    <col min="13122" max="13122" width="9.140625" style="927" customWidth="1"/>
    <col min="13123" max="13123" width="4" style="927" customWidth="1"/>
    <col min="13124" max="13124" width="9.42578125" style="927" customWidth="1"/>
    <col min="13125" max="13126" width="9.140625" style="927" customWidth="1"/>
    <col min="13127" max="13127" width="10.5703125" style="927" customWidth="1"/>
    <col min="13128" max="13128" width="9.140625" style="927" customWidth="1"/>
    <col min="13129" max="13129" width="4" style="927" customWidth="1"/>
    <col min="13130" max="13130" width="9.42578125" style="927" customWidth="1"/>
    <col min="13131" max="13132" width="9.140625" style="927" customWidth="1"/>
    <col min="13133" max="13133" width="10.5703125" style="927" customWidth="1"/>
    <col min="13134" max="13134" width="9.140625" style="927" customWidth="1"/>
    <col min="13135" max="13135" width="4" style="927" customWidth="1"/>
    <col min="13136" max="13136" width="9.42578125" style="927" customWidth="1"/>
    <col min="13137" max="13138" width="9.140625" style="927" customWidth="1"/>
    <col min="13139" max="13139" width="10.5703125" style="927" customWidth="1"/>
    <col min="13140" max="13140" width="9.140625" style="927" customWidth="1"/>
    <col min="13141" max="13141" width="4" style="927" customWidth="1"/>
    <col min="13142" max="13142" width="9.42578125" style="927" customWidth="1"/>
    <col min="13143" max="13144" width="9.140625" style="927" customWidth="1"/>
    <col min="13145" max="13145" width="10.5703125" style="927" customWidth="1"/>
    <col min="13146" max="13146" width="9.140625" style="927" customWidth="1"/>
    <col min="13147" max="13147" width="4" style="927" customWidth="1"/>
    <col min="13148" max="13148" width="9.42578125" style="927" customWidth="1"/>
    <col min="13149" max="13150" width="9.140625" style="927" customWidth="1"/>
    <col min="13151" max="13151" width="10.5703125" style="927" customWidth="1"/>
    <col min="13152" max="13152" width="9.140625" style="927" customWidth="1"/>
    <col min="13153" max="13153" width="4" style="927" customWidth="1"/>
    <col min="13154" max="13154" width="9.42578125" style="927" customWidth="1"/>
    <col min="13155" max="13156" width="9.140625" style="927" customWidth="1"/>
    <col min="13157" max="13157" width="10.5703125" style="927" customWidth="1"/>
    <col min="13158" max="13158" width="9.140625" style="927" customWidth="1"/>
    <col min="13159" max="13159" width="4" style="927" customWidth="1"/>
    <col min="13160" max="13160" width="12.42578125" style="927" customWidth="1"/>
    <col min="13161" max="13162" width="9.140625" style="927" customWidth="1"/>
    <col min="13163" max="13163" width="10.5703125" style="927" customWidth="1"/>
    <col min="13164" max="13164" width="9.140625" style="927" customWidth="1"/>
    <col min="13165" max="13165" width="4" style="927" customWidth="1"/>
    <col min="13166" max="13166" width="12.42578125" style="927" customWidth="1"/>
    <col min="13167" max="13168" width="9.140625" style="927" customWidth="1"/>
    <col min="13169" max="13169" width="10.5703125" style="927" customWidth="1"/>
    <col min="13170" max="13170" width="9.140625" style="927" customWidth="1"/>
    <col min="13171" max="13171" width="4" style="927" customWidth="1"/>
    <col min="13172" max="13172" width="12.42578125" style="927" customWidth="1"/>
    <col min="13173" max="13174" width="9.140625" style="927" customWidth="1"/>
    <col min="13175" max="13175" width="10.5703125" style="927" customWidth="1"/>
    <col min="13176" max="13176" width="9.140625" style="927" customWidth="1"/>
    <col min="13177" max="13177" width="4" style="927" customWidth="1"/>
    <col min="13178" max="13178" width="12.42578125" style="927" customWidth="1"/>
    <col min="13179" max="13180" width="9.140625" style="927" customWidth="1"/>
    <col min="13181" max="13181" width="10.5703125" style="927" customWidth="1"/>
    <col min="13182" max="13182" width="9.140625" style="927" customWidth="1"/>
    <col min="13183" max="13183" width="4" style="927" customWidth="1"/>
    <col min="13184" max="13184" width="12.42578125" style="927" customWidth="1"/>
    <col min="13185" max="13186" width="9.140625" style="927" customWidth="1"/>
    <col min="13187" max="13187" width="10.5703125" style="927" customWidth="1"/>
    <col min="13188" max="13312" width="9.140625" style="927"/>
    <col min="13313" max="13313" width="2.7109375" style="927" customWidth="1"/>
    <col min="13314" max="13314" width="9.140625" style="927" customWidth="1"/>
    <col min="13315" max="13315" width="9.42578125" style="927" customWidth="1"/>
    <col min="13316" max="13316" width="0" style="927" hidden="1" customWidth="1"/>
    <col min="13317" max="13317" width="9.140625" style="927" customWidth="1"/>
    <col min="13318" max="13318" width="2.42578125" style="927" customWidth="1"/>
    <col min="13319" max="13319" width="9.140625" style="927" customWidth="1"/>
    <col min="13320" max="13320" width="9.42578125" style="927" customWidth="1"/>
    <col min="13321" max="13321" width="0" style="927" hidden="1" customWidth="1"/>
    <col min="13322" max="13322" width="9.140625" style="927" customWidth="1"/>
    <col min="13323" max="13323" width="2.28515625" style="927" customWidth="1"/>
    <col min="13324" max="13324" width="9.140625" style="927" customWidth="1"/>
    <col min="13325" max="13325" width="9.42578125" style="927" customWidth="1"/>
    <col min="13326" max="13326" width="0" style="927" hidden="1" customWidth="1"/>
    <col min="13327" max="13327" width="9.140625" style="927" customWidth="1"/>
    <col min="13328" max="13328" width="2.5703125" style="927" customWidth="1"/>
    <col min="13329" max="13329" width="9.140625" style="927" customWidth="1"/>
    <col min="13330" max="13330" width="9.5703125" style="927" customWidth="1"/>
    <col min="13331" max="13331" width="0" style="927" hidden="1" customWidth="1"/>
    <col min="13332" max="13332" width="9.140625" style="927" customWidth="1"/>
    <col min="13333" max="13333" width="2.7109375" style="927" customWidth="1"/>
    <col min="13334" max="13335" width="9.140625" style="927" customWidth="1"/>
    <col min="13336" max="13336" width="3.140625" style="927" customWidth="1"/>
    <col min="13337" max="13337" width="4" style="927" customWidth="1"/>
    <col min="13338" max="13338" width="9.42578125" style="927" customWidth="1"/>
    <col min="13339" max="13340" width="9.140625" style="927" customWidth="1"/>
    <col min="13341" max="13341" width="10.5703125" style="927" customWidth="1"/>
    <col min="13342" max="13342" width="9.140625" style="927" customWidth="1"/>
    <col min="13343" max="13343" width="4" style="927" customWidth="1"/>
    <col min="13344" max="13344" width="9.42578125" style="927" customWidth="1"/>
    <col min="13345" max="13346" width="9.140625" style="927" customWidth="1"/>
    <col min="13347" max="13347" width="10.5703125" style="927" customWidth="1"/>
    <col min="13348" max="13348" width="9.140625" style="927" customWidth="1"/>
    <col min="13349" max="13349" width="4" style="927" customWidth="1"/>
    <col min="13350" max="13350" width="9.42578125" style="927" customWidth="1"/>
    <col min="13351" max="13352" width="9.140625" style="927" customWidth="1"/>
    <col min="13353" max="13353" width="10.5703125" style="927" customWidth="1"/>
    <col min="13354" max="13354" width="9.140625" style="927" customWidth="1"/>
    <col min="13355" max="13355" width="4" style="927" customWidth="1"/>
    <col min="13356" max="13356" width="9.42578125" style="927" customWidth="1"/>
    <col min="13357" max="13358" width="9.140625" style="927" customWidth="1"/>
    <col min="13359" max="13359" width="10.5703125" style="927" customWidth="1"/>
    <col min="13360" max="13360" width="9.140625" style="927" customWidth="1"/>
    <col min="13361" max="13361" width="4" style="927" customWidth="1"/>
    <col min="13362" max="13362" width="9.42578125" style="927" customWidth="1"/>
    <col min="13363" max="13364" width="9.140625" style="927" customWidth="1"/>
    <col min="13365" max="13365" width="10.5703125" style="927" customWidth="1"/>
    <col min="13366" max="13366" width="9.140625" style="927" customWidth="1"/>
    <col min="13367" max="13367" width="4" style="927" customWidth="1"/>
    <col min="13368" max="13368" width="9.42578125" style="927" customWidth="1"/>
    <col min="13369" max="13370" width="9.140625" style="927" customWidth="1"/>
    <col min="13371" max="13371" width="10.5703125" style="927" customWidth="1"/>
    <col min="13372" max="13372" width="9.140625" style="927" customWidth="1"/>
    <col min="13373" max="13373" width="4" style="927" customWidth="1"/>
    <col min="13374" max="13374" width="9.42578125" style="927" customWidth="1"/>
    <col min="13375" max="13376" width="9.140625" style="927" customWidth="1"/>
    <col min="13377" max="13377" width="10.5703125" style="927" customWidth="1"/>
    <col min="13378" max="13378" width="9.140625" style="927" customWidth="1"/>
    <col min="13379" max="13379" width="4" style="927" customWidth="1"/>
    <col min="13380" max="13380" width="9.42578125" style="927" customWidth="1"/>
    <col min="13381" max="13382" width="9.140625" style="927" customWidth="1"/>
    <col min="13383" max="13383" width="10.5703125" style="927" customWidth="1"/>
    <col min="13384" max="13384" width="9.140625" style="927" customWidth="1"/>
    <col min="13385" max="13385" width="4" style="927" customWidth="1"/>
    <col min="13386" max="13386" width="9.42578125" style="927" customWidth="1"/>
    <col min="13387" max="13388" width="9.140625" style="927" customWidth="1"/>
    <col min="13389" max="13389" width="10.5703125" style="927" customWidth="1"/>
    <col min="13390" max="13390" width="9.140625" style="927" customWidth="1"/>
    <col min="13391" max="13391" width="4" style="927" customWidth="1"/>
    <col min="13392" max="13392" width="9.42578125" style="927" customWidth="1"/>
    <col min="13393" max="13394" width="9.140625" style="927" customWidth="1"/>
    <col min="13395" max="13395" width="10.5703125" style="927" customWidth="1"/>
    <col min="13396" max="13396" width="9.140625" style="927" customWidth="1"/>
    <col min="13397" max="13397" width="4" style="927" customWidth="1"/>
    <col min="13398" max="13398" width="9.42578125" style="927" customWidth="1"/>
    <col min="13399" max="13400" width="9.140625" style="927" customWidth="1"/>
    <col min="13401" max="13401" width="10.5703125" style="927" customWidth="1"/>
    <col min="13402" max="13402" width="9.140625" style="927" customWidth="1"/>
    <col min="13403" max="13403" width="4" style="927" customWidth="1"/>
    <col min="13404" max="13404" width="9.42578125" style="927" customWidth="1"/>
    <col min="13405" max="13406" width="9.140625" style="927" customWidth="1"/>
    <col min="13407" max="13407" width="10.5703125" style="927" customWidth="1"/>
    <col min="13408" max="13408" width="9.140625" style="927" customWidth="1"/>
    <col min="13409" max="13409" width="4" style="927" customWidth="1"/>
    <col min="13410" max="13410" width="9.42578125" style="927" customWidth="1"/>
    <col min="13411" max="13412" width="9.140625" style="927" customWidth="1"/>
    <col min="13413" max="13413" width="10.5703125" style="927" customWidth="1"/>
    <col min="13414" max="13414" width="9.140625" style="927" customWidth="1"/>
    <col min="13415" max="13415" width="4" style="927" customWidth="1"/>
    <col min="13416" max="13416" width="12.42578125" style="927" customWidth="1"/>
    <col min="13417" max="13418" width="9.140625" style="927" customWidth="1"/>
    <col min="13419" max="13419" width="10.5703125" style="927" customWidth="1"/>
    <col min="13420" max="13420" width="9.140625" style="927" customWidth="1"/>
    <col min="13421" max="13421" width="4" style="927" customWidth="1"/>
    <col min="13422" max="13422" width="12.42578125" style="927" customWidth="1"/>
    <col min="13423" max="13424" width="9.140625" style="927" customWidth="1"/>
    <col min="13425" max="13425" width="10.5703125" style="927" customWidth="1"/>
    <col min="13426" max="13426" width="9.140625" style="927" customWidth="1"/>
    <col min="13427" max="13427" width="4" style="927" customWidth="1"/>
    <col min="13428" max="13428" width="12.42578125" style="927" customWidth="1"/>
    <col min="13429" max="13430" width="9.140625" style="927" customWidth="1"/>
    <col min="13431" max="13431" width="10.5703125" style="927" customWidth="1"/>
    <col min="13432" max="13432" width="9.140625" style="927" customWidth="1"/>
    <col min="13433" max="13433" width="4" style="927" customWidth="1"/>
    <col min="13434" max="13434" width="12.42578125" style="927" customWidth="1"/>
    <col min="13435" max="13436" width="9.140625" style="927" customWidth="1"/>
    <col min="13437" max="13437" width="10.5703125" style="927" customWidth="1"/>
    <col min="13438" max="13438" width="9.140625" style="927" customWidth="1"/>
    <col min="13439" max="13439" width="4" style="927" customWidth="1"/>
    <col min="13440" max="13440" width="12.42578125" style="927" customWidth="1"/>
    <col min="13441" max="13442" width="9.140625" style="927" customWidth="1"/>
    <col min="13443" max="13443" width="10.5703125" style="927" customWidth="1"/>
    <col min="13444" max="13568" width="9.140625" style="927"/>
    <col min="13569" max="13569" width="2.7109375" style="927" customWidth="1"/>
    <col min="13570" max="13570" width="9.140625" style="927" customWidth="1"/>
    <col min="13571" max="13571" width="9.42578125" style="927" customWidth="1"/>
    <col min="13572" max="13572" width="0" style="927" hidden="1" customWidth="1"/>
    <col min="13573" max="13573" width="9.140625" style="927" customWidth="1"/>
    <col min="13574" max="13574" width="2.42578125" style="927" customWidth="1"/>
    <col min="13575" max="13575" width="9.140625" style="927" customWidth="1"/>
    <col min="13576" max="13576" width="9.42578125" style="927" customWidth="1"/>
    <col min="13577" max="13577" width="0" style="927" hidden="1" customWidth="1"/>
    <col min="13578" max="13578" width="9.140625" style="927" customWidth="1"/>
    <col min="13579" max="13579" width="2.28515625" style="927" customWidth="1"/>
    <col min="13580" max="13580" width="9.140625" style="927" customWidth="1"/>
    <col min="13581" max="13581" width="9.42578125" style="927" customWidth="1"/>
    <col min="13582" max="13582" width="0" style="927" hidden="1" customWidth="1"/>
    <col min="13583" max="13583" width="9.140625" style="927" customWidth="1"/>
    <col min="13584" max="13584" width="2.5703125" style="927" customWidth="1"/>
    <col min="13585" max="13585" width="9.140625" style="927" customWidth="1"/>
    <col min="13586" max="13586" width="9.5703125" style="927" customWidth="1"/>
    <col min="13587" max="13587" width="0" style="927" hidden="1" customWidth="1"/>
    <col min="13588" max="13588" width="9.140625" style="927" customWidth="1"/>
    <col min="13589" max="13589" width="2.7109375" style="927" customWidth="1"/>
    <col min="13590" max="13591" width="9.140625" style="927" customWidth="1"/>
    <col min="13592" max="13592" width="3.140625" style="927" customWidth="1"/>
    <col min="13593" max="13593" width="4" style="927" customWidth="1"/>
    <col min="13594" max="13594" width="9.42578125" style="927" customWidth="1"/>
    <col min="13595" max="13596" width="9.140625" style="927" customWidth="1"/>
    <col min="13597" max="13597" width="10.5703125" style="927" customWidth="1"/>
    <col min="13598" max="13598" width="9.140625" style="927" customWidth="1"/>
    <col min="13599" max="13599" width="4" style="927" customWidth="1"/>
    <col min="13600" max="13600" width="9.42578125" style="927" customWidth="1"/>
    <col min="13601" max="13602" width="9.140625" style="927" customWidth="1"/>
    <col min="13603" max="13603" width="10.5703125" style="927" customWidth="1"/>
    <col min="13604" max="13604" width="9.140625" style="927" customWidth="1"/>
    <col min="13605" max="13605" width="4" style="927" customWidth="1"/>
    <col min="13606" max="13606" width="9.42578125" style="927" customWidth="1"/>
    <col min="13607" max="13608" width="9.140625" style="927" customWidth="1"/>
    <col min="13609" max="13609" width="10.5703125" style="927" customWidth="1"/>
    <col min="13610" max="13610" width="9.140625" style="927" customWidth="1"/>
    <col min="13611" max="13611" width="4" style="927" customWidth="1"/>
    <col min="13612" max="13612" width="9.42578125" style="927" customWidth="1"/>
    <col min="13613" max="13614" width="9.140625" style="927" customWidth="1"/>
    <col min="13615" max="13615" width="10.5703125" style="927" customWidth="1"/>
    <col min="13616" max="13616" width="9.140625" style="927" customWidth="1"/>
    <col min="13617" max="13617" width="4" style="927" customWidth="1"/>
    <col min="13618" max="13618" width="9.42578125" style="927" customWidth="1"/>
    <col min="13619" max="13620" width="9.140625" style="927" customWidth="1"/>
    <col min="13621" max="13621" width="10.5703125" style="927" customWidth="1"/>
    <col min="13622" max="13622" width="9.140625" style="927" customWidth="1"/>
    <col min="13623" max="13623" width="4" style="927" customWidth="1"/>
    <col min="13624" max="13624" width="9.42578125" style="927" customWidth="1"/>
    <col min="13625" max="13626" width="9.140625" style="927" customWidth="1"/>
    <col min="13627" max="13627" width="10.5703125" style="927" customWidth="1"/>
    <col min="13628" max="13628" width="9.140625" style="927" customWidth="1"/>
    <col min="13629" max="13629" width="4" style="927" customWidth="1"/>
    <col min="13630" max="13630" width="9.42578125" style="927" customWidth="1"/>
    <col min="13631" max="13632" width="9.140625" style="927" customWidth="1"/>
    <col min="13633" max="13633" width="10.5703125" style="927" customWidth="1"/>
    <col min="13634" max="13634" width="9.140625" style="927" customWidth="1"/>
    <col min="13635" max="13635" width="4" style="927" customWidth="1"/>
    <col min="13636" max="13636" width="9.42578125" style="927" customWidth="1"/>
    <col min="13637" max="13638" width="9.140625" style="927" customWidth="1"/>
    <col min="13639" max="13639" width="10.5703125" style="927" customWidth="1"/>
    <col min="13640" max="13640" width="9.140625" style="927" customWidth="1"/>
    <col min="13641" max="13641" width="4" style="927" customWidth="1"/>
    <col min="13642" max="13642" width="9.42578125" style="927" customWidth="1"/>
    <col min="13643" max="13644" width="9.140625" style="927" customWidth="1"/>
    <col min="13645" max="13645" width="10.5703125" style="927" customWidth="1"/>
    <col min="13646" max="13646" width="9.140625" style="927" customWidth="1"/>
    <col min="13647" max="13647" width="4" style="927" customWidth="1"/>
    <col min="13648" max="13648" width="9.42578125" style="927" customWidth="1"/>
    <col min="13649" max="13650" width="9.140625" style="927" customWidth="1"/>
    <col min="13651" max="13651" width="10.5703125" style="927" customWidth="1"/>
    <col min="13652" max="13652" width="9.140625" style="927" customWidth="1"/>
    <col min="13653" max="13653" width="4" style="927" customWidth="1"/>
    <col min="13654" max="13654" width="9.42578125" style="927" customWidth="1"/>
    <col min="13655" max="13656" width="9.140625" style="927" customWidth="1"/>
    <col min="13657" max="13657" width="10.5703125" style="927" customWidth="1"/>
    <col min="13658" max="13658" width="9.140625" style="927" customWidth="1"/>
    <col min="13659" max="13659" width="4" style="927" customWidth="1"/>
    <col min="13660" max="13660" width="9.42578125" style="927" customWidth="1"/>
    <col min="13661" max="13662" width="9.140625" style="927" customWidth="1"/>
    <col min="13663" max="13663" width="10.5703125" style="927" customWidth="1"/>
    <col min="13664" max="13664" width="9.140625" style="927" customWidth="1"/>
    <col min="13665" max="13665" width="4" style="927" customWidth="1"/>
    <col min="13666" max="13666" width="9.42578125" style="927" customWidth="1"/>
    <col min="13667" max="13668" width="9.140625" style="927" customWidth="1"/>
    <col min="13669" max="13669" width="10.5703125" style="927" customWidth="1"/>
    <col min="13670" max="13670" width="9.140625" style="927" customWidth="1"/>
    <col min="13671" max="13671" width="4" style="927" customWidth="1"/>
    <col min="13672" max="13672" width="12.42578125" style="927" customWidth="1"/>
    <col min="13673" max="13674" width="9.140625" style="927" customWidth="1"/>
    <col min="13675" max="13675" width="10.5703125" style="927" customWidth="1"/>
    <col min="13676" max="13676" width="9.140625" style="927" customWidth="1"/>
    <col min="13677" max="13677" width="4" style="927" customWidth="1"/>
    <col min="13678" max="13678" width="12.42578125" style="927" customWidth="1"/>
    <col min="13679" max="13680" width="9.140625" style="927" customWidth="1"/>
    <col min="13681" max="13681" width="10.5703125" style="927" customWidth="1"/>
    <col min="13682" max="13682" width="9.140625" style="927" customWidth="1"/>
    <col min="13683" max="13683" width="4" style="927" customWidth="1"/>
    <col min="13684" max="13684" width="12.42578125" style="927" customWidth="1"/>
    <col min="13685" max="13686" width="9.140625" style="927" customWidth="1"/>
    <col min="13687" max="13687" width="10.5703125" style="927" customWidth="1"/>
    <col min="13688" max="13688" width="9.140625" style="927" customWidth="1"/>
    <col min="13689" max="13689" width="4" style="927" customWidth="1"/>
    <col min="13690" max="13690" width="12.42578125" style="927" customWidth="1"/>
    <col min="13691" max="13692" width="9.140625" style="927" customWidth="1"/>
    <col min="13693" max="13693" width="10.5703125" style="927" customWidth="1"/>
    <col min="13694" max="13694" width="9.140625" style="927" customWidth="1"/>
    <col min="13695" max="13695" width="4" style="927" customWidth="1"/>
    <col min="13696" max="13696" width="12.42578125" style="927" customWidth="1"/>
    <col min="13697" max="13698" width="9.140625" style="927" customWidth="1"/>
    <col min="13699" max="13699" width="10.5703125" style="927" customWidth="1"/>
    <col min="13700" max="13824" width="9.140625" style="927"/>
    <col min="13825" max="13825" width="2.7109375" style="927" customWidth="1"/>
    <col min="13826" max="13826" width="9.140625" style="927" customWidth="1"/>
    <col min="13827" max="13827" width="9.42578125" style="927" customWidth="1"/>
    <col min="13828" max="13828" width="0" style="927" hidden="1" customWidth="1"/>
    <col min="13829" max="13829" width="9.140625" style="927" customWidth="1"/>
    <col min="13830" max="13830" width="2.42578125" style="927" customWidth="1"/>
    <col min="13831" max="13831" width="9.140625" style="927" customWidth="1"/>
    <col min="13832" max="13832" width="9.42578125" style="927" customWidth="1"/>
    <col min="13833" max="13833" width="0" style="927" hidden="1" customWidth="1"/>
    <col min="13834" max="13834" width="9.140625" style="927" customWidth="1"/>
    <col min="13835" max="13835" width="2.28515625" style="927" customWidth="1"/>
    <col min="13836" max="13836" width="9.140625" style="927" customWidth="1"/>
    <col min="13837" max="13837" width="9.42578125" style="927" customWidth="1"/>
    <col min="13838" max="13838" width="0" style="927" hidden="1" customWidth="1"/>
    <col min="13839" max="13839" width="9.140625" style="927" customWidth="1"/>
    <col min="13840" max="13840" width="2.5703125" style="927" customWidth="1"/>
    <col min="13841" max="13841" width="9.140625" style="927" customWidth="1"/>
    <col min="13842" max="13842" width="9.5703125" style="927" customWidth="1"/>
    <col min="13843" max="13843" width="0" style="927" hidden="1" customWidth="1"/>
    <col min="13844" max="13844" width="9.140625" style="927" customWidth="1"/>
    <col min="13845" max="13845" width="2.7109375" style="927" customWidth="1"/>
    <col min="13846" max="13847" width="9.140625" style="927" customWidth="1"/>
    <col min="13848" max="13848" width="3.140625" style="927" customWidth="1"/>
    <col min="13849" max="13849" width="4" style="927" customWidth="1"/>
    <col min="13850" max="13850" width="9.42578125" style="927" customWidth="1"/>
    <col min="13851" max="13852" width="9.140625" style="927" customWidth="1"/>
    <col min="13853" max="13853" width="10.5703125" style="927" customWidth="1"/>
    <col min="13854" max="13854" width="9.140625" style="927" customWidth="1"/>
    <col min="13855" max="13855" width="4" style="927" customWidth="1"/>
    <col min="13856" max="13856" width="9.42578125" style="927" customWidth="1"/>
    <col min="13857" max="13858" width="9.140625" style="927" customWidth="1"/>
    <col min="13859" max="13859" width="10.5703125" style="927" customWidth="1"/>
    <col min="13860" max="13860" width="9.140625" style="927" customWidth="1"/>
    <col min="13861" max="13861" width="4" style="927" customWidth="1"/>
    <col min="13862" max="13862" width="9.42578125" style="927" customWidth="1"/>
    <col min="13863" max="13864" width="9.140625" style="927" customWidth="1"/>
    <col min="13865" max="13865" width="10.5703125" style="927" customWidth="1"/>
    <col min="13866" max="13866" width="9.140625" style="927" customWidth="1"/>
    <col min="13867" max="13867" width="4" style="927" customWidth="1"/>
    <col min="13868" max="13868" width="9.42578125" style="927" customWidth="1"/>
    <col min="13869" max="13870" width="9.140625" style="927" customWidth="1"/>
    <col min="13871" max="13871" width="10.5703125" style="927" customWidth="1"/>
    <col min="13872" max="13872" width="9.140625" style="927" customWidth="1"/>
    <col min="13873" max="13873" width="4" style="927" customWidth="1"/>
    <col min="13874" max="13874" width="9.42578125" style="927" customWidth="1"/>
    <col min="13875" max="13876" width="9.140625" style="927" customWidth="1"/>
    <col min="13877" max="13877" width="10.5703125" style="927" customWidth="1"/>
    <col min="13878" max="13878" width="9.140625" style="927" customWidth="1"/>
    <col min="13879" max="13879" width="4" style="927" customWidth="1"/>
    <col min="13880" max="13880" width="9.42578125" style="927" customWidth="1"/>
    <col min="13881" max="13882" width="9.140625" style="927" customWidth="1"/>
    <col min="13883" max="13883" width="10.5703125" style="927" customWidth="1"/>
    <col min="13884" max="13884" width="9.140625" style="927" customWidth="1"/>
    <col min="13885" max="13885" width="4" style="927" customWidth="1"/>
    <col min="13886" max="13886" width="9.42578125" style="927" customWidth="1"/>
    <col min="13887" max="13888" width="9.140625" style="927" customWidth="1"/>
    <col min="13889" max="13889" width="10.5703125" style="927" customWidth="1"/>
    <col min="13890" max="13890" width="9.140625" style="927" customWidth="1"/>
    <col min="13891" max="13891" width="4" style="927" customWidth="1"/>
    <col min="13892" max="13892" width="9.42578125" style="927" customWidth="1"/>
    <col min="13893" max="13894" width="9.140625" style="927" customWidth="1"/>
    <col min="13895" max="13895" width="10.5703125" style="927" customWidth="1"/>
    <col min="13896" max="13896" width="9.140625" style="927" customWidth="1"/>
    <col min="13897" max="13897" width="4" style="927" customWidth="1"/>
    <col min="13898" max="13898" width="9.42578125" style="927" customWidth="1"/>
    <col min="13899" max="13900" width="9.140625" style="927" customWidth="1"/>
    <col min="13901" max="13901" width="10.5703125" style="927" customWidth="1"/>
    <col min="13902" max="13902" width="9.140625" style="927" customWidth="1"/>
    <col min="13903" max="13903" width="4" style="927" customWidth="1"/>
    <col min="13904" max="13904" width="9.42578125" style="927" customWidth="1"/>
    <col min="13905" max="13906" width="9.140625" style="927" customWidth="1"/>
    <col min="13907" max="13907" width="10.5703125" style="927" customWidth="1"/>
    <col min="13908" max="13908" width="9.140625" style="927" customWidth="1"/>
    <col min="13909" max="13909" width="4" style="927" customWidth="1"/>
    <col min="13910" max="13910" width="9.42578125" style="927" customWidth="1"/>
    <col min="13911" max="13912" width="9.140625" style="927" customWidth="1"/>
    <col min="13913" max="13913" width="10.5703125" style="927" customWidth="1"/>
    <col min="13914" max="13914" width="9.140625" style="927" customWidth="1"/>
    <col min="13915" max="13915" width="4" style="927" customWidth="1"/>
    <col min="13916" max="13916" width="9.42578125" style="927" customWidth="1"/>
    <col min="13917" max="13918" width="9.140625" style="927" customWidth="1"/>
    <col min="13919" max="13919" width="10.5703125" style="927" customWidth="1"/>
    <col min="13920" max="13920" width="9.140625" style="927" customWidth="1"/>
    <col min="13921" max="13921" width="4" style="927" customWidth="1"/>
    <col min="13922" max="13922" width="9.42578125" style="927" customWidth="1"/>
    <col min="13923" max="13924" width="9.140625" style="927" customWidth="1"/>
    <col min="13925" max="13925" width="10.5703125" style="927" customWidth="1"/>
    <col min="13926" max="13926" width="9.140625" style="927" customWidth="1"/>
    <col min="13927" max="13927" width="4" style="927" customWidth="1"/>
    <col min="13928" max="13928" width="12.42578125" style="927" customWidth="1"/>
    <col min="13929" max="13930" width="9.140625" style="927" customWidth="1"/>
    <col min="13931" max="13931" width="10.5703125" style="927" customWidth="1"/>
    <col min="13932" max="13932" width="9.140625" style="927" customWidth="1"/>
    <col min="13933" max="13933" width="4" style="927" customWidth="1"/>
    <col min="13934" max="13934" width="12.42578125" style="927" customWidth="1"/>
    <col min="13935" max="13936" width="9.140625" style="927" customWidth="1"/>
    <col min="13937" max="13937" width="10.5703125" style="927" customWidth="1"/>
    <col min="13938" max="13938" width="9.140625" style="927" customWidth="1"/>
    <col min="13939" max="13939" width="4" style="927" customWidth="1"/>
    <col min="13940" max="13940" width="12.42578125" style="927" customWidth="1"/>
    <col min="13941" max="13942" width="9.140625" style="927" customWidth="1"/>
    <col min="13943" max="13943" width="10.5703125" style="927" customWidth="1"/>
    <col min="13944" max="13944" width="9.140625" style="927" customWidth="1"/>
    <col min="13945" max="13945" width="4" style="927" customWidth="1"/>
    <col min="13946" max="13946" width="12.42578125" style="927" customWidth="1"/>
    <col min="13947" max="13948" width="9.140625" style="927" customWidth="1"/>
    <col min="13949" max="13949" width="10.5703125" style="927" customWidth="1"/>
    <col min="13950" max="13950" width="9.140625" style="927" customWidth="1"/>
    <col min="13951" max="13951" width="4" style="927" customWidth="1"/>
    <col min="13952" max="13952" width="12.42578125" style="927" customWidth="1"/>
    <col min="13953" max="13954" width="9.140625" style="927" customWidth="1"/>
    <col min="13955" max="13955" width="10.5703125" style="927" customWidth="1"/>
    <col min="13956" max="14080" width="9.140625" style="927"/>
    <col min="14081" max="14081" width="2.7109375" style="927" customWidth="1"/>
    <col min="14082" max="14082" width="9.140625" style="927" customWidth="1"/>
    <col min="14083" max="14083" width="9.42578125" style="927" customWidth="1"/>
    <col min="14084" max="14084" width="0" style="927" hidden="1" customWidth="1"/>
    <col min="14085" max="14085" width="9.140625" style="927" customWidth="1"/>
    <col min="14086" max="14086" width="2.42578125" style="927" customWidth="1"/>
    <col min="14087" max="14087" width="9.140625" style="927" customWidth="1"/>
    <col min="14088" max="14088" width="9.42578125" style="927" customWidth="1"/>
    <col min="14089" max="14089" width="0" style="927" hidden="1" customWidth="1"/>
    <col min="14090" max="14090" width="9.140625" style="927" customWidth="1"/>
    <col min="14091" max="14091" width="2.28515625" style="927" customWidth="1"/>
    <col min="14092" max="14092" width="9.140625" style="927" customWidth="1"/>
    <col min="14093" max="14093" width="9.42578125" style="927" customWidth="1"/>
    <col min="14094" max="14094" width="0" style="927" hidden="1" customWidth="1"/>
    <col min="14095" max="14095" width="9.140625" style="927" customWidth="1"/>
    <col min="14096" max="14096" width="2.5703125" style="927" customWidth="1"/>
    <col min="14097" max="14097" width="9.140625" style="927" customWidth="1"/>
    <col min="14098" max="14098" width="9.5703125" style="927" customWidth="1"/>
    <col min="14099" max="14099" width="0" style="927" hidden="1" customWidth="1"/>
    <col min="14100" max="14100" width="9.140625" style="927" customWidth="1"/>
    <col min="14101" max="14101" width="2.7109375" style="927" customWidth="1"/>
    <col min="14102" max="14103" width="9.140625" style="927" customWidth="1"/>
    <col min="14104" max="14104" width="3.140625" style="927" customWidth="1"/>
    <col min="14105" max="14105" width="4" style="927" customWidth="1"/>
    <col min="14106" max="14106" width="9.42578125" style="927" customWidth="1"/>
    <col min="14107" max="14108" width="9.140625" style="927" customWidth="1"/>
    <col min="14109" max="14109" width="10.5703125" style="927" customWidth="1"/>
    <col min="14110" max="14110" width="9.140625" style="927" customWidth="1"/>
    <col min="14111" max="14111" width="4" style="927" customWidth="1"/>
    <col min="14112" max="14112" width="9.42578125" style="927" customWidth="1"/>
    <col min="14113" max="14114" width="9.140625" style="927" customWidth="1"/>
    <col min="14115" max="14115" width="10.5703125" style="927" customWidth="1"/>
    <col min="14116" max="14116" width="9.140625" style="927" customWidth="1"/>
    <col min="14117" max="14117" width="4" style="927" customWidth="1"/>
    <col min="14118" max="14118" width="9.42578125" style="927" customWidth="1"/>
    <col min="14119" max="14120" width="9.140625" style="927" customWidth="1"/>
    <col min="14121" max="14121" width="10.5703125" style="927" customWidth="1"/>
    <col min="14122" max="14122" width="9.140625" style="927" customWidth="1"/>
    <col min="14123" max="14123" width="4" style="927" customWidth="1"/>
    <col min="14124" max="14124" width="9.42578125" style="927" customWidth="1"/>
    <col min="14125" max="14126" width="9.140625" style="927" customWidth="1"/>
    <col min="14127" max="14127" width="10.5703125" style="927" customWidth="1"/>
    <col min="14128" max="14128" width="9.140625" style="927" customWidth="1"/>
    <col min="14129" max="14129" width="4" style="927" customWidth="1"/>
    <col min="14130" max="14130" width="9.42578125" style="927" customWidth="1"/>
    <col min="14131" max="14132" width="9.140625" style="927" customWidth="1"/>
    <col min="14133" max="14133" width="10.5703125" style="927" customWidth="1"/>
    <col min="14134" max="14134" width="9.140625" style="927" customWidth="1"/>
    <col min="14135" max="14135" width="4" style="927" customWidth="1"/>
    <col min="14136" max="14136" width="9.42578125" style="927" customWidth="1"/>
    <col min="14137" max="14138" width="9.140625" style="927" customWidth="1"/>
    <col min="14139" max="14139" width="10.5703125" style="927" customWidth="1"/>
    <col min="14140" max="14140" width="9.140625" style="927" customWidth="1"/>
    <col min="14141" max="14141" width="4" style="927" customWidth="1"/>
    <col min="14142" max="14142" width="9.42578125" style="927" customWidth="1"/>
    <col min="14143" max="14144" width="9.140625" style="927" customWidth="1"/>
    <col min="14145" max="14145" width="10.5703125" style="927" customWidth="1"/>
    <col min="14146" max="14146" width="9.140625" style="927" customWidth="1"/>
    <col min="14147" max="14147" width="4" style="927" customWidth="1"/>
    <col min="14148" max="14148" width="9.42578125" style="927" customWidth="1"/>
    <col min="14149" max="14150" width="9.140625" style="927" customWidth="1"/>
    <col min="14151" max="14151" width="10.5703125" style="927" customWidth="1"/>
    <col min="14152" max="14152" width="9.140625" style="927" customWidth="1"/>
    <col min="14153" max="14153" width="4" style="927" customWidth="1"/>
    <col min="14154" max="14154" width="9.42578125" style="927" customWidth="1"/>
    <col min="14155" max="14156" width="9.140625" style="927" customWidth="1"/>
    <col min="14157" max="14157" width="10.5703125" style="927" customWidth="1"/>
    <col min="14158" max="14158" width="9.140625" style="927" customWidth="1"/>
    <col min="14159" max="14159" width="4" style="927" customWidth="1"/>
    <col min="14160" max="14160" width="9.42578125" style="927" customWidth="1"/>
    <col min="14161" max="14162" width="9.140625" style="927" customWidth="1"/>
    <col min="14163" max="14163" width="10.5703125" style="927" customWidth="1"/>
    <col min="14164" max="14164" width="9.140625" style="927" customWidth="1"/>
    <col min="14165" max="14165" width="4" style="927" customWidth="1"/>
    <col min="14166" max="14166" width="9.42578125" style="927" customWidth="1"/>
    <col min="14167" max="14168" width="9.140625" style="927" customWidth="1"/>
    <col min="14169" max="14169" width="10.5703125" style="927" customWidth="1"/>
    <col min="14170" max="14170" width="9.140625" style="927" customWidth="1"/>
    <col min="14171" max="14171" width="4" style="927" customWidth="1"/>
    <col min="14172" max="14172" width="9.42578125" style="927" customWidth="1"/>
    <col min="14173" max="14174" width="9.140625" style="927" customWidth="1"/>
    <col min="14175" max="14175" width="10.5703125" style="927" customWidth="1"/>
    <col min="14176" max="14176" width="9.140625" style="927" customWidth="1"/>
    <col min="14177" max="14177" width="4" style="927" customWidth="1"/>
    <col min="14178" max="14178" width="9.42578125" style="927" customWidth="1"/>
    <col min="14179" max="14180" width="9.140625" style="927" customWidth="1"/>
    <col min="14181" max="14181" width="10.5703125" style="927" customWidth="1"/>
    <col min="14182" max="14182" width="9.140625" style="927" customWidth="1"/>
    <col min="14183" max="14183" width="4" style="927" customWidth="1"/>
    <col min="14184" max="14184" width="12.42578125" style="927" customWidth="1"/>
    <col min="14185" max="14186" width="9.140625" style="927" customWidth="1"/>
    <col min="14187" max="14187" width="10.5703125" style="927" customWidth="1"/>
    <col min="14188" max="14188" width="9.140625" style="927" customWidth="1"/>
    <col min="14189" max="14189" width="4" style="927" customWidth="1"/>
    <col min="14190" max="14190" width="12.42578125" style="927" customWidth="1"/>
    <col min="14191" max="14192" width="9.140625" style="927" customWidth="1"/>
    <col min="14193" max="14193" width="10.5703125" style="927" customWidth="1"/>
    <col min="14194" max="14194" width="9.140625" style="927" customWidth="1"/>
    <col min="14195" max="14195" width="4" style="927" customWidth="1"/>
    <col min="14196" max="14196" width="12.42578125" style="927" customWidth="1"/>
    <col min="14197" max="14198" width="9.140625" style="927" customWidth="1"/>
    <col min="14199" max="14199" width="10.5703125" style="927" customWidth="1"/>
    <col min="14200" max="14200" width="9.140625" style="927" customWidth="1"/>
    <col min="14201" max="14201" width="4" style="927" customWidth="1"/>
    <col min="14202" max="14202" width="12.42578125" style="927" customWidth="1"/>
    <col min="14203" max="14204" width="9.140625" style="927" customWidth="1"/>
    <col min="14205" max="14205" width="10.5703125" style="927" customWidth="1"/>
    <col min="14206" max="14206" width="9.140625" style="927" customWidth="1"/>
    <col min="14207" max="14207" width="4" style="927" customWidth="1"/>
    <col min="14208" max="14208" width="12.42578125" style="927" customWidth="1"/>
    <col min="14209" max="14210" width="9.140625" style="927" customWidth="1"/>
    <col min="14211" max="14211" width="10.5703125" style="927" customWidth="1"/>
    <col min="14212" max="14336" width="9.140625" style="927"/>
    <col min="14337" max="14337" width="2.7109375" style="927" customWidth="1"/>
    <col min="14338" max="14338" width="9.140625" style="927" customWidth="1"/>
    <col min="14339" max="14339" width="9.42578125" style="927" customWidth="1"/>
    <col min="14340" max="14340" width="0" style="927" hidden="1" customWidth="1"/>
    <col min="14341" max="14341" width="9.140625" style="927" customWidth="1"/>
    <col min="14342" max="14342" width="2.42578125" style="927" customWidth="1"/>
    <col min="14343" max="14343" width="9.140625" style="927" customWidth="1"/>
    <col min="14344" max="14344" width="9.42578125" style="927" customWidth="1"/>
    <col min="14345" max="14345" width="0" style="927" hidden="1" customWidth="1"/>
    <col min="14346" max="14346" width="9.140625" style="927" customWidth="1"/>
    <col min="14347" max="14347" width="2.28515625" style="927" customWidth="1"/>
    <col min="14348" max="14348" width="9.140625" style="927" customWidth="1"/>
    <col min="14349" max="14349" width="9.42578125" style="927" customWidth="1"/>
    <col min="14350" max="14350" width="0" style="927" hidden="1" customWidth="1"/>
    <col min="14351" max="14351" width="9.140625" style="927" customWidth="1"/>
    <col min="14352" max="14352" width="2.5703125" style="927" customWidth="1"/>
    <col min="14353" max="14353" width="9.140625" style="927" customWidth="1"/>
    <col min="14354" max="14354" width="9.5703125" style="927" customWidth="1"/>
    <col min="14355" max="14355" width="0" style="927" hidden="1" customWidth="1"/>
    <col min="14356" max="14356" width="9.140625" style="927" customWidth="1"/>
    <col min="14357" max="14357" width="2.7109375" style="927" customWidth="1"/>
    <col min="14358" max="14359" width="9.140625" style="927" customWidth="1"/>
    <col min="14360" max="14360" width="3.140625" style="927" customWidth="1"/>
    <col min="14361" max="14361" width="4" style="927" customWidth="1"/>
    <col min="14362" max="14362" width="9.42578125" style="927" customWidth="1"/>
    <col min="14363" max="14364" width="9.140625" style="927" customWidth="1"/>
    <col min="14365" max="14365" width="10.5703125" style="927" customWidth="1"/>
    <col min="14366" max="14366" width="9.140625" style="927" customWidth="1"/>
    <col min="14367" max="14367" width="4" style="927" customWidth="1"/>
    <col min="14368" max="14368" width="9.42578125" style="927" customWidth="1"/>
    <col min="14369" max="14370" width="9.140625" style="927" customWidth="1"/>
    <col min="14371" max="14371" width="10.5703125" style="927" customWidth="1"/>
    <col min="14372" max="14372" width="9.140625" style="927" customWidth="1"/>
    <col min="14373" max="14373" width="4" style="927" customWidth="1"/>
    <col min="14374" max="14374" width="9.42578125" style="927" customWidth="1"/>
    <col min="14375" max="14376" width="9.140625" style="927" customWidth="1"/>
    <col min="14377" max="14377" width="10.5703125" style="927" customWidth="1"/>
    <col min="14378" max="14378" width="9.140625" style="927" customWidth="1"/>
    <col min="14379" max="14379" width="4" style="927" customWidth="1"/>
    <col min="14380" max="14380" width="9.42578125" style="927" customWidth="1"/>
    <col min="14381" max="14382" width="9.140625" style="927" customWidth="1"/>
    <col min="14383" max="14383" width="10.5703125" style="927" customWidth="1"/>
    <col min="14384" max="14384" width="9.140625" style="927" customWidth="1"/>
    <col min="14385" max="14385" width="4" style="927" customWidth="1"/>
    <col min="14386" max="14386" width="9.42578125" style="927" customWidth="1"/>
    <col min="14387" max="14388" width="9.140625" style="927" customWidth="1"/>
    <col min="14389" max="14389" width="10.5703125" style="927" customWidth="1"/>
    <col min="14390" max="14390" width="9.140625" style="927" customWidth="1"/>
    <col min="14391" max="14391" width="4" style="927" customWidth="1"/>
    <col min="14392" max="14392" width="9.42578125" style="927" customWidth="1"/>
    <col min="14393" max="14394" width="9.140625" style="927" customWidth="1"/>
    <col min="14395" max="14395" width="10.5703125" style="927" customWidth="1"/>
    <col min="14396" max="14396" width="9.140625" style="927" customWidth="1"/>
    <col min="14397" max="14397" width="4" style="927" customWidth="1"/>
    <col min="14398" max="14398" width="9.42578125" style="927" customWidth="1"/>
    <col min="14399" max="14400" width="9.140625" style="927" customWidth="1"/>
    <col min="14401" max="14401" width="10.5703125" style="927" customWidth="1"/>
    <col min="14402" max="14402" width="9.140625" style="927" customWidth="1"/>
    <col min="14403" max="14403" width="4" style="927" customWidth="1"/>
    <col min="14404" max="14404" width="9.42578125" style="927" customWidth="1"/>
    <col min="14405" max="14406" width="9.140625" style="927" customWidth="1"/>
    <col min="14407" max="14407" width="10.5703125" style="927" customWidth="1"/>
    <col min="14408" max="14408" width="9.140625" style="927" customWidth="1"/>
    <col min="14409" max="14409" width="4" style="927" customWidth="1"/>
    <col min="14410" max="14410" width="9.42578125" style="927" customWidth="1"/>
    <col min="14411" max="14412" width="9.140625" style="927" customWidth="1"/>
    <col min="14413" max="14413" width="10.5703125" style="927" customWidth="1"/>
    <col min="14414" max="14414" width="9.140625" style="927" customWidth="1"/>
    <col min="14415" max="14415" width="4" style="927" customWidth="1"/>
    <col min="14416" max="14416" width="9.42578125" style="927" customWidth="1"/>
    <col min="14417" max="14418" width="9.140625" style="927" customWidth="1"/>
    <col min="14419" max="14419" width="10.5703125" style="927" customWidth="1"/>
    <col min="14420" max="14420" width="9.140625" style="927" customWidth="1"/>
    <col min="14421" max="14421" width="4" style="927" customWidth="1"/>
    <col min="14422" max="14422" width="9.42578125" style="927" customWidth="1"/>
    <col min="14423" max="14424" width="9.140625" style="927" customWidth="1"/>
    <col min="14425" max="14425" width="10.5703125" style="927" customWidth="1"/>
    <col min="14426" max="14426" width="9.140625" style="927" customWidth="1"/>
    <col min="14427" max="14427" width="4" style="927" customWidth="1"/>
    <col min="14428" max="14428" width="9.42578125" style="927" customWidth="1"/>
    <col min="14429" max="14430" width="9.140625" style="927" customWidth="1"/>
    <col min="14431" max="14431" width="10.5703125" style="927" customWidth="1"/>
    <col min="14432" max="14432" width="9.140625" style="927" customWidth="1"/>
    <col min="14433" max="14433" width="4" style="927" customWidth="1"/>
    <col min="14434" max="14434" width="9.42578125" style="927" customWidth="1"/>
    <col min="14435" max="14436" width="9.140625" style="927" customWidth="1"/>
    <col min="14437" max="14437" width="10.5703125" style="927" customWidth="1"/>
    <col min="14438" max="14438" width="9.140625" style="927" customWidth="1"/>
    <col min="14439" max="14439" width="4" style="927" customWidth="1"/>
    <col min="14440" max="14440" width="12.42578125" style="927" customWidth="1"/>
    <col min="14441" max="14442" width="9.140625" style="927" customWidth="1"/>
    <col min="14443" max="14443" width="10.5703125" style="927" customWidth="1"/>
    <col min="14444" max="14444" width="9.140625" style="927" customWidth="1"/>
    <col min="14445" max="14445" width="4" style="927" customWidth="1"/>
    <col min="14446" max="14446" width="12.42578125" style="927" customWidth="1"/>
    <col min="14447" max="14448" width="9.140625" style="927" customWidth="1"/>
    <col min="14449" max="14449" width="10.5703125" style="927" customWidth="1"/>
    <col min="14450" max="14450" width="9.140625" style="927" customWidth="1"/>
    <col min="14451" max="14451" width="4" style="927" customWidth="1"/>
    <col min="14452" max="14452" width="12.42578125" style="927" customWidth="1"/>
    <col min="14453" max="14454" width="9.140625" style="927" customWidth="1"/>
    <col min="14455" max="14455" width="10.5703125" style="927" customWidth="1"/>
    <col min="14456" max="14456" width="9.140625" style="927" customWidth="1"/>
    <col min="14457" max="14457" width="4" style="927" customWidth="1"/>
    <col min="14458" max="14458" width="12.42578125" style="927" customWidth="1"/>
    <col min="14459" max="14460" width="9.140625" style="927" customWidth="1"/>
    <col min="14461" max="14461" width="10.5703125" style="927" customWidth="1"/>
    <col min="14462" max="14462" width="9.140625" style="927" customWidth="1"/>
    <col min="14463" max="14463" width="4" style="927" customWidth="1"/>
    <col min="14464" max="14464" width="12.42578125" style="927" customWidth="1"/>
    <col min="14465" max="14466" width="9.140625" style="927" customWidth="1"/>
    <col min="14467" max="14467" width="10.5703125" style="927" customWidth="1"/>
    <col min="14468" max="14592" width="9.140625" style="927"/>
    <col min="14593" max="14593" width="2.7109375" style="927" customWidth="1"/>
    <col min="14594" max="14594" width="9.140625" style="927" customWidth="1"/>
    <col min="14595" max="14595" width="9.42578125" style="927" customWidth="1"/>
    <col min="14596" max="14596" width="0" style="927" hidden="1" customWidth="1"/>
    <col min="14597" max="14597" width="9.140625" style="927" customWidth="1"/>
    <col min="14598" max="14598" width="2.42578125" style="927" customWidth="1"/>
    <col min="14599" max="14599" width="9.140625" style="927" customWidth="1"/>
    <col min="14600" max="14600" width="9.42578125" style="927" customWidth="1"/>
    <col min="14601" max="14601" width="0" style="927" hidden="1" customWidth="1"/>
    <col min="14602" max="14602" width="9.140625" style="927" customWidth="1"/>
    <col min="14603" max="14603" width="2.28515625" style="927" customWidth="1"/>
    <col min="14604" max="14604" width="9.140625" style="927" customWidth="1"/>
    <col min="14605" max="14605" width="9.42578125" style="927" customWidth="1"/>
    <col min="14606" max="14606" width="0" style="927" hidden="1" customWidth="1"/>
    <col min="14607" max="14607" width="9.140625" style="927" customWidth="1"/>
    <col min="14608" max="14608" width="2.5703125" style="927" customWidth="1"/>
    <col min="14609" max="14609" width="9.140625" style="927" customWidth="1"/>
    <col min="14610" max="14610" width="9.5703125" style="927" customWidth="1"/>
    <col min="14611" max="14611" width="0" style="927" hidden="1" customWidth="1"/>
    <col min="14612" max="14612" width="9.140625" style="927" customWidth="1"/>
    <col min="14613" max="14613" width="2.7109375" style="927" customWidth="1"/>
    <col min="14614" max="14615" width="9.140625" style="927" customWidth="1"/>
    <col min="14616" max="14616" width="3.140625" style="927" customWidth="1"/>
    <col min="14617" max="14617" width="4" style="927" customWidth="1"/>
    <col min="14618" max="14618" width="9.42578125" style="927" customWidth="1"/>
    <col min="14619" max="14620" width="9.140625" style="927" customWidth="1"/>
    <col min="14621" max="14621" width="10.5703125" style="927" customWidth="1"/>
    <col min="14622" max="14622" width="9.140625" style="927" customWidth="1"/>
    <col min="14623" max="14623" width="4" style="927" customWidth="1"/>
    <col min="14624" max="14624" width="9.42578125" style="927" customWidth="1"/>
    <col min="14625" max="14626" width="9.140625" style="927" customWidth="1"/>
    <col min="14627" max="14627" width="10.5703125" style="927" customWidth="1"/>
    <col min="14628" max="14628" width="9.140625" style="927" customWidth="1"/>
    <col min="14629" max="14629" width="4" style="927" customWidth="1"/>
    <col min="14630" max="14630" width="9.42578125" style="927" customWidth="1"/>
    <col min="14631" max="14632" width="9.140625" style="927" customWidth="1"/>
    <col min="14633" max="14633" width="10.5703125" style="927" customWidth="1"/>
    <col min="14634" max="14634" width="9.140625" style="927" customWidth="1"/>
    <col min="14635" max="14635" width="4" style="927" customWidth="1"/>
    <col min="14636" max="14636" width="9.42578125" style="927" customWidth="1"/>
    <col min="14637" max="14638" width="9.140625" style="927" customWidth="1"/>
    <col min="14639" max="14639" width="10.5703125" style="927" customWidth="1"/>
    <col min="14640" max="14640" width="9.140625" style="927" customWidth="1"/>
    <col min="14641" max="14641" width="4" style="927" customWidth="1"/>
    <col min="14642" max="14642" width="9.42578125" style="927" customWidth="1"/>
    <col min="14643" max="14644" width="9.140625" style="927" customWidth="1"/>
    <col min="14645" max="14645" width="10.5703125" style="927" customWidth="1"/>
    <col min="14646" max="14646" width="9.140625" style="927" customWidth="1"/>
    <col min="14647" max="14647" width="4" style="927" customWidth="1"/>
    <col min="14648" max="14648" width="9.42578125" style="927" customWidth="1"/>
    <col min="14649" max="14650" width="9.140625" style="927" customWidth="1"/>
    <col min="14651" max="14651" width="10.5703125" style="927" customWidth="1"/>
    <col min="14652" max="14652" width="9.140625" style="927" customWidth="1"/>
    <col min="14653" max="14653" width="4" style="927" customWidth="1"/>
    <col min="14654" max="14654" width="9.42578125" style="927" customWidth="1"/>
    <col min="14655" max="14656" width="9.140625" style="927" customWidth="1"/>
    <col min="14657" max="14657" width="10.5703125" style="927" customWidth="1"/>
    <col min="14658" max="14658" width="9.140625" style="927" customWidth="1"/>
    <col min="14659" max="14659" width="4" style="927" customWidth="1"/>
    <col min="14660" max="14660" width="9.42578125" style="927" customWidth="1"/>
    <col min="14661" max="14662" width="9.140625" style="927" customWidth="1"/>
    <col min="14663" max="14663" width="10.5703125" style="927" customWidth="1"/>
    <col min="14664" max="14664" width="9.140625" style="927" customWidth="1"/>
    <col min="14665" max="14665" width="4" style="927" customWidth="1"/>
    <col min="14666" max="14666" width="9.42578125" style="927" customWidth="1"/>
    <col min="14667" max="14668" width="9.140625" style="927" customWidth="1"/>
    <col min="14669" max="14669" width="10.5703125" style="927" customWidth="1"/>
    <col min="14670" max="14670" width="9.140625" style="927" customWidth="1"/>
    <col min="14671" max="14671" width="4" style="927" customWidth="1"/>
    <col min="14672" max="14672" width="9.42578125" style="927" customWidth="1"/>
    <col min="14673" max="14674" width="9.140625" style="927" customWidth="1"/>
    <col min="14675" max="14675" width="10.5703125" style="927" customWidth="1"/>
    <col min="14676" max="14676" width="9.140625" style="927" customWidth="1"/>
    <col min="14677" max="14677" width="4" style="927" customWidth="1"/>
    <col min="14678" max="14678" width="9.42578125" style="927" customWidth="1"/>
    <col min="14679" max="14680" width="9.140625" style="927" customWidth="1"/>
    <col min="14681" max="14681" width="10.5703125" style="927" customWidth="1"/>
    <col min="14682" max="14682" width="9.140625" style="927" customWidth="1"/>
    <col min="14683" max="14683" width="4" style="927" customWidth="1"/>
    <col min="14684" max="14684" width="9.42578125" style="927" customWidth="1"/>
    <col min="14685" max="14686" width="9.140625" style="927" customWidth="1"/>
    <col min="14687" max="14687" width="10.5703125" style="927" customWidth="1"/>
    <col min="14688" max="14688" width="9.140625" style="927" customWidth="1"/>
    <col min="14689" max="14689" width="4" style="927" customWidth="1"/>
    <col min="14690" max="14690" width="9.42578125" style="927" customWidth="1"/>
    <col min="14691" max="14692" width="9.140625" style="927" customWidth="1"/>
    <col min="14693" max="14693" width="10.5703125" style="927" customWidth="1"/>
    <col min="14694" max="14694" width="9.140625" style="927" customWidth="1"/>
    <col min="14695" max="14695" width="4" style="927" customWidth="1"/>
    <col min="14696" max="14696" width="12.42578125" style="927" customWidth="1"/>
    <col min="14697" max="14698" width="9.140625" style="927" customWidth="1"/>
    <col min="14699" max="14699" width="10.5703125" style="927" customWidth="1"/>
    <col min="14700" max="14700" width="9.140625" style="927" customWidth="1"/>
    <col min="14701" max="14701" width="4" style="927" customWidth="1"/>
    <col min="14702" max="14702" width="12.42578125" style="927" customWidth="1"/>
    <col min="14703" max="14704" width="9.140625" style="927" customWidth="1"/>
    <col min="14705" max="14705" width="10.5703125" style="927" customWidth="1"/>
    <col min="14706" max="14706" width="9.140625" style="927" customWidth="1"/>
    <col min="14707" max="14707" width="4" style="927" customWidth="1"/>
    <col min="14708" max="14708" width="12.42578125" style="927" customWidth="1"/>
    <col min="14709" max="14710" width="9.140625" style="927" customWidth="1"/>
    <col min="14711" max="14711" width="10.5703125" style="927" customWidth="1"/>
    <col min="14712" max="14712" width="9.140625" style="927" customWidth="1"/>
    <col min="14713" max="14713" width="4" style="927" customWidth="1"/>
    <col min="14714" max="14714" width="12.42578125" style="927" customWidth="1"/>
    <col min="14715" max="14716" width="9.140625" style="927" customWidth="1"/>
    <col min="14717" max="14717" width="10.5703125" style="927" customWidth="1"/>
    <col min="14718" max="14718" width="9.140625" style="927" customWidth="1"/>
    <col min="14719" max="14719" width="4" style="927" customWidth="1"/>
    <col min="14720" max="14720" width="12.42578125" style="927" customWidth="1"/>
    <col min="14721" max="14722" width="9.140625" style="927" customWidth="1"/>
    <col min="14723" max="14723" width="10.5703125" style="927" customWidth="1"/>
    <col min="14724" max="14848" width="9.140625" style="927"/>
    <col min="14849" max="14849" width="2.7109375" style="927" customWidth="1"/>
    <col min="14850" max="14850" width="9.140625" style="927" customWidth="1"/>
    <col min="14851" max="14851" width="9.42578125" style="927" customWidth="1"/>
    <col min="14852" max="14852" width="0" style="927" hidden="1" customWidth="1"/>
    <col min="14853" max="14853" width="9.140625" style="927" customWidth="1"/>
    <col min="14854" max="14854" width="2.42578125" style="927" customWidth="1"/>
    <col min="14855" max="14855" width="9.140625" style="927" customWidth="1"/>
    <col min="14856" max="14856" width="9.42578125" style="927" customWidth="1"/>
    <col min="14857" max="14857" width="0" style="927" hidden="1" customWidth="1"/>
    <col min="14858" max="14858" width="9.140625" style="927" customWidth="1"/>
    <col min="14859" max="14859" width="2.28515625" style="927" customWidth="1"/>
    <col min="14860" max="14860" width="9.140625" style="927" customWidth="1"/>
    <col min="14861" max="14861" width="9.42578125" style="927" customWidth="1"/>
    <col min="14862" max="14862" width="0" style="927" hidden="1" customWidth="1"/>
    <col min="14863" max="14863" width="9.140625" style="927" customWidth="1"/>
    <col min="14864" max="14864" width="2.5703125" style="927" customWidth="1"/>
    <col min="14865" max="14865" width="9.140625" style="927" customWidth="1"/>
    <col min="14866" max="14866" width="9.5703125" style="927" customWidth="1"/>
    <col min="14867" max="14867" width="0" style="927" hidden="1" customWidth="1"/>
    <col min="14868" max="14868" width="9.140625" style="927" customWidth="1"/>
    <col min="14869" max="14869" width="2.7109375" style="927" customWidth="1"/>
    <col min="14870" max="14871" width="9.140625" style="927" customWidth="1"/>
    <col min="14872" max="14872" width="3.140625" style="927" customWidth="1"/>
    <col min="14873" max="14873" width="4" style="927" customWidth="1"/>
    <col min="14874" max="14874" width="9.42578125" style="927" customWidth="1"/>
    <col min="14875" max="14876" width="9.140625" style="927" customWidth="1"/>
    <col min="14877" max="14877" width="10.5703125" style="927" customWidth="1"/>
    <col min="14878" max="14878" width="9.140625" style="927" customWidth="1"/>
    <col min="14879" max="14879" width="4" style="927" customWidth="1"/>
    <col min="14880" max="14880" width="9.42578125" style="927" customWidth="1"/>
    <col min="14881" max="14882" width="9.140625" style="927" customWidth="1"/>
    <col min="14883" max="14883" width="10.5703125" style="927" customWidth="1"/>
    <col min="14884" max="14884" width="9.140625" style="927" customWidth="1"/>
    <col min="14885" max="14885" width="4" style="927" customWidth="1"/>
    <col min="14886" max="14886" width="9.42578125" style="927" customWidth="1"/>
    <col min="14887" max="14888" width="9.140625" style="927" customWidth="1"/>
    <col min="14889" max="14889" width="10.5703125" style="927" customWidth="1"/>
    <col min="14890" max="14890" width="9.140625" style="927" customWidth="1"/>
    <col min="14891" max="14891" width="4" style="927" customWidth="1"/>
    <col min="14892" max="14892" width="9.42578125" style="927" customWidth="1"/>
    <col min="14893" max="14894" width="9.140625" style="927" customWidth="1"/>
    <col min="14895" max="14895" width="10.5703125" style="927" customWidth="1"/>
    <col min="14896" max="14896" width="9.140625" style="927" customWidth="1"/>
    <col min="14897" max="14897" width="4" style="927" customWidth="1"/>
    <col min="14898" max="14898" width="9.42578125" style="927" customWidth="1"/>
    <col min="14899" max="14900" width="9.140625" style="927" customWidth="1"/>
    <col min="14901" max="14901" width="10.5703125" style="927" customWidth="1"/>
    <col min="14902" max="14902" width="9.140625" style="927" customWidth="1"/>
    <col min="14903" max="14903" width="4" style="927" customWidth="1"/>
    <col min="14904" max="14904" width="9.42578125" style="927" customWidth="1"/>
    <col min="14905" max="14906" width="9.140625" style="927" customWidth="1"/>
    <col min="14907" max="14907" width="10.5703125" style="927" customWidth="1"/>
    <col min="14908" max="14908" width="9.140625" style="927" customWidth="1"/>
    <col min="14909" max="14909" width="4" style="927" customWidth="1"/>
    <col min="14910" max="14910" width="9.42578125" style="927" customWidth="1"/>
    <col min="14911" max="14912" width="9.140625" style="927" customWidth="1"/>
    <col min="14913" max="14913" width="10.5703125" style="927" customWidth="1"/>
    <col min="14914" max="14914" width="9.140625" style="927" customWidth="1"/>
    <col min="14915" max="14915" width="4" style="927" customWidth="1"/>
    <col min="14916" max="14916" width="9.42578125" style="927" customWidth="1"/>
    <col min="14917" max="14918" width="9.140625" style="927" customWidth="1"/>
    <col min="14919" max="14919" width="10.5703125" style="927" customWidth="1"/>
    <col min="14920" max="14920" width="9.140625" style="927" customWidth="1"/>
    <col min="14921" max="14921" width="4" style="927" customWidth="1"/>
    <col min="14922" max="14922" width="9.42578125" style="927" customWidth="1"/>
    <col min="14923" max="14924" width="9.140625" style="927" customWidth="1"/>
    <col min="14925" max="14925" width="10.5703125" style="927" customWidth="1"/>
    <col min="14926" max="14926" width="9.140625" style="927" customWidth="1"/>
    <col min="14927" max="14927" width="4" style="927" customWidth="1"/>
    <col min="14928" max="14928" width="9.42578125" style="927" customWidth="1"/>
    <col min="14929" max="14930" width="9.140625" style="927" customWidth="1"/>
    <col min="14931" max="14931" width="10.5703125" style="927" customWidth="1"/>
    <col min="14932" max="14932" width="9.140625" style="927" customWidth="1"/>
    <col min="14933" max="14933" width="4" style="927" customWidth="1"/>
    <col min="14934" max="14934" width="9.42578125" style="927" customWidth="1"/>
    <col min="14935" max="14936" width="9.140625" style="927" customWidth="1"/>
    <col min="14937" max="14937" width="10.5703125" style="927" customWidth="1"/>
    <col min="14938" max="14938" width="9.140625" style="927" customWidth="1"/>
    <col min="14939" max="14939" width="4" style="927" customWidth="1"/>
    <col min="14940" max="14940" width="9.42578125" style="927" customWidth="1"/>
    <col min="14941" max="14942" width="9.140625" style="927" customWidth="1"/>
    <col min="14943" max="14943" width="10.5703125" style="927" customWidth="1"/>
    <col min="14944" max="14944" width="9.140625" style="927" customWidth="1"/>
    <col min="14945" max="14945" width="4" style="927" customWidth="1"/>
    <col min="14946" max="14946" width="9.42578125" style="927" customWidth="1"/>
    <col min="14947" max="14948" width="9.140625" style="927" customWidth="1"/>
    <col min="14949" max="14949" width="10.5703125" style="927" customWidth="1"/>
    <col min="14950" max="14950" width="9.140625" style="927" customWidth="1"/>
    <col min="14951" max="14951" width="4" style="927" customWidth="1"/>
    <col min="14952" max="14952" width="12.42578125" style="927" customWidth="1"/>
    <col min="14953" max="14954" width="9.140625" style="927" customWidth="1"/>
    <col min="14955" max="14955" width="10.5703125" style="927" customWidth="1"/>
    <col min="14956" max="14956" width="9.140625" style="927" customWidth="1"/>
    <col min="14957" max="14957" width="4" style="927" customWidth="1"/>
    <col min="14958" max="14958" width="12.42578125" style="927" customWidth="1"/>
    <col min="14959" max="14960" width="9.140625" style="927" customWidth="1"/>
    <col min="14961" max="14961" width="10.5703125" style="927" customWidth="1"/>
    <col min="14962" max="14962" width="9.140625" style="927" customWidth="1"/>
    <col min="14963" max="14963" width="4" style="927" customWidth="1"/>
    <col min="14964" max="14964" width="12.42578125" style="927" customWidth="1"/>
    <col min="14965" max="14966" width="9.140625" style="927" customWidth="1"/>
    <col min="14967" max="14967" width="10.5703125" style="927" customWidth="1"/>
    <col min="14968" max="14968" width="9.140625" style="927" customWidth="1"/>
    <col min="14969" max="14969" width="4" style="927" customWidth="1"/>
    <col min="14970" max="14970" width="12.42578125" style="927" customWidth="1"/>
    <col min="14971" max="14972" width="9.140625" style="927" customWidth="1"/>
    <col min="14973" max="14973" width="10.5703125" style="927" customWidth="1"/>
    <col min="14974" max="14974" width="9.140625" style="927" customWidth="1"/>
    <col min="14975" max="14975" width="4" style="927" customWidth="1"/>
    <col min="14976" max="14976" width="12.42578125" style="927" customWidth="1"/>
    <col min="14977" max="14978" width="9.140625" style="927" customWidth="1"/>
    <col min="14979" max="14979" width="10.5703125" style="927" customWidth="1"/>
    <col min="14980" max="15104" width="9.140625" style="927"/>
    <col min="15105" max="15105" width="2.7109375" style="927" customWidth="1"/>
    <col min="15106" max="15106" width="9.140625" style="927" customWidth="1"/>
    <col min="15107" max="15107" width="9.42578125" style="927" customWidth="1"/>
    <col min="15108" max="15108" width="0" style="927" hidden="1" customWidth="1"/>
    <col min="15109" max="15109" width="9.140625" style="927" customWidth="1"/>
    <col min="15110" max="15110" width="2.42578125" style="927" customWidth="1"/>
    <col min="15111" max="15111" width="9.140625" style="927" customWidth="1"/>
    <col min="15112" max="15112" width="9.42578125" style="927" customWidth="1"/>
    <col min="15113" max="15113" width="0" style="927" hidden="1" customWidth="1"/>
    <col min="15114" max="15114" width="9.140625" style="927" customWidth="1"/>
    <col min="15115" max="15115" width="2.28515625" style="927" customWidth="1"/>
    <col min="15116" max="15116" width="9.140625" style="927" customWidth="1"/>
    <col min="15117" max="15117" width="9.42578125" style="927" customWidth="1"/>
    <col min="15118" max="15118" width="0" style="927" hidden="1" customWidth="1"/>
    <col min="15119" max="15119" width="9.140625" style="927" customWidth="1"/>
    <col min="15120" max="15120" width="2.5703125" style="927" customWidth="1"/>
    <col min="15121" max="15121" width="9.140625" style="927" customWidth="1"/>
    <col min="15122" max="15122" width="9.5703125" style="927" customWidth="1"/>
    <col min="15123" max="15123" width="0" style="927" hidden="1" customWidth="1"/>
    <col min="15124" max="15124" width="9.140625" style="927" customWidth="1"/>
    <col min="15125" max="15125" width="2.7109375" style="927" customWidth="1"/>
    <col min="15126" max="15127" width="9.140625" style="927" customWidth="1"/>
    <col min="15128" max="15128" width="3.140625" style="927" customWidth="1"/>
    <col min="15129" max="15129" width="4" style="927" customWidth="1"/>
    <col min="15130" max="15130" width="9.42578125" style="927" customWidth="1"/>
    <col min="15131" max="15132" width="9.140625" style="927" customWidth="1"/>
    <col min="15133" max="15133" width="10.5703125" style="927" customWidth="1"/>
    <col min="15134" max="15134" width="9.140625" style="927" customWidth="1"/>
    <col min="15135" max="15135" width="4" style="927" customWidth="1"/>
    <col min="15136" max="15136" width="9.42578125" style="927" customWidth="1"/>
    <col min="15137" max="15138" width="9.140625" style="927" customWidth="1"/>
    <col min="15139" max="15139" width="10.5703125" style="927" customWidth="1"/>
    <col min="15140" max="15140" width="9.140625" style="927" customWidth="1"/>
    <col min="15141" max="15141" width="4" style="927" customWidth="1"/>
    <col min="15142" max="15142" width="9.42578125" style="927" customWidth="1"/>
    <col min="15143" max="15144" width="9.140625" style="927" customWidth="1"/>
    <col min="15145" max="15145" width="10.5703125" style="927" customWidth="1"/>
    <col min="15146" max="15146" width="9.140625" style="927" customWidth="1"/>
    <col min="15147" max="15147" width="4" style="927" customWidth="1"/>
    <col min="15148" max="15148" width="9.42578125" style="927" customWidth="1"/>
    <col min="15149" max="15150" width="9.140625" style="927" customWidth="1"/>
    <col min="15151" max="15151" width="10.5703125" style="927" customWidth="1"/>
    <col min="15152" max="15152" width="9.140625" style="927" customWidth="1"/>
    <col min="15153" max="15153" width="4" style="927" customWidth="1"/>
    <col min="15154" max="15154" width="9.42578125" style="927" customWidth="1"/>
    <col min="15155" max="15156" width="9.140625" style="927" customWidth="1"/>
    <col min="15157" max="15157" width="10.5703125" style="927" customWidth="1"/>
    <col min="15158" max="15158" width="9.140625" style="927" customWidth="1"/>
    <col min="15159" max="15159" width="4" style="927" customWidth="1"/>
    <col min="15160" max="15160" width="9.42578125" style="927" customWidth="1"/>
    <col min="15161" max="15162" width="9.140625" style="927" customWidth="1"/>
    <col min="15163" max="15163" width="10.5703125" style="927" customWidth="1"/>
    <col min="15164" max="15164" width="9.140625" style="927" customWidth="1"/>
    <col min="15165" max="15165" width="4" style="927" customWidth="1"/>
    <col min="15166" max="15166" width="9.42578125" style="927" customWidth="1"/>
    <col min="15167" max="15168" width="9.140625" style="927" customWidth="1"/>
    <col min="15169" max="15169" width="10.5703125" style="927" customWidth="1"/>
    <col min="15170" max="15170" width="9.140625" style="927" customWidth="1"/>
    <col min="15171" max="15171" width="4" style="927" customWidth="1"/>
    <col min="15172" max="15172" width="9.42578125" style="927" customWidth="1"/>
    <col min="15173" max="15174" width="9.140625" style="927" customWidth="1"/>
    <col min="15175" max="15175" width="10.5703125" style="927" customWidth="1"/>
    <col min="15176" max="15176" width="9.140625" style="927" customWidth="1"/>
    <col min="15177" max="15177" width="4" style="927" customWidth="1"/>
    <col min="15178" max="15178" width="9.42578125" style="927" customWidth="1"/>
    <col min="15179" max="15180" width="9.140625" style="927" customWidth="1"/>
    <col min="15181" max="15181" width="10.5703125" style="927" customWidth="1"/>
    <col min="15182" max="15182" width="9.140625" style="927" customWidth="1"/>
    <col min="15183" max="15183" width="4" style="927" customWidth="1"/>
    <col min="15184" max="15184" width="9.42578125" style="927" customWidth="1"/>
    <col min="15185" max="15186" width="9.140625" style="927" customWidth="1"/>
    <col min="15187" max="15187" width="10.5703125" style="927" customWidth="1"/>
    <col min="15188" max="15188" width="9.140625" style="927" customWidth="1"/>
    <col min="15189" max="15189" width="4" style="927" customWidth="1"/>
    <col min="15190" max="15190" width="9.42578125" style="927" customWidth="1"/>
    <col min="15191" max="15192" width="9.140625" style="927" customWidth="1"/>
    <col min="15193" max="15193" width="10.5703125" style="927" customWidth="1"/>
    <col min="15194" max="15194" width="9.140625" style="927" customWidth="1"/>
    <col min="15195" max="15195" width="4" style="927" customWidth="1"/>
    <col min="15196" max="15196" width="9.42578125" style="927" customWidth="1"/>
    <col min="15197" max="15198" width="9.140625" style="927" customWidth="1"/>
    <col min="15199" max="15199" width="10.5703125" style="927" customWidth="1"/>
    <col min="15200" max="15200" width="9.140625" style="927" customWidth="1"/>
    <col min="15201" max="15201" width="4" style="927" customWidth="1"/>
    <col min="15202" max="15202" width="9.42578125" style="927" customWidth="1"/>
    <col min="15203" max="15204" width="9.140625" style="927" customWidth="1"/>
    <col min="15205" max="15205" width="10.5703125" style="927" customWidth="1"/>
    <col min="15206" max="15206" width="9.140625" style="927" customWidth="1"/>
    <col min="15207" max="15207" width="4" style="927" customWidth="1"/>
    <col min="15208" max="15208" width="12.42578125" style="927" customWidth="1"/>
    <col min="15209" max="15210" width="9.140625" style="927" customWidth="1"/>
    <col min="15211" max="15211" width="10.5703125" style="927" customWidth="1"/>
    <col min="15212" max="15212" width="9.140625" style="927" customWidth="1"/>
    <col min="15213" max="15213" width="4" style="927" customWidth="1"/>
    <col min="15214" max="15214" width="12.42578125" style="927" customWidth="1"/>
    <col min="15215" max="15216" width="9.140625" style="927" customWidth="1"/>
    <col min="15217" max="15217" width="10.5703125" style="927" customWidth="1"/>
    <col min="15218" max="15218" width="9.140625" style="927" customWidth="1"/>
    <col min="15219" max="15219" width="4" style="927" customWidth="1"/>
    <col min="15220" max="15220" width="12.42578125" style="927" customWidth="1"/>
    <col min="15221" max="15222" width="9.140625" style="927" customWidth="1"/>
    <col min="15223" max="15223" width="10.5703125" style="927" customWidth="1"/>
    <col min="15224" max="15224" width="9.140625" style="927" customWidth="1"/>
    <col min="15225" max="15225" width="4" style="927" customWidth="1"/>
    <col min="15226" max="15226" width="12.42578125" style="927" customWidth="1"/>
    <col min="15227" max="15228" width="9.140625" style="927" customWidth="1"/>
    <col min="15229" max="15229" width="10.5703125" style="927" customWidth="1"/>
    <col min="15230" max="15230" width="9.140625" style="927" customWidth="1"/>
    <col min="15231" max="15231" width="4" style="927" customWidth="1"/>
    <col min="15232" max="15232" width="12.42578125" style="927" customWidth="1"/>
    <col min="15233" max="15234" width="9.140625" style="927" customWidth="1"/>
    <col min="15235" max="15235" width="10.5703125" style="927" customWidth="1"/>
    <col min="15236" max="15360" width="9.140625" style="927"/>
    <col min="15361" max="15361" width="2.7109375" style="927" customWidth="1"/>
    <col min="15362" max="15362" width="9.140625" style="927" customWidth="1"/>
    <col min="15363" max="15363" width="9.42578125" style="927" customWidth="1"/>
    <col min="15364" max="15364" width="0" style="927" hidden="1" customWidth="1"/>
    <col min="15365" max="15365" width="9.140625" style="927" customWidth="1"/>
    <col min="15366" max="15366" width="2.42578125" style="927" customWidth="1"/>
    <col min="15367" max="15367" width="9.140625" style="927" customWidth="1"/>
    <col min="15368" max="15368" width="9.42578125" style="927" customWidth="1"/>
    <col min="15369" max="15369" width="0" style="927" hidden="1" customWidth="1"/>
    <col min="15370" max="15370" width="9.140625" style="927" customWidth="1"/>
    <col min="15371" max="15371" width="2.28515625" style="927" customWidth="1"/>
    <col min="15372" max="15372" width="9.140625" style="927" customWidth="1"/>
    <col min="15373" max="15373" width="9.42578125" style="927" customWidth="1"/>
    <col min="15374" max="15374" width="0" style="927" hidden="1" customWidth="1"/>
    <col min="15375" max="15375" width="9.140625" style="927" customWidth="1"/>
    <col min="15376" max="15376" width="2.5703125" style="927" customWidth="1"/>
    <col min="15377" max="15377" width="9.140625" style="927" customWidth="1"/>
    <col min="15378" max="15378" width="9.5703125" style="927" customWidth="1"/>
    <col min="15379" max="15379" width="0" style="927" hidden="1" customWidth="1"/>
    <col min="15380" max="15380" width="9.140625" style="927" customWidth="1"/>
    <col min="15381" max="15381" width="2.7109375" style="927" customWidth="1"/>
    <col min="15382" max="15383" width="9.140625" style="927" customWidth="1"/>
    <col min="15384" max="15384" width="3.140625" style="927" customWidth="1"/>
    <col min="15385" max="15385" width="4" style="927" customWidth="1"/>
    <col min="15386" max="15386" width="9.42578125" style="927" customWidth="1"/>
    <col min="15387" max="15388" width="9.140625" style="927" customWidth="1"/>
    <col min="15389" max="15389" width="10.5703125" style="927" customWidth="1"/>
    <col min="15390" max="15390" width="9.140625" style="927" customWidth="1"/>
    <col min="15391" max="15391" width="4" style="927" customWidth="1"/>
    <col min="15392" max="15392" width="9.42578125" style="927" customWidth="1"/>
    <col min="15393" max="15394" width="9.140625" style="927" customWidth="1"/>
    <col min="15395" max="15395" width="10.5703125" style="927" customWidth="1"/>
    <col min="15396" max="15396" width="9.140625" style="927" customWidth="1"/>
    <col min="15397" max="15397" width="4" style="927" customWidth="1"/>
    <col min="15398" max="15398" width="9.42578125" style="927" customWidth="1"/>
    <col min="15399" max="15400" width="9.140625" style="927" customWidth="1"/>
    <col min="15401" max="15401" width="10.5703125" style="927" customWidth="1"/>
    <col min="15402" max="15402" width="9.140625" style="927" customWidth="1"/>
    <col min="15403" max="15403" width="4" style="927" customWidth="1"/>
    <col min="15404" max="15404" width="9.42578125" style="927" customWidth="1"/>
    <col min="15405" max="15406" width="9.140625" style="927" customWidth="1"/>
    <col min="15407" max="15407" width="10.5703125" style="927" customWidth="1"/>
    <col min="15408" max="15408" width="9.140625" style="927" customWidth="1"/>
    <col min="15409" max="15409" width="4" style="927" customWidth="1"/>
    <col min="15410" max="15410" width="9.42578125" style="927" customWidth="1"/>
    <col min="15411" max="15412" width="9.140625" style="927" customWidth="1"/>
    <col min="15413" max="15413" width="10.5703125" style="927" customWidth="1"/>
    <col min="15414" max="15414" width="9.140625" style="927" customWidth="1"/>
    <col min="15415" max="15415" width="4" style="927" customWidth="1"/>
    <col min="15416" max="15416" width="9.42578125" style="927" customWidth="1"/>
    <col min="15417" max="15418" width="9.140625" style="927" customWidth="1"/>
    <col min="15419" max="15419" width="10.5703125" style="927" customWidth="1"/>
    <col min="15420" max="15420" width="9.140625" style="927" customWidth="1"/>
    <col min="15421" max="15421" width="4" style="927" customWidth="1"/>
    <col min="15422" max="15422" width="9.42578125" style="927" customWidth="1"/>
    <col min="15423" max="15424" width="9.140625" style="927" customWidth="1"/>
    <col min="15425" max="15425" width="10.5703125" style="927" customWidth="1"/>
    <col min="15426" max="15426" width="9.140625" style="927" customWidth="1"/>
    <col min="15427" max="15427" width="4" style="927" customWidth="1"/>
    <col min="15428" max="15428" width="9.42578125" style="927" customWidth="1"/>
    <col min="15429" max="15430" width="9.140625" style="927" customWidth="1"/>
    <col min="15431" max="15431" width="10.5703125" style="927" customWidth="1"/>
    <col min="15432" max="15432" width="9.140625" style="927" customWidth="1"/>
    <col min="15433" max="15433" width="4" style="927" customWidth="1"/>
    <col min="15434" max="15434" width="9.42578125" style="927" customWidth="1"/>
    <col min="15435" max="15436" width="9.140625" style="927" customWidth="1"/>
    <col min="15437" max="15437" width="10.5703125" style="927" customWidth="1"/>
    <col min="15438" max="15438" width="9.140625" style="927" customWidth="1"/>
    <col min="15439" max="15439" width="4" style="927" customWidth="1"/>
    <col min="15440" max="15440" width="9.42578125" style="927" customWidth="1"/>
    <col min="15441" max="15442" width="9.140625" style="927" customWidth="1"/>
    <col min="15443" max="15443" width="10.5703125" style="927" customWidth="1"/>
    <col min="15444" max="15444" width="9.140625" style="927" customWidth="1"/>
    <col min="15445" max="15445" width="4" style="927" customWidth="1"/>
    <col min="15446" max="15446" width="9.42578125" style="927" customWidth="1"/>
    <col min="15447" max="15448" width="9.140625" style="927" customWidth="1"/>
    <col min="15449" max="15449" width="10.5703125" style="927" customWidth="1"/>
    <col min="15450" max="15450" width="9.140625" style="927" customWidth="1"/>
    <col min="15451" max="15451" width="4" style="927" customWidth="1"/>
    <col min="15452" max="15452" width="9.42578125" style="927" customWidth="1"/>
    <col min="15453" max="15454" width="9.140625" style="927" customWidth="1"/>
    <col min="15455" max="15455" width="10.5703125" style="927" customWidth="1"/>
    <col min="15456" max="15456" width="9.140625" style="927" customWidth="1"/>
    <col min="15457" max="15457" width="4" style="927" customWidth="1"/>
    <col min="15458" max="15458" width="9.42578125" style="927" customWidth="1"/>
    <col min="15459" max="15460" width="9.140625" style="927" customWidth="1"/>
    <col min="15461" max="15461" width="10.5703125" style="927" customWidth="1"/>
    <col min="15462" max="15462" width="9.140625" style="927" customWidth="1"/>
    <col min="15463" max="15463" width="4" style="927" customWidth="1"/>
    <col min="15464" max="15464" width="12.42578125" style="927" customWidth="1"/>
    <col min="15465" max="15466" width="9.140625" style="927" customWidth="1"/>
    <col min="15467" max="15467" width="10.5703125" style="927" customWidth="1"/>
    <col min="15468" max="15468" width="9.140625" style="927" customWidth="1"/>
    <col min="15469" max="15469" width="4" style="927" customWidth="1"/>
    <col min="15470" max="15470" width="12.42578125" style="927" customWidth="1"/>
    <col min="15471" max="15472" width="9.140625" style="927" customWidth="1"/>
    <col min="15473" max="15473" width="10.5703125" style="927" customWidth="1"/>
    <col min="15474" max="15474" width="9.140625" style="927" customWidth="1"/>
    <col min="15475" max="15475" width="4" style="927" customWidth="1"/>
    <col min="15476" max="15476" width="12.42578125" style="927" customWidth="1"/>
    <col min="15477" max="15478" width="9.140625" style="927" customWidth="1"/>
    <col min="15479" max="15479" width="10.5703125" style="927" customWidth="1"/>
    <col min="15480" max="15480" width="9.140625" style="927" customWidth="1"/>
    <col min="15481" max="15481" width="4" style="927" customWidth="1"/>
    <col min="15482" max="15482" width="12.42578125" style="927" customWidth="1"/>
    <col min="15483" max="15484" width="9.140625" style="927" customWidth="1"/>
    <col min="15485" max="15485" width="10.5703125" style="927" customWidth="1"/>
    <col min="15486" max="15486" width="9.140625" style="927" customWidth="1"/>
    <col min="15487" max="15487" width="4" style="927" customWidth="1"/>
    <col min="15488" max="15488" width="12.42578125" style="927" customWidth="1"/>
    <col min="15489" max="15490" width="9.140625" style="927" customWidth="1"/>
    <col min="15491" max="15491" width="10.5703125" style="927" customWidth="1"/>
    <col min="15492" max="15616" width="9.140625" style="927"/>
    <col min="15617" max="15617" width="2.7109375" style="927" customWidth="1"/>
    <col min="15618" max="15618" width="9.140625" style="927" customWidth="1"/>
    <col min="15619" max="15619" width="9.42578125" style="927" customWidth="1"/>
    <col min="15620" max="15620" width="0" style="927" hidden="1" customWidth="1"/>
    <col min="15621" max="15621" width="9.140625" style="927" customWidth="1"/>
    <col min="15622" max="15622" width="2.42578125" style="927" customWidth="1"/>
    <col min="15623" max="15623" width="9.140625" style="927" customWidth="1"/>
    <col min="15624" max="15624" width="9.42578125" style="927" customWidth="1"/>
    <col min="15625" max="15625" width="0" style="927" hidden="1" customWidth="1"/>
    <col min="15626" max="15626" width="9.140625" style="927" customWidth="1"/>
    <col min="15627" max="15627" width="2.28515625" style="927" customWidth="1"/>
    <col min="15628" max="15628" width="9.140625" style="927" customWidth="1"/>
    <col min="15629" max="15629" width="9.42578125" style="927" customWidth="1"/>
    <col min="15630" max="15630" width="0" style="927" hidden="1" customWidth="1"/>
    <col min="15631" max="15631" width="9.140625" style="927" customWidth="1"/>
    <col min="15632" max="15632" width="2.5703125" style="927" customWidth="1"/>
    <col min="15633" max="15633" width="9.140625" style="927" customWidth="1"/>
    <col min="15634" max="15634" width="9.5703125" style="927" customWidth="1"/>
    <col min="15635" max="15635" width="0" style="927" hidden="1" customWidth="1"/>
    <col min="15636" max="15636" width="9.140625" style="927" customWidth="1"/>
    <col min="15637" max="15637" width="2.7109375" style="927" customWidth="1"/>
    <col min="15638" max="15639" width="9.140625" style="927" customWidth="1"/>
    <col min="15640" max="15640" width="3.140625" style="927" customWidth="1"/>
    <col min="15641" max="15641" width="4" style="927" customWidth="1"/>
    <col min="15642" max="15642" width="9.42578125" style="927" customWidth="1"/>
    <col min="15643" max="15644" width="9.140625" style="927" customWidth="1"/>
    <col min="15645" max="15645" width="10.5703125" style="927" customWidth="1"/>
    <col min="15646" max="15646" width="9.140625" style="927" customWidth="1"/>
    <col min="15647" max="15647" width="4" style="927" customWidth="1"/>
    <col min="15648" max="15648" width="9.42578125" style="927" customWidth="1"/>
    <col min="15649" max="15650" width="9.140625" style="927" customWidth="1"/>
    <col min="15651" max="15651" width="10.5703125" style="927" customWidth="1"/>
    <col min="15652" max="15652" width="9.140625" style="927" customWidth="1"/>
    <col min="15653" max="15653" width="4" style="927" customWidth="1"/>
    <col min="15654" max="15654" width="9.42578125" style="927" customWidth="1"/>
    <col min="15655" max="15656" width="9.140625" style="927" customWidth="1"/>
    <col min="15657" max="15657" width="10.5703125" style="927" customWidth="1"/>
    <col min="15658" max="15658" width="9.140625" style="927" customWidth="1"/>
    <col min="15659" max="15659" width="4" style="927" customWidth="1"/>
    <col min="15660" max="15660" width="9.42578125" style="927" customWidth="1"/>
    <col min="15661" max="15662" width="9.140625" style="927" customWidth="1"/>
    <col min="15663" max="15663" width="10.5703125" style="927" customWidth="1"/>
    <col min="15664" max="15664" width="9.140625" style="927" customWidth="1"/>
    <col min="15665" max="15665" width="4" style="927" customWidth="1"/>
    <col min="15666" max="15666" width="9.42578125" style="927" customWidth="1"/>
    <col min="15667" max="15668" width="9.140625" style="927" customWidth="1"/>
    <col min="15669" max="15669" width="10.5703125" style="927" customWidth="1"/>
    <col min="15670" max="15670" width="9.140625" style="927" customWidth="1"/>
    <col min="15671" max="15671" width="4" style="927" customWidth="1"/>
    <col min="15672" max="15672" width="9.42578125" style="927" customWidth="1"/>
    <col min="15673" max="15674" width="9.140625" style="927" customWidth="1"/>
    <col min="15675" max="15675" width="10.5703125" style="927" customWidth="1"/>
    <col min="15676" max="15676" width="9.140625" style="927" customWidth="1"/>
    <col min="15677" max="15677" width="4" style="927" customWidth="1"/>
    <col min="15678" max="15678" width="9.42578125" style="927" customWidth="1"/>
    <col min="15679" max="15680" width="9.140625" style="927" customWidth="1"/>
    <col min="15681" max="15681" width="10.5703125" style="927" customWidth="1"/>
    <col min="15682" max="15682" width="9.140625" style="927" customWidth="1"/>
    <col min="15683" max="15683" width="4" style="927" customWidth="1"/>
    <col min="15684" max="15684" width="9.42578125" style="927" customWidth="1"/>
    <col min="15685" max="15686" width="9.140625" style="927" customWidth="1"/>
    <col min="15687" max="15687" width="10.5703125" style="927" customWidth="1"/>
    <col min="15688" max="15688" width="9.140625" style="927" customWidth="1"/>
    <col min="15689" max="15689" width="4" style="927" customWidth="1"/>
    <col min="15690" max="15690" width="9.42578125" style="927" customWidth="1"/>
    <col min="15691" max="15692" width="9.140625" style="927" customWidth="1"/>
    <col min="15693" max="15693" width="10.5703125" style="927" customWidth="1"/>
    <col min="15694" max="15694" width="9.140625" style="927" customWidth="1"/>
    <col min="15695" max="15695" width="4" style="927" customWidth="1"/>
    <col min="15696" max="15696" width="9.42578125" style="927" customWidth="1"/>
    <col min="15697" max="15698" width="9.140625" style="927" customWidth="1"/>
    <col min="15699" max="15699" width="10.5703125" style="927" customWidth="1"/>
    <col min="15700" max="15700" width="9.140625" style="927" customWidth="1"/>
    <col min="15701" max="15701" width="4" style="927" customWidth="1"/>
    <col min="15702" max="15702" width="9.42578125" style="927" customWidth="1"/>
    <col min="15703" max="15704" width="9.140625" style="927" customWidth="1"/>
    <col min="15705" max="15705" width="10.5703125" style="927" customWidth="1"/>
    <col min="15706" max="15706" width="9.140625" style="927" customWidth="1"/>
    <col min="15707" max="15707" width="4" style="927" customWidth="1"/>
    <col min="15708" max="15708" width="9.42578125" style="927" customWidth="1"/>
    <col min="15709" max="15710" width="9.140625" style="927" customWidth="1"/>
    <col min="15711" max="15711" width="10.5703125" style="927" customWidth="1"/>
    <col min="15712" max="15712" width="9.140625" style="927" customWidth="1"/>
    <col min="15713" max="15713" width="4" style="927" customWidth="1"/>
    <col min="15714" max="15714" width="9.42578125" style="927" customWidth="1"/>
    <col min="15715" max="15716" width="9.140625" style="927" customWidth="1"/>
    <col min="15717" max="15717" width="10.5703125" style="927" customWidth="1"/>
    <col min="15718" max="15718" width="9.140625" style="927" customWidth="1"/>
    <col min="15719" max="15719" width="4" style="927" customWidth="1"/>
    <col min="15720" max="15720" width="12.42578125" style="927" customWidth="1"/>
    <col min="15721" max="15722" width="9.140625" style="927" customWidth="1"/>
    <col min="15723" max="15723" width="10.5703125" style="927" customWidth="1"/>
    <col min="15724" max="15724" width="9.140625" style="927" customWidth="1"/>
    <col min="15725" max="15725" width="4" style="927" customWidth="1"/>
    <col min="15726" max="15726" width="12.42578125" style="927" customWidth="1"/>
    <col min="15727" max="15728" width="9.140625" style="927" customWidth="1"/>
    <col min="15729" max="15729" width="10.5703125" style="927" customWidth="1"/>
    <col min="15730" max="15730" width="9.140625" style="927" customWidth="1"/>
    <col min="15731" max="15731" width="4" style="927" customWidth="1"/>
    <col min="15732" max="15732" width="12.42578125" style="927" customWidth="1"/>
    <col min="15733" max="15734" width="9.140625" style="927" customWidth="1"/>
    <col min="15735" max="15735" width="10.5703125" style="927" customWidth="1"/>
    <col min="15736" max="15736" width="9.140625" style="927" customWidth="1"/>
    <col min="15737" max="15737" width="4" style="927" customWidth="1"/>
    <col min="15738" max="15738" width="12.42578125" style="927" customWidth="1"/>
    <col min="15739" max="15740" width="9.140625" style="927" customWidth="1"/>
    <col min="15741" max="15741" width="10.5703125" style="927" customWidth="1"/>
    <col min="15742" max="15742" width="9.140625" style="927" customWidth="1"/>
    <col min="15743" max="15743" width="4" style="927" customWidth="1"/>
    <col min="15744" max="15744" width="12.42578125" style="927" customWidth="1"/>
    <col min="15745" max="15746" width="9.140625" style="927" customWidth="1"/>
    <col min="15747" max="15747" width="10.5703125" style="927" customWidth="1"/>
    <col min="15748" max="15872" width="9.140625" style="927"/>
    <col min="15873" max="15873" width="2.7109375" style="927" customWidth="1"/>
    <col min="15874" max="15874" width="9.140625" style="927" customWidth="1"/>
    <col min="15875" max="15875" width="9.42578125" style="927" customWidth="1"/>
    <col min="15876" max="15876" width="0" style="927" hidden="1" customWidth="1"/>
    <col min="15877" max="15877" width="9.140625" style="927" customWidth="1"/>
    <col min="15878" max="15878" width="2.42578125" style="927" customWidth="1"/>
    <col min="15879" max="15879" width="9.140625" style="927" customWidth="1"/>
    <col min="15880" max="15880" width="9.42578125" style="927" customWidth="1"/>
    <col min="15881" max="15881" width="0" style="927" hidden="1" customWidth="1"/>
    <col min="15882" max="15882" width="9.140625" style="927" customWidth="1"/>
    <col min="15883" max="15883" width="2.28515625" style="927" customWidth="1"/>
    <col min="15884" max="15884" width="9.140625" style="927" customWidth="1"/>
    <col min="15885" max="15885" width="9.42578125" style="927" customWidth="1"/>
    <col min="15886" max="15886" width="0" style="927" hidden="1" customWidth="1"/>
    <col min="15887" max="15887" width="9.140625" style="927" customWidth="1"/>
    <col min="15888" max="15888" width="2.5703125" style="927" customWidth="1"/>
    <col min="15889" max="15889" width="9.140625" style="927" customWidth="1"/>
    <col min="15890" max="15890" width="9.5703125" style="927" customWidth="1"/>
    <col min="15891" max="15891" width="0" style="927" hidden="1" customWidth="1"/>
    <col min="15892" max="15892" width="9.140625" style="927" customWidth="1"/>
    <col min="15893" max="15893" width="2.7109375" style="927" customWidth="1"/>
    <col min="15894" max="15895" width="9.140625" style="927" customWidth="1"/>
    <col min="15896" max="15896" width="3.140625" style="927" customWidth="1"/>
    <col min="15897" max="15897" width="4" style="927" customWidth="1"/>
    <col min="15898" max="15898" width="9.42578125" style="927" customWidth="1"/>
    <col min="15899" max="15900" width="9.140625" style="927" customWidth="1"/>
    <col min="15901" max="15901" width="10.5703125" style="927" customWidth="1"/>
    <col min="15902" max="15902" width="9.140625" style="927" customWidth="1"/>
    <col min="15903" max="15903" width="4" style="927" customWidth="1"/>
    <col min="15904" max="15904" width="9.42578125" style="927" customWidth="1"/>
    <col min="15905" max="15906" width="9.140625" style="927" customWidth="1"/>
    <col min="15907" max="15907" width="10.5703125" style="927" customWidth="1"/>
    <col min="15908" max="15908" width="9.140625" style="927" customWidth="1"/>
    <col min="15909" max="15909" width="4" style="927" customWidth="1"/>
    <col min="15910" max="15910" width="9.42578125" style="927" customWidth="1"/>
    <col min="15911" max="15912" width="9.140625" style="927" customWidth="1"/>
    <col min="15913" max="15913" width="10.5703125" style="927" customWidth="1"/>
    <col min="15914" max="15914" width="9.140625" style="927" customWidth="1"/>
    <col min="15915" max="15915" width="4" style="927" customWidth="1"/>
    <col min="15916" max="15916" width="9.42578125" style="927" customWidth="1"/>
    <col min="15917" max="15918" width="9.140625" style="927" customWidth="1"/>
    <col min="15919" max="15919" width="10.5703125" style="927" customWidth="1"/>
    <col min="15920" max="15920" width="9.140625" style="927" customWidth="1"/>
    <col min="15921" max="15921" width="4" style="927" customWidth="1"/>
    <col min="15922" max="15922" width="9.42578125" style="927" customWidth="1"/>
    <col min="15923" max="15924" width="9.140625" style="927" customWidth="1"/>
    <col min="15925" max="15925" width="10.5703125" style="927" customWidth="1"/>
    <col min="15926" max="15926" width="9.140625" style="927" customWidth="1"/>
    <col min="15927" max="15927" width="4" style="927" customWidth="1"/>
    <col min="15928" max="15928" width="9.42578125" style="927" customWidth="1"/>
    <col min="15929" max="15930" width="9.140625" style="927" customWidth="1"/>
    <col min="15931" max="15931" width="10.5703125" style="927" customWidth="1"/>
    <col min="15932" max="15932" width="9.140625" style="927" customWidth="1"/>
    <col min="15933" max="15933" width="4" style="927" customWidth="1"/>
    <col min="15934" max="15934" width="9.42578125" style="927" customWidth="1"/>
    <col min="15935" max="15936" width="9.140625" style="927" customWidth="1"/>
    <col min="15937" max="15937" width="10.5703125" style="927" customWidth="1"/>
    <col min="15938" max="15938" width="9.140625" style="927" customWidth="1"/>
    <col min="15939" max="15939" width="4" style="927" customWidth="1"/>
    <col min="15940" max="15940" width="9.42578125" style="927" customWidth="1"/>
    <col min="15941" max="15942" width="9.140625" style="927" customWidth="1"/>
    <col min="15943" max="15943" width="10.5703125" style="927" customWidth="1"/>
    <col min="15944" max="15944" width="9.140625" style="927" customWidth="1"/>
    <col min="15945" max="15945" width="4" style="927" customWidth="1"/>
    <col min="15946" max="15946" width="9.42578125" style="927" customWidth="1"/>
    <col min="15947" max="15948" width="9.140625" style="927" customWidth="1"/>
    <col min="15949" max="15949" width="10.5703125" style="927" customWidth="1"/>
    <col min="15950" max="15950" width="9.140625" style="927" customWidth="1"/>
    <col min="15951" max="15951" width="4" style="927" customWidth="1"/>
    <col min="15952" max="15952" width="9.42578125" style="927" customWidth="1"/>
    <col min="15953" max="15954" width="9.140625" style="927" customWidth="1"/>
    <col min="15955" max="15955" width="10.5703125" style="927" customWidth="1"/>
    <col min="15956" max="15956" width="9.140625" style="927" customWidth="1"/>
    <col min="15957" max="15957" width="4" style="927" customWidth="1"/>
    <col min="15958" max="15958" width="9.42578125" style="927" customWidth="1"/>
    <col min="15959" max="15960" width="9.140625" style="927" customWidth="1"/>
    <col min="15961" max="15961" width="10.5703125" style="927" customWidth="1"/>
    <col min="15962" max="15962" width="9.140625" style="927" customWidth="1"/>
    <col min="15963" max="15963" width="4" style="927" customWidth="1"/>
    <col min="15964" max="15964" width="9.42578125" style="927" customWidth="1"/>
    <col min="15965" max="15966" width="9.140625" style="927" customWidth="1"/>
    <col min="15967" max="15967" width="10.5703125" style="927" customWidth="1"/>
    <col min="15968" max="15968" width="9.140625" style="927" customWidth="1"/>
    <col min="15969" max="15969" width="4" style="927" customWidth="1"/>
    <col min="15970" max="15970" width="9.42578125" style="927" customWidth="1"/>
    <col min="15971" max="15972" width="9.140625" style="927" customWidth="1"/>
    <col min="15973" max="15973" width="10.5703125" style="927" customWidth="1"/>
    <col min="15974" max="15974" width="9.140625" style="927" customWidth="1"/>
    <col min="15975" max="15975" width="4" style="927" customWidth="1"/>
    <col min="15976" max="15976" width="12.42578125" style="927" customWidth="1"/>
    <col min="15977" max="15978" width="9.140625" style="927" customWidth="1"/>
    <col min="15979" max="15979" width="10.5703125" style="927" customWidth="1"/>
    <col min="15980" max="15980" width="9.140625" style="927" customWidth="1"/>
    <col min="15981" max="15981" width="4" style="927" customWidth="1"/>
    <col min="15982" max="15982" width="12.42578125" style="927" customWidth="1"/>
    <col min="15983" max="15984" width="9.140625" style="927" customWidth="1"/>
    <col min="15985" max="15985" width="10.5703125" style="927" customWidth="1"/>
    <col min="15986" max="15986" width="9.140625" style="927" customWidth="1"/>
    <col min="15987" max="15987" width="4" style="927" customWidth="1"/>
    <col min="15988" max="15988" width="12.42578125" style="927" customWidth="1"/>
    <col min="15989" max="15990" width="9.140625" style="927" customWidth="1"/>
    <col min="15991" max="15991" width="10.5703125" style="927" customWidth="1"/>
    <col min="15992" max="15992" width="9.140625" style="927" customWidth="1"/>
    <col min="15993" max="15993" width="4" style="927" customWidth="1"/>
    <col min="15994" max="15994" width="12.42578125" style="927" customWidth="1"/>
    <col min="15995" max="15996" width="9.140625" style="927" customWidth="1"/>
    <col min="15997" max="15997" width="10.5703125" style="927" customWidth="1"/>
    <col min="15998" max="15998" width="9.140625" style="927" customWidth="1"/>
    <col min="15999" max="15999" width="4" style="927" customWidth="1"/>
    <col min="16000" max="16000" width="12.42578125" style="927" customWidth="1"/>
    <col min="16001" max="16002" width="9.140625" style="927" customWidth="1"/>
    <col min="16003" max="16003" width="10.5703125" style="927" customWidth="1"/>
    <col min="16004" max="16128" width="9.140625" style="927"/>
    <col min="16129" max="16129" width="2.7109375" style="927" customWidth="1"/>
    <col min="16130" max="16130" width="9.140625" style="927" customWidth="1"/>
    <col min="16131" max="16131" width="9.42578125" style="927" customWidth="1"/>
    <col min="16132" max="16132" width="0" style="927" hidden="1" customWidth="1"/>
    <col min="16133" max="16133" width="9.140625" style="927" customWidth="1"/>
    <col min="16134" max="16134" width="2.42578125" style="927" customWidth="1"/>
    <col min="16135" max="16135" width="9.140625" style="927" customWidth="1"/>
    <col min="16136" max="16136" width="9.42578125" style="927" customWidth="1"/>
    <col min="16137" max="16137" width="0" style="927" hidden="1" customWidth="1"/>
    <col min="16138" max="16138" width="9.140625" style="927" customWidth="1"/>
    <col min="16139" max="16139" width="2.28515625" style="927" customWidth="1"/>
    <col min="16140" max="16140" width="9.140625" style="927" customWidth="1"/>
    <col min="16141" max="16141" width="9.42578125" style="927" customWidth="1"/>
    <col min="16142" max="16142" width="0" style="927" hidden="1" customWidth="1"/>
    <col min="16143" max="16143" width="9.140625" style="927" customWidth="1"/>
    <col min="16144" max="16144" width="2.5703125" style="927" customWidth="1"/>
    <col min="16145" max="16145" width="9.140625" style="927" customWidth="1"/>
    <col min="16146" max="16146" width="9.5703125" style="927" customWidth="1"/>
    <col min="16147" max="16147" width="0" style="927" hidden="1" customWidth="1"/>
    <col min="16148" max="16148" width="9.140625" style="927" customWidth="1"/>
    <col min="16149" max="16149" width="2.7109375" style="927" customWidth="1"/>
    <col min="16150" max="16151" width="9.140625" style="927" customWidth="1"/>
    <col min="16152" max="16152" width="3.140625" style="927" customWidth="1"/>
    <col min="16153" max="16153" width="4" style="927" customWidth="1"/>
    <col min="16154" max="16154" width="9.42578125" style="927" customWidth="1"/>
    <col min="16155" max="16156" width="9.140625" style="927" customWidth="1"/>
    <col min="16157" max="16157" width="10.5703125" style="927" customWidth="1"/>
    <col min="16158" max="16158" width="9.140625" style="927" customWidth="1"/>
    <col min="16159" max="16159" width="4" style="927" customWidth="1"/>
    <col min="16160" max="16160" width="9.42578125" style="927" customWidth="1"/>
    <col min="16161" max="16162" width="9.140625" style="927" customWidth="1"/>
    <col min="16163" max="16163" width="10.5703125" style="927" customWidth="1"/>
    <col min="16164" max="16164" width="9.140625" style="927" customWidth="1"/>
    <col min="16165" max="16165" width="4" style="927" customWidth="1"/>
    <col min="16166" max="16166" width="9.42578125" style="927" customWidth="1"/>
    <col min="16167" max="16168" width="9.140625" style="927" customWidth="1"/>
    <col min="16169" max="16169" width="10.5703125" style="927" customWidth="1"/>
    <col min="16170" max="16170" width="9.140625" style="927" customWidth="1"/>
    <col min="16171" max="16171" width="4" style="927" customWidth="1"/>
    <col min="16172" max="16172" width="9.42578125" style="927" customWidth="1"/>
    <col min="16173" max="16174" width="9.140625" style="927" customWidth="1"/>
    <col min="16175" max="16175" width="10.5703125" style="927" customWidth="1"/>
    <col min="16176" max="16176" width="9.140625" style="927" customWidth="1"/>
    <col min="16177" max="16177" width="4" style="927" customWidth="1"/>
    <col min="16178" max="16178" width="9.42578125" style="927" customWidth="1"/>
    <col min="16179" max="16180" width="9.140625" style="927" customWidth="1"/>
    <col min="16181" max="16181" width="10.5703125" style="927" customWidth="1"/>
    <col min="16182" max="16182" width="9.140625" style="927" customWidth="1"/>
    <col min="16183" max="16183" width="4" style="927" customWidth="1"/>
    <col min="16184" max="16184" width="9.42578125" style="927" customWidth="1"/>
    <col min="16185" max="16186" width="9.140625" style="927" customWidth="1"/>
    <col min="16187" max="16187" width="10.5703125" style="927" customWidth="1"/>
    <col min="16188" max="16188" width="9.140625" style="927" customWidth="1"/>
    <col min="16189" max="16189" width="4" style="927" customWidth="1"/>
    <col min="16190" max="16190" width="9.42578125" style="927" customWidth="1"/>
    <col min="16191" max="16192" width="9.140625" style="927" customWidth="1"/>
    <col min="16193" max="16193" width="10.5703125" style="927" customWidth="1"/>
    <col min="16194" max="16194" width="9.140625" style="927" customWidth="1"/>
    <col min="16195" max="16195" width="4" style="927" customWidth="1"/>
    <col min="16196" max="16196" width="9.42578125" style="927" customWidth="1"/>
    <col min="16197" max="16198" width="9.140625" style="927" customWidth="1"/>
    <col min="16199" max="16199" width="10.5703125" style="927" customWidth="1"/>
    <col min="16200" max="16200" width="9.140625" style="927" customWidth="1"/>
    <col min="16201" max="16201" width="4" style="927" customWidth="1"/>
    <col min="16202" max="16202" width="9.42578125" style="927" customWidth="1"/>
    <col min="16203" max="16204" width="9.140625" style="927" customWidth="1"/>
    <col min="16205" max="16205" width="10.5703125" style="927" customWidth="1"/>
    <col min="16206" max="16206" width="9.140625" style="927" customWidth="1"/>
    <col min="16207" max="16207" width="4" style="927" customWidth="1"/>
    <col min="16208" max="16208" width="9.42578125" style="927" customWidth="1"/>
    <col min="16209" max="16210" width="9.140625" style="927" customWidth="1"/>
    <col min="16211" max="16211" width="10.5703125" style="927" customWidth="1"/>
    <col min="16212" max="16212" width="9.140625" style="927" customWidth="1"/>
    <col min="16213" max="16213" width="4" style="927" customWidth="1"/>
    <col min="16214" max="16214" width="9.42578125" style="927" customWidth="1"/>
    <col min="16215" max="16216" width="9.140625" style="927" customWidth="1"/>
    <col min="16217" max="16217" width="10.5703125" style="927" customWidth="1"/>
    <col min="16218" max="16218" width="9.140625" style="927" customWidth="1"/>
    <col min="16219" max="16219" width="4" style="927" customWidth="1"/>
    <col min="16220" max="16220" width="9.42578125" style="927" customWidth="1"/>
    <col min="16221" max="16222" width="9.140625" style="927" customWidth="1"/>
    <col min="16223" max="16223" width="10.5703125" style="927" customWidth="1"/>
    <col min="16224" max="16224" width="9.140625" style="927" customWidth="1"/>
    <col min="16225" max="16225" width="4" style="927" customWidth="1"/>
    <col min="16226" max="16226" width="9.42578125" style="927" customWidth="1"/>
    <col min="16227" max="16228" width="9.140625" style="927" customWidth="1"/>
    <col min="16229" max="16229" width="10.5703125" style="927" customWidth="1"/>
    <col min="16230" max="16230" width="9.140625" style="927" customWidth="1"/>
    <col min="16231" max="16231" width="4" style="927" customWidth="1"/>
    <col min="16232" max="16232" width="12.42578125" style="927" customWidth="1"/>
    <col min="16233" max="16234" width="9.140625" style="927" customWidth="1"/>
    <col min="16235" max="16235" width="10.5703125" style="927" customWidth="1"/>
    <col min="16236" max="16236" width="9.140625" style="927" customWidth="1"/>
    <col min="16237" max="16237" width="4" style="927" customWidth="1"/>
    <col min="16238" max="16238" width="12.42578125" style="927" customWidth="1"/>
    <col min="16239" max="16240" width="9.140625" style="927" customWidth="1"/>
    <col min="16241" max="16241" width="10.5703125" style="927" customWidth="1"/>
    <col min="16242" max="16242" width="9.140625" style="927" customWidth="1"/>
    <col min="16243" max="16243" width="4" style="927" customWidth="1"/>
    <col min="16244" max="16244" width="12.42578125" style="927" customWidth="1"/>
    <col min="16245" max="16246" width="9.140625" style="927" customWidth="1"/>
    <col min="16247" max="16247" width="10.5703125" style="927" customWidth="1"/>
    <col min="16248" max="16248" width="9.140625" style="927" customWidth="1"/>
    <col min="16249" max="16249" width="4" style="927" customWidth="1"/>
    <col min="16250" max="16250" width="12.42578125" style="927" customWidth="1"/>
    <col min="16251" max="16252" width="9.140625" style="927" customWidth="1"/>
    <col min="16253" max="16253" width="10.5703125" style="927" customWidth="1"/>
    <col min="16254" max="16254" width="9.140625" style="927" customWidth="1"/>
    <col min="16255" max="16255" width="4" style="927" customWidth="1"/>
    <col min="16256" max="16256" width="12.42578125" style="927" customWidth="1"/>
    <col min="16257" max="16258" width="9.140625" style="927" customWidth="1"/>
    <col min="16259" max="16259" width="10.5703125" style="927" customWidth="1"/>
    <col min="16260" max="16384" width="9.140625" style="927"/>
  </cols>
  <sheetData>
    <row r="1" spans="1:131" ht="15" customHeight="1" thickBot="1">
      <c r="A1" s="925"/>
      <c r="F1" s="926"/>
      <c r="K1" s="926"/>
      <c r="P1" s="926"/>
      <c r="V1" s="2777" t="s">
        <v>1749</v>
      </c>
      <c r="W1" s="2778"/>
      <c r="X1" s="2778"/>
      <c r="Y1" s="2779"/>
      <c r="AB1" s="927"/>
      <c r="AC1" s="927"/>
      <c r="AE1" s="927"/>
      <c r="AH1" s="927"/>
      <c r="AI1" s="927"/>
      <c r="AK1" s="927"/>
      <c r="AN1" s="927"/>
      <c r="AO1" s="927"/>
      <c r="AQ1" s="927"/>
      <c r="AT1" s="927"/>
      <c r="AU1" s="927"/>
      <c r="AW1" s="927"/>
      <c r="AZ1" s="927"/>
      <c r="BA1" s="927"/>
      <c r="BC1" s="927"/>
      <c r="BF1" s="927"/>
      <c r="BG1" s="927"/>
      <c r="BI1" s="927"/>
      <c r="BL1" s="927"/>
      <c r="BM1" s="927"/>
      <c r="BO1" s="927"/>
      <c r="BR1" s="927"/>
      <c r="BS1" s="927"/>
      <c r="BU1" s="927"/>
      <c r="BX1" s="927"/>
      <c r="BY1" s="927"/>
      <c r="CA1" s="927"/>
      <c r="CD1" s="927"/>
      <c r="CE1" s="927"/>
      <c r="CG1" s="927"/>
      <c r="CJ1" s="927"/>
      <c r="CK1" s="927"/>
      <c r="CM1" s="927"/>
      <c r="CP1" s="927"/>
      <c r="CQ1" s="927"/>
      <c r="CS1" s="927"/>
      <c r="CV1" s="927"/>
      <c r="CW1" s="927"/>
      <c r="CY1" s="927"/>
      <c r="DB1" s="927"/>
      <c r="DC1" s="927"/>
      <c r="DE1" s="927"/>
      <c r="DH1" s="927"/>
      <c r="DI1" s="927"/>
      <c r="DK1" s="927"/>
      <c r="DN1" s="927"/>
      <c r="DO1" s="927"/>
      <c r="DQ1" s="927"/>
      <c r="DT1" s="927"/>
      <c r="DU1" s="927"/>
      <c r="DW1" s="927"/>
      <c r="DZ1" s="927"/>
      <c r="EA1" s="927"/>
    </row>
    <row r="2" spans="1:131" ht="15" customHeight="1" thickBot="1">
      <c r="A2" s="2286"/>
      <c r="B2" s="929" t="s">
        <v>1053</v>
      </c>
      <c r="C2" s="930"/>
      <c r="D2" s="930"/>
      <c r="E2" s="931"/>
      <c r="F2" s="2287"/>
      <c r="G2" s="929" t="s">
        <v>447</v>
      </c>
      <c r="H2" s="930"/>
      <c r="I2" s="930"/>
      <c r="J2" s="931"/>
      <c r="K2" s="2288"/>
      <c r="L2" s="929" t="s">
        <v>1054</v>
      </c>
      <c r="M2" s="930"/>
      <c r="N2" s="930"/>
      <c r="O2" s="931"/>
      <c r="P2" s="2288"/>
      <c r="Q2" s="929" t="s">
        <v>1055</v>
      </c>
      <c r="R2" s="930"/>
      <c r="S2" s="930"/>
      <c r="T2" s="931"/>
      <c r="U2" s="941"/>
      <c r="V2" s="928"/>
      <c r="Y2" s="927"/>
      <c r="AB2" s="927"/>
      <c r="AC2" s="927"/>
      <c r="AE2" s="927"/>
      <c r="AH2" s="927"/>
      <c r="AI2" s="927"/>
      <c r="AK2" s="927"/>
      <c r="AN2" s="927"/>
      <c r="AO2" s="927"/>
      <c r="AQ2" s="927"/>
      <c r="AT2" s="927"/>
      <c r="AU2" s="927"/>
      <c r="AW2" s="927"/>
      <c r="AZ2" s="927"/>
      <c r="BA2" s="927"/>
      <c r="BC2" s="927"/>
      <c r="BF2" s="927"/>
      <c r="BG2" s="927"/>
      <c r="BI2" s="927"/>
      <c r="BL2" s="927"/>
      <c r="BM2" s="927"/>
      <c r="BO2" s="927"/>
      <c r="BR2" s="927"/>
      <c r="BS2" s="927"/>
      <c r="BU2" s="927"/>
      <c r="BX2" s="927"/>
      <c r="BY2" s="927"/>
      <c r="CA2" s="927"/>
      <c r="CD2" s="927"/>
      <c r="CE2" s="927"/>
      <c r="CF2" s="932"/>
      <c r="CG2" s="927"/>
      <c r="CJ2" s="927"/>
      <c r="CK2" s="927"/>
      <c r="CM2" s="927"/>
      <c r="CP2" s="927"/>
      <c r="CQ2" s="927"/>
      <c r="CS2" s="927"/>
      <c r="CV2" s="927"/>
      <c r="CW2" s="927"/>
      <c r="CX2" s="932"/>
      <c r="CY2" s="932"/>
      <c r="CZ2" s="932"/>
      <c r="DA2" s="932"/>
      <c r="DB2" s="932"/>
      <c r="DC2" s="927"/>
      <c r="DE2" s="927"/>
      <c r="DH2" s="927"/>
      <c r="DI2" s="927"/>
      <c r="DK2" s="927"/>
      <c r="DN2" s="927"/>
      <c r="DO2" s="927"/>
      <c r="DQ2" s="927"/>
      <c r="DT2" s="927"/>
      <c r="DU2" s="927"/>
      <c r="DW2" s="927"/>
      <c r="DZ2" s="927"/>
      <c r="EA2" s="927"/>
    </row>
    <row r="3" spans="1:131" ht="15" customHeight="1" thickBot="1">
      <c r="A3" s="2289"/>
      <c r="D3" s="947">
        <v>4</v>
      </c>
      <c r="E3" s="2290">
        <v>5.0000000000000001E-3</v>
      </c>
      <c r="F3" s="926"/>
      <c r="I3" s="947">
        <v>1</v>
      </c>
      <c r="J3" s="2290">
        <v>1800</v>
      </c>
      <c r="K3" s="926"/>
      <c r="N3" s="947">
        <v>1</v>
      </c>
      <c r="O3" s="2290">
        <v>1</v>
      </c>
      <c r="P3" s="926"/>
      <c r="S3" s="947">
        <v>1</v>
      </c>
      <c r="T3" s="2290">
        <v>1</v>
      </c>
      <c r="U3" s="941"/>
      <c r="V3" s="928"/>
      <c r="AB3" s="935">
        <f>VLOOKUP(D3,Y4:AA12,3,FALSE)</f>
        <v>12</v>
      </c>
      <c r="AC3" s="935">
        <f>+E3/AB3</f>
        <v>4.1666666666666669E-4</v>
      </c>
      <c r="AH3" s="935">
        <f>VLOOKUP(D7,AE4:AG14,3,FALSE)</f>
        <v>1</v>
      </c>
      <c r="AI3" s="935">
        <f>+E7/AH3</f>
        <v>30</v>
      </c>
      <c r="AN3" s="935">
        <f>VLOOKUP(D11,AK4:AM11,3,FALSE)</f>
        <v>1</v>
      </c>
      <c r="AO3" s="935">
        <f>+E11/AN3</f>
        <v>1</v>
      </c>
      <c r="AT3" s="935">
        <f>VLOOKUP(D15,AQ4:AS17,3,FALSE)</f>
        <v>60</v>
      </c>
      <c r="AU3" s="935">
        <f>+E15/AT3</f>
        <v>3333.3333333333335</v>
      </c>
      <c r="AZ3" s="935">
        <f>VLOOKUP(D19,AW4:AY15,3,FALSE)</f>
        <v>27.70759</v>
      </c>
      <c r="BA3" s="935">
        <f>+E19/AZ3</f>
        <v>0.36091193784807701</v>
      </c>
      <c r="BF3" s="935">
        <f>VLOOKUP(I3,BC4:BE15,3,FALSE)</f>
        <v>1</v>
      </c>
      <c r="BG3" s="935">
        <f>+J3/BF3</f>
        <v>1800</v>
      </c>
      <c r="BL3" s="935">
        <f>VLOOKUP(I7,BI4:BK13,3,FALSE)</f>
        <v>1</v>
      </c>
      <c r="BM3" s="935">
        <f>+J7/BL3</f>
        <v>22000</v>
      </c>
      <c r="BR3" s="935">
        <f>VLOOKUP(I11,BO4:BQ14,3,FALSE)</f>
        <v>1000</v>
      </c>
      <c r="BS3" s="935">
        <f>+J11/BR3</f>
        <v>0.02</v>
      </c>
      <c r="BX3" s="935">
        <f>VLOOKUP(I19,BU4:BW14,3,FALSE)</f>
        <v>9.2903040000000006E-2</v>
      </c>
      <c r="BY3" s="935">
        <f>+J19/BX3</f>
        <v>64583.462500258327</v>
      </c>
      <c r="CD3" s="935">
        <f>VLOOKUP(I15,CA4:CC15,3,FALSE)</f>
        <v>1</v>
      </c>
      <c r="CE3" s="935">
        <f>+J15/CD3</f>
        <v>62.4</v>
      </c>
      <c r="CF3" s="932"/>
      <c r="CJ3" s="935">
        <f>VLOOKUP(N3,CG4:CI12,3,FALSE)</f>
        <v>1</v>
      </c>
      <c r="CK3" s="935">
        <f>+O3/CJ3</f>
        <v>1</v>
      </c>
      <c r="CP3" s="935">
        <f>VLOOKUP(N7,CM4:CO10,3,FALSE)</f>
        <v>100</v>
      </c>
      <c r="CQ3" s="935">
        <f>+O7/CP3</f>
        <v>0.01</v>
      </c>
      <c r="CV3" s="935">
        <f>VLOOKUP(N11,CS4:CU14,3,FALSE)</f>
        <v>1</v>
      </c>
      <c r="CW3" s="935">
        <f>+O11/CV3</f>
        <v>1</v>
      </c>
      <c r="DB3" s="935">
        <f>VLOOKUP(N15,CY4:DA8,3,FALSE)</f>
        <v>1</v>
      </c>
      <c r="DC3" s="935">
        <f>+O15/DB3</f>
        <v>22000</v>
      </c>
      <c r="DH3" s="935">
        <f>VLOOKUP(N19,DE4:DG8,3,FALSE)</f>
        <v>1</v>
      </c>
      <c r="DI3" s="935">
        <f>+O19/DH3</f>
        <v>1</v>
      </c>
      <c r="DN3" s="935">
        <f>VLOOKUP(S3,DK4:DM8,3,FALSE)</f>
        <v>1</v>
      </c>
      <c r="DO3" s="935">
        <f>+T3/DN3</f>
        <v>1</v>
      </c>
      <c r="DT3" s="935">
        <f>VLOOKUP(S7,DQ4:DS8,3,FALSE)</f>
        <v>1</v>
      </c>
      <c r="DU3" s="935">
        <f>+T7/DT3</f>
        <v>1</v>
      </c>
      <c r="DZ3" s="935">
        <f>VLOOKUP(S11,DW4:DY8,3,FALSE)</f>
        <v>1</v>
      </c>
      <c r="EA3" s="935">
        <f>+T11/DZ3</f>
        <v>1</v>
      </c>
    </row>
    <row r="4" spans="1:131" ht="15" customHeight="1">
      <c r="A4" s="2289"/>
      <c r="D4" s="947">
        <v>8</v>
      </c>
      <c r="E4" s="936">
        <f>VLOOKUP(D4,Y4:AB12,4,FALSE)</f>
        <v>0.127</v>
      </c>
      <c r="F4" s="926"/>
      <c r="I4" s="947">
        <v>3</v>
      </c>
      <c r="J4" s="936">
        <f>VLOOKUP(I4,BC4:BF15,4,FALSE)</f>
        <v>381.67073999999997</v>
      </c>
      <c r="K4" s="926"/>
      <c r="N4" s="947">
        <v>5</v>
      </c>
      <c r="O4" s="936">
        <f>VLOOKUP(N4,CG4:CJ12,4,FALSE)</f>
        <v>6.7196900000000002E-4</v>
      </c>
      <c r="P4" s="926"/>
      <c r="S4" s="947">
        <v>5</v>
      </c>
      <c r="T4" s="936">
        <f>VLOOKUP(S4,DK4:DN8,4,FALSE)</f>
        <v>3.1545909999999999</v>
      </c>
      <c r="U4" s="941"/>
      <c r="V4" s="928"/>
      <c r="Y4" s="937">
        <v>1</v>
      </c>
      <c r="Z4" s="935" t="s">
        <v>1056</v>
      </c>
      <c r="AA4" s="938">
        <v>1.893939E-4</v>
      </c>
      <c r="AB4" s="935">
        <f t="shared" ref="AB4:AB12" si="0">+AA4*$AC$3</f>
        <v>7.8914125000000005E-8</v>
      </c>
      <c r="AE4" s="937">
        <v>1</v>
      </c>
      <c r="AF4" s="935" t="s">
        <v>1057</v>
      </c>
      <c r="AG4" s="938">
        <v>3.703704E-2</v>
      </c>
      <c r="AH4" s="935">
        <f t="shared" ref="AH4:AH14" si="1">+AG4*$AI$3</f>
        <v>1.1111112000000001</v>
      </c>
      <c r="AK4" s="937">
        <v>1</v>
      </c>
      <c r="AL4" s="935" t="s">
        <v>1058</v>
      </c>
      <c r="AM4" s="938">
        <v>3.7866750000000002E-4</v>
      </c>
      <c r="AN4" s="935">
        <f t="shared" ref="AN4:AN11" si="2">+AM4*$AO$3</f>
        <v>3.7866750000000002E-4</v>
      </c>
      <c r="AQ4" s="937">
        <v>1</v>
      </c>
      <c r="AR4" s="935" t="s">
        <v>1059</v>
      </c>
      <c r="AS4" s="938">
        <v>1</v>
      </c>
      <c r="AT4" s="935">
        <f t="shared" ref="AT4:AT17" si="3">+AS4*$AU$3</f>
        <v>3333.3333333333335</v>
      </c>
      <c r="AW4" s="937">
        <v>1</v>
      </c>
      <c r="AX4" s="935" t="s">
        <v>1060</v>
      </c>
      <c r="AY4" s="938">
        <v>1</v>
      </c>
      <c r="AZ4" s="935">
        <f t="shared" ref="AZ4:AZ15" si="4">+AY4*$BA$3</f>
        <v>0.36091193784807701</v>
      </c>
      <c r="BC4" s="937">
        <v>1</v>
      </c>
      <c r="BD4" s="935" t="s">
        <v>1061</v>
      </c>
      <c r="BE4" s="938">
        <v>1</v>
      </c>
      <c r="BF4" s="935">
        <f t="shared" ref="BF4:BF15" si="5">+BE4*$BG$3</f>
        <v>1800</v>
      </c>
      <c r="BI4" s="937">
        <v>1</v>
      </c>
      <c r="BJ4" s="935" t="s">
        <v>1062</v>
      </c>
      <c r="BK4" s="938">
        <v>3.9301480000000002E-4</v>
      </c>
      <c r="BL4" s="935">
        <f t="shared" ref="BL4:BL13" si="6">+BK4*$BM$3</f>
        <v>8.6463256000000008</v>
      </c>
      <c r="BO4" s="937">
        <v>1</v>
      </c>
      <c r="BP4" s="935" t="s">
        <v>1063</v>
      </c>
      <c r="BQ4" s="938">
        <v>9.842099999999999E-4</v>
      </c>
      <c r="BR4" s="935">
        <f t="shared" ref="BR4:BR14" si="7">+BQ4*$BS$3</f>
        <v>1.9684199999999997E-5</v>
      </c>
      <c r="BU4" s="937">
        <v>1</v>
      </c>
      <c r="BV4" s="935" t="s">
        <v>1064</v>
      </c>
      <c r="BW4" s="938">
        <v>1</v>
      </c>
      <c r="BX4" s="935">
        <f t="shared" ref="BX4:BX14" si="8">+BW4*$BY$3</f>
        <v>64583.462500258327</v>
      </c>
      <c r="CA4" s="937">
        <v>1</v>
      </c>
      <c r="CB4" s="935" t="s">
        <v>1065</v>
      </c>
      <c r="CC4" s="938">
        <v>1.6018460000000002E-2</v>
      </c>
      <c r="CD4" s="935">
        <f t="shared" ref="CD4:CD15" si="9">+CC4*$CE$3</f>
        <v>0.99955190400000005</v>
      </c>
      <c r="CF4" s="932"/>
      <c r="CG4" s="937">
        <v>1</v>
      </c>
      <c r="CH4" s="935" t="s">
        <v>1066</v>
      </c>
      <c r="CI4" s="935">
        <v>1</v>
      </c>
      <c r="CJ4" s="935">
        <f t="shared" ref="CJ4:CJ12" si="10">+CI4*$CK$3</f>
        <v>1</v>
      </c>
      <c r="CM4" s="937">
        <v>1</v>
      </c>
      <c r="CN4" s="935" t="s">
        <v>1067</v>
      </c>
      <c r="CO4" s="935">
        <v>100</v>
      </c>
      <c r="CP4" s="935">
        <f t="shared" ref="CP4:CP10" si="11">+CO4*$CQ$3</f>
        <v>1</v>
      </c>
      <c r="CS4" s="937">
        <v>1</v>
      </c>
      <c r="CT4" s="935" t="s">
        <v>1068</v>
      </c>
      <c r="CU4" s="938">
        <v>2.777778E-4</v>
      </c>
      <c r="CV4" s="935">
        <f t="shared" ref="CV4:CV14" si="12">+CU4*$CW$3</f>
        <v>2.777778E-4</v>
      </c>
      <c r="CY4" s="937">
        <v>1</v>
      </c>
      <c r="CZ4" s="935" t="s">
        <v>1069</v>
      </c>
      <c r="DA4" s="938">
        <v>1</v>
      </c>
      <c r="DB4" s="935">
        <f>+DA4*$DC$3</f>
        <v>22000</v>
      </c>
      <c r="DE4" s="937">
        <v>1</v>
      </c>
      <c r="DF4" s="935" t="s">
        <v>1070</v>
      </c>
      <c r="DG4" s="938">
        <v>1</v>
      </c>
      <c r="DH4" s="935">
        <f>+DG4*$DI$3</f>
        <v>1</v>
      </c>
      <c r="DK4" s="937">
        <v>1</v>
      </c>
      <c r="DL4" s="935" t="s">
        <v>1071</v>
      </c>
      <c r="DM4" s="938">
        <v>1</v>
      </c>
      <c r="DN4" s="935">
        <f>+DM4*$DO$3</f>
        <v>1</v>
      </c>
      <c r="DQ4" s="937">
        <v>1</v>
      </c>
      <c r="DR4" s="935" t="s">
        <v>1072</v>
      </c>
      <c r="DS4" s="938">
        <v>1</v>
      </c>
      <c r="DT4" s="935">
        <f>+DS4*$DU$3</f>
        <v>1</v>
      </c>
      <c r="DW4" s="937">
        <v>1</v>
      </c>
      <c r="DX4" s="935" t="s">
        <v>1073</v>
      </c>
      <c r="DY4" s="938">
        <v>1</v>
      </c>
      <c r="DZ4" s="935">
        <f>+DY4*$EA$3</f>
        <v>1</v>
      </c>
    </row>
    <row r="5" spans="1:131" ht="15" customHeight="1">
      <c r="E5" s="940"/>
      <c r="F5" s="926"/>
      <c r="J5" s="940"/>
      <c r="K5" s="926"/>
      <c r="O5" s="940"/>
      <c r="P5" s="926"/>
      <c r="T5" s="940"/>
      <c r="U5" s="941"/>
      <c r="V5" s="928"/>
      <c r="Y5" s="937">
        <v>2</v>
      </c>
      <c r="Z5" s="935" t="s">
        <v>1074</v>
      </c>
      <c r="AA5" s="935">
        <v>0.3333334</v>
      </c>
      <c r="AB5" s="935">
        <f t="shared" si="0"/>
        <v>1.3888891666666669E-4</v>
      </c>
      <c r="AE5" s="937">
        <v>2</v>
      </c>
      <c r="AF5" s="935" t="s">
        <v>1075</v>
      </c>
      <c r="AG5" s="935">
        <v>0.1781076</v>
      </c>
      <c r="AH5" s="935">
        <f t="shared" si="1"/>
        <v>5.3432279999999999</v>
      </c>
      <c r="AK5" s="937">
        <v>2</v>
      </c>
      <c r="AL5" s="935" t="s">
        <v>1076</v>
      </c>
      <c r="AM5" s="938">
        <v>9.0880189999999993E-3</v>
      </c>
      <c r="AN5" s="935">
        <f t="shared" si="2"/>
        <v>9.0880189999999993E-3</v>
      </c>
      <c r="AQ5" s="937">
        <v>2</v>
      </c>
      <c r="AR5" s="935" t="s">
        <v>1077</v>
      </c>
      <c r="AS5" s="938">
        <v>60</v>
      </c>
      <c r="AT5" s="935">
        <f t="shared" si="3"/>
        <v>200000</v>
      </c>
      <c r="AW5" s="937">
        <v>2</v>
      </c>
      <c r="AX5" s="935" t="s">
        <v>1078</v>
      </c>
      <c r="AY5" s="938">
        <v>2.0417719999999999</v>
      </c>
      <c r="AZ5" s="935">
        <f t="shared" si="4"/>
        <v>0.73689988916394389</v>
      </c>
      <c r="BC5" s="937">
        <v>2</v>
      </c>
      <c r="BD5" s="935" t="s">
        <v>1079</v>
      </c>
      <c r="BE5" s="935">
        <v>1.0139</v>
      </c>
      <c r="BF5" s="935">
        <f t="shared" si="5"/>
        <v>1825.02</v>
      </c>
      <c r="BI5" s="937">
        <v>2</v>
      </c>
      <c r="BJ5" s="935" t="s">
        <v>1080</v>
      </c>
      <c r="BK5" s="935">
        <v>1</v>
      </c>
      <c r="BL5" s="935">
        <f t="shared" si="6"/>
        <v>22000</v>
      </c>
      <c r="BO5" s="937">
        <v>2</v>
      </c>
      <c r="BP5" s="935" t="s">
        <v>1081</v>
      </c>
      <c r="BQ5" s="938">
        <v>1.1023000000000001E-3</v>
      </c>
      <c r="BR5" s="935">
        <f t="shared" si="7"/>
        <v>2.2046000000000002E-5</v>
      </c>
      <c r="BU5" s="937">
        <v>2</v>
      </c>
      <c r="BV5" s="935" t="s">
        <v>1082</v>
      </c>
      <c r="BW5" s="938">
        <v>144</v>
      </c>
      <c r="BX5" s="935">
        <f t="shared" si="8"/>
        <v>9300018.6000371985</v>
      </c>
      <c r="CA5" s="937">
        <v>2</v>
      </c>
      <c r="CB5" s="935" t="s">
        <v>1083</v>
      </c>
      <c r="CC5" s="938">
        <v>1.6018460000000002E-2</v>
      </c>
      <c r="CD5" s="935">
        <f t="shared" si="9"/>
        <v>0.99955190400000005</v>
      </c>
      <c r="CF5" s="932"/>
      <c r="CG5" s="937">
        <v>2</v>
      </c>
      <c r="CH5" s="935" t="s">
        <v>1084</v>
      </c>
      <c r="CI5" s="935">
        <v>0.01</v>
      </c>
      <c r="CJ5" s="935">
        <f t="shared" si="10"/>
        <v>0.01</v>
      </c>
      <c r="CM5" s="937">
        <v>2</v>
      </c>
      <c r="CN5" s="935" t="s">
        <v>1085</v>
      </c>
      <c r="CO5" s="935">
        <v>1</v>
      </c>
      <c r="CP5" s="935">
        <f t="shared" si="11"/>
        <v>0.01</v>
      </c>
      <c r="CS5" s="937">
        <v>2</v>
      </c>
      <c r="CT5" s="935" t="s">
        <v>1086</v>
      </c>
      <c r="CU5" s="938">
        <v>1.6666670000000001E-2</v>
      </c>
      <c r="CV5" s="935">
        <f t="shared" si="12"/>
        <v>1.6666670000000001E-2</v>
      </c>
      <c r="CY5" s="937">
        <v>2</v>
      </c>
      <c r="CZ5" s="935" t="s">
        <v>1087</v>
      </c>
      <c r="DA5" s="938">
        <v>1.35623E-4</v>
      </c>
      <c r="DB5" s="935">
        <f>+DA5*$DC$3</f>
        <v>2.9837060000000002</v>
      </c>
      <c r="DE5" s="937">
        <v>2</v>
      </c>
      <c r="DF5" s="935" t="s">
        <v>1088</v>
      </c>
      <c r="DG5" s="938">
        <v>4.1337889999999997E-3</v>
      </c>
      <c r="DH5" s="935">
        <f>+DG5*$DI$3</f>
        <v>4.1337889999999997E-3</v>
      </c>
      <c r="DK5" s="937">
        <v>2</v>
      </c>
      <c r="DL5" s="935" t="s">
        <v>1089</v>
      </c>
      <c r="DM5" s="938">
        <v>7.5346110000000001E-5</v>
      </c>
      <c r="DN5" s="935">
        <f>+DM5*$DO$3</f>
        <v>7.5346110000000001E-5</v>
      </c>
      <c r="DQ5" s="937">
        <v>2</v>
      </c>
      <c r="DR5" s="935" t="s">
        <v>1090</v>
      </c>
      <c r="DS5" s="938">
        <v>0.55555560000000004</v>
      </c>
      <c r="DT5" s="935">
        <f>+DS5*$DU$3</f>
        <v>0.55555560000000004</v>
      </c>
      <c r="DW5" s="937">
        <v>2</v>
      </c>
      <c r="DX5" s="935" t="s">
        <v>1091</v>
      </c>
      <c r="DY5" s="938">
        <v>1</v>
      </c>
      <c r="DZ5" s="935">
        <f>+DY5*$EA$3</f>
        <v>1</v>
      </c>
    </row>
    <row r="6" spans="1:131" ht="15" customHeight="1" thickBot="1">
      <c r="B6" s="929" t="s">
        <v>1092</v>
      </c>
      <c r="C6" s="930"/>
      <c r="D6" s="930"/>
      <c r="E6" s="943"/>
      <c r="F6" s="2288"/>
      <c r="G6" s="929" t="s">
        <v>1093</v>
      </c>
      <c r="H6" s="930"/>
      <c r="I6" s="930"/>
      <c r="J6" s="943"/>
      <c r="K6" s="2288"/>
      <c r="L6" s="929" t="s">
        <v>1094</v>
      </c>
      <c r="M6" s="930"/>
      <c r="N6" s="930"/>
      <c r="O6" s="943"/>
      <c r="P6" s="2288"/>
      <c r="Q6" s="929" t="s">
        <v>1095</v>
      </c>
      <c r="R6" s="930"/>
      <c r="S6" s="930"/>
      <c r="T6" s="943"/>
      <c r="U6" s="941"/>
      <c r="V6" s="928"/>
      <c r="Y6" s="937">
        <v>3</v>
      </c>
      <c r="Z6" s="935" t="s">
        <v>1096</v>
      </c>
      <c r="AA6" s="935">
        <v>1</v>
      </c>
      <c r="AB6" s="935">
        <f t="shared" si="0"/>
        <v>4.1666666666666669E-4</v>
      </c>
      <c r="AE6" s="937">
        <v>3</v>
      </c>
      <c r="AF6" s="935" t="s">
        <v>1097</v>
      </c>
      <c r="AG6" s="935">
        <v>1</v>
      </c>
      <c r="AH6" s="935">
        <f t="shared" si="1"/>
        <v>30</v>
      </c>
      <c r="AK6" s="937">
        <v>3</v>
      </c>
      <c r="AL6" s="935" t="s">
        <v>1098</v>
      </c>
      <c r="AM6" s="935">
        <v>0.37866749999999999</v>
      </c>
      <c r="AN6" s="935">
        <f t="shared" si="2"/>
        <v>0.37866749999999999</v>
      </c>
      <c r="AQ6" s="937">
        <v>3</v>
      </c>
      <c r="AR6" s="935" t="s">
        <v>1099</v>
      </c>
      <c r="AS6" s="935">
        <v>3600</v>
      </c>
      <c r="AT6" s="935">
        <f t="shared" si="3"/>
        <v>12000000</v>
      </c>
      <c r="AW6" s="937">
        <v>3</v>
      </c>
      <c r="AX6" s="935" t="s">
        <v>1100</v>
      </c>
      <c r="AY6" s="935">
        <v>51.71508</v>
      </c>
      <c r="AZ6" s="935">
        <f t="shared" si="4"/>
        <v>18.664589738768331</v>
      </c>
      <c r="BC6" s="937">
        <v>3</v>
      </c>
      <c r="BD6" s="935" t="s">
        <v>1101</v>
      </c>
      <c r="BE6" s="938">
        <v>0.21203929999999999</v>
      </c>
      <c r="BF6" s="935">
        <f t="shared" si="5"/>
        <v>381.67073999999997</v>
      </c>
      <c r="BI6" s="937">
        <v>3</v>
      </c>
      <c r="BJ6" s="935" t="s">
        <v>1102</v>
      </c>
      <c r="BK6" s="938">
        <v>778.16930000000002</v>
      </c>
      <c r="BL6" s="935">
        <f t="shared" si="6"/>
        <v>17119724.600000001</v>
      </c>
      <c r="BO6" s="937">
        <v>3</v>
      </c>
      <c r="BP6" s="935" t="s">
        <v>1103</v>
      </c>
      <c r="BQ6" s="938">
        <v>1E-3</v>
      </c>
      <c r="BR6" s="935">
        <f t="shared" si="7"/>
        <v>2.0000000000000002E-5</v>
      </c>
      <c r="BU6" s="937">
        <v>3</v>
      </c>
      <c r="BV6" s="935" t="s">
        <v>1104</v>
      </c>
      <c r="BW6" s="938">
        <v>0.1111111</v>
      </c>
      <c r="BX6" s="935">
        <f t="shared" si="8"/>
        <v>7175.9395602124532</v>
      </c>
      <c r="CA6" s="937">
        <v>3</v>
      </c>
      <c r="CB6" s="935" t="s">
        <v>1105</v>
      </c>
      <c r="CC6" s="938">
        <v>16.018460000000001</v>
      </c>
      <c r="CD6" s="935">
        <f t="shared" si="9"/>
        <v>999.55190400000004</v>
      </c>
      <c r="CF6" s="932"/>
      <c r="CG6" s="937">
        <v>3</v>
      </c>
      <c r="CH6" s="935" t="s">
        <v>1106</v>
      </c>
      <c r="CI6" s="935">
        <v>1E-3</v>
      </c>
      <c r="CJ6" s="935">
        <f t="shared" si="10"/>
        <v>1E-3</v>
      </c>
      <c r="CM6" s="937">
        <v>3</v>
      </c>
      <c r="CN6" s="935" t="s">
        <v>1107</v>
      </c>
      <c r="CO6" s="935">
        <v>1.0763909999999999E-3</v>
      </c>
      <c r="CP6" s="935">
        <f t="shared" si="11"/>
        <v>1.0763909999999999E-5</v>
      </c>
      <c r="CS6" s="937">
        <v>3</v>
      </c>
      <c r="CT6" s="935" t="s">
        <v>1108</v>
      </c>
      <c r="CU6" s="935">
        <v>1</v>
      </c>
      <c r="CV6" s="935">
        <f t="shared" si="12"/>
        <v>1</v>
      </c>
      <c r="CY6" s="937">
        <v>3</v>
      </c>
      <c r="CZ6" s="935" t="s">
        <v>1109</v>
      </c>
      <c r="DA6" s="938">
        <v>5.6782640000000004E-4</v>
      </c>
      <c r="DB6" s="935">
        <f>+DA6*$DC$3</f>
        <v>12.492180800000002</v>
      </c>
      <c r="DE6" s="937">
        <v>3</v>
      </c>
      <c r="DF6" s="935" t="s">
        <v>1110</v>
      </c>
      <c r="DG6" s="938">
        <v>1.7307349999999999E-2</v>
      </c>
      <c r="DH6" s="935">
        <f>+DG6*$DI$3</f>
        <v>1.7307349999999999E-2</v>
      </c>
      <c r="DK6" s="937">
        <v>3</v>
      </c>
      <c r="DL6" s="935" t="s">
        <v>1111</v>
      </c>
      <c r="DM6" s="938">
        <v>3.1545910000000001E-4</v>
      </c>
      <c r="DN6" s="935">
        <f>+DM6*$DO$3</f>
        <v>3.1545910000000001E-4</v>
      </c>
      <c r="DQ6" s="937">
        <v>3</v>
      </c>
      <c r="DR6" s="935" t="s">
        <v>1112</v>
      </c>
      <c r="DS6" s="938">
        <v>2.3260000000000001</v>
      </c>
      <c r="DT6" s="935">
        <f>+DS6*$DU$3</f>
        <v>2.3260000000000001</v>
      </c>
      <c r="DW6" s="937">
        <v>3</v>
      </c>
      <c r="DX6" s="935" t="s">
        <v>1113</v>
      </c>
      <c r="DY6" s="938">
        <v>4.1867999999999999</v>
      </c>
      <c r="DZ6" s="935">
        <f>+DY6*$EA$3</f>
        <v>4.1867999999999999</v>
      </c>
    </row>
    <row r="7" spans="1:131" ht="15" customHeight="1" thickBot="1">
      <c r="A7" s="2291"/>
      <c r="D7" s="947">
        <v>3</v>
      </c>
      <c r="E7" s="2290">
        <v>30</v>
      </c>
      <c r="F7" s="926"/>
      <c r="I7" s="947">
        <v>2</v>
      </c>
      <c r="J7" s="2290">
        <v>22000</v>
      </c>
      <c r="K7" s="926"/>
      <c r="N7" s="947">
        <v>1</v>
      </c>
      <c r="O7" s="2290">
        <v>1</v>
      </c>
      <c r="P7" s="926"/>
      <c r="S7" s="947">
        <v>1</v>
      </c>
      <c r="T7" s="2290">
        <v>1</v>
      </c>
      <c r="U7" s="941"/>
      <c r="V7" s="928"/>
      <c r="Y7" s="937">
        <v>4</v>
      </c>
      <c r="Z7" s="935" t="s">
        <v>1114</v>
      </c>
      <c r="AA7" s="935">
        <v>12</v>
      </c>
      <c r="AB7" s="935">
        <f t="shared" si="0"/>
        <v>5.0000000000000001E-3</v>
      </c>
      <c r="AE7" s="937">
        <v>4</v>
      </c>
      <c r="AF7" s="935" t="s">
        <v>1115</v>
      </c>
      <c r="AG7" s="935">
        <v>6.2288329999999998</v>
      </c>
      <c r="AH7" s="935">
        <f t="shared" si="1"/>
        <v>186.86499000000001</v>
      </c>
      <c r="AK7" s="937">
        <v>4</v>
      </c>
      <c r="AL7" s="935" t="s">
        <v>1116</v>
      </c>
      <c r="AM7" s="935">
        <v>9.0880179999999999</v>
      </c>
      <c r="AN7" s="935">
        <f t="shared" si="2"/>
        <v>9.0880179999999999</v>
      </c>
      <c r="AQ7" s="937">
        <v>4</v>
      </c>
      <c r="AR7" s="935" t="s">
        <v>1117</v>
      </c>
      <c r="AS7" s="935">
        <v>641.18740000000003</v>
      </c>
      <c r="AT7" s="935">
        <f t="shared" si="3"/>
        <v>2137291.3333333335</v>
      </c>
      <c r="AW7" s="937">
        <v>4</v>
      </c>
      <c r="AX7" s="935" t="s">
        <v>1118</v>
      </c>
      <c r="AY7" s="935">
        <v>2.3089659999999999</v>
      </c>
      <c r="AZ7" s="935">
        <f t="shared" si="4"/>
        <v>0.83333339348532298</v>
      </c>
      <c r="BC7" s="937">
        <v>4</v>
      </c>
      <c r="BD7" s="935" t="s">
        <v>1119</v>
      </c>
      <c r="BE7" s="935">
        <v>42.390549999999998</v>
      </c>
      <c r="BF7" s="935">
        <f t="shared" si="5"/>
        <v>76302.989999999991</v>
      </c>
      <c r="BI7" s="937">
        <v>4</v>
      </c>
      <c r="BJ7" s="935" t="s">
        <v>1120</v>
      </c>
      <c r="BK7" s="938">
        <v>2.9307109999999998E-4</v>
      </c>
      <c r="BL7" s="935">
        <f t="shared" si="6"/>
        <v>6.4475641999999995</v>
      </c>
      <c r="BO7" s="937">
        <v>4</v>
      </c>
      <c r="BP7" s="935" t="s">
        <v>1121</v>
      </c>
      <c r="BQ7" s="938">
        <v>2.2046000000000001</v>
      </c>
      <c r="BR7" s="935">
        <f t="shared" si="7"/>
        <v>4.4092000000000006E-2</v>
      </c>
      <c r="BU7" s="937">
        <v>4</v>
      </c>
      <c r="BV7" s="935" t="s">
        <v>1122</v>
      </c>
      <c r="BW7" s="938">
        <v>3.5870069999999999E-8</v>
      </c>
      <c r="BX7" s="935">
        <f t="shared" si="8"/>
        <v>2.3166133207266413E-3</v>
      </c>
      <c r="CA7" s="937">
        <v>4</v>
      </c>
      <c r="CB7" s="935" t="s">
        <v>1123</v>
      </c>
      <c r="CC7" s="938">
        <v>60.636450799999999</v>
      </c>
      <c r="CD7" s="935">
        <f t="shared" si="9"/>
        <v>3783.7145299199997</v>
      </c>
      <c r="CF7" s="932"/>
      <c r="CG7" s="937">
        <v>4</v>
      </c>
      <c r="CH7" s="935" t="s">
        <v>1124</v>
      </c>
      <c r="CI7" s="935">
        <v>2.4190879999999999</v>
      </c>
      <c r="CJ7" s="935">
        <f t="shared" si="10"/>
        <v>2.4190879999999999</v>
      </c>
      <c r="CM7" s="937">
        <v>4</v>
      </c>
      <c r="CN7" s="935" t="s">
        <v>1125</v>
      </c>
      <c r="CO7" s="935">
        <v>3.8750079999999998</v>
      </c>
      <c r="CP7" s="935">
        <f t="shared" si="11"/>
        <v>3.8750079999999999E-2</v>
      </c>
      <c r="CS7" s="937">
        <v>4</v>
      </c>
      <c r="CT7" s="935" t="s">
        <v>1126</v>
      </c>
      <c r="CU7" s="935">
        <v>24</v>
      </c>
      <c r="CV7" s="935">
        <f t="shared" si="12"/>
        <v>24</v>
      </c>
      <c r="CY7" s="937">
        <v>4</v>
      </c>
      <c r="CZ7" s="935" t="s">
        <v>1127</v>
      </c>
      <c r="DA7" s="935">
        <v>4.882428</v>
      </c>
      <c r="DB7" s="935">
        <f>+DA7*$DC$3</f>
        <v>107413.416</v>
      </c>
      <c r="DE7" s="937">
        <v>4</v>
      </c>
      <c r="DF7" s="935" t="s">
        <v>1128</v>
      </c>
      <c r="DG7" s="935">
        <v>1.488164</v>
      </c>
      <c r="DH7" s="935">
        <f>+DG7*$DI$3</f>
        <v>1.488164</v>
      </c>
      <c r="DK7" s="937">
        <v>4</v>
      </c>
      <c r="DL7" s="935" t="s">
        <v>1129</v>
      </c>
      <c r="DM7" s="935">
        <v>2.7124600000000001</v>
      </c>
      <c r="DN7" s="935">
        <f>+DM7*$DO$3</f>
        <v>2.7124600000000001</v>
      </c>
      <c r="DQ7" s="937">
        <v>4</v>
      </c>
      <c r="DR7" s="935" t="s">
        <v>1130</v>
      </c>
      <c r="DS7" s="935">
        <v>555.55560000000003</v>
      </c>
      <c r="DT7" s="935">
        <f>+DS7*$DU$3</f>
        <v>555.55560000000003</v>
      </c>
      <c r="DW7" s="937">
        <v>4</v>
      </c>
      <c r="DX7" s="935" t="s">
        <v>1131</v>
      </c>
      <c r="DY7" s="935">
        <v>1000</v>
      </c>
      <c r="DZ7" s="935">
        <f>+DY7*$EA$3</f>
        <v>1000</v>
      </c>
    </row>
    <row r="8" spans="1:131" ht="15" customHeight="1">
      <c r="A8" s="2291"/>
      <c r="D8" s="947">
        <v>8</v>
      </c>
      <c r="E8" s="936">
        <f>VLOOKUP(D8,AE4:AH14,4,FALSE)</f>
        <v>0.84950550000000002</v>
      </c>
      <c r="F8" s="926"/>
      <c r="I8" s="947">
        <v>8</v>
      </c>
      <c r="J8" s="936">
        <f>VLOOKUP(I8,BI4:BL13,4,FALSE)</f>
        <v>23211232</v>
      </c>
      <c r="K8" s="926"/>
      <c r="N8" s="947">
        <v>5</v>
      </c>
      <c r="O8" s="936">
        <f>VLOOKUP(N8,CM4:CP10,4,FALSE)</f>
        <v>1.0000000000000002E-6</v>
      </c>
      <c r="P8" s="926"/>
      <c r="S8" s="947">
        <v>5</v>
      </c>
      <c r="T8" s="936">
        <f>VLOOKUP(S8,DQ4:DT8,4,FALSE)</f>
        <v>2326</v>
      </c>
      <c r="U8" s="941"/>
      <c r="V8" s="928"/>
      <c r="Y8" s="937">
        <v>5</v>
      </c>
      <c r="Z8" s="935" t="s">
        <v>1132</v>
      </c>
      <c r="AA8" s="938">
        <v>3.0479999999999998E-4</v>
      </c>
      <c r="AB8" s="935">
        <f t="shared" si="0"/>
        <v>1.2700000000000001E-7</v>
      </c>
      <c r="AE8" s="937">
        <v>5</v>
      </c>
      <c r="AF8" s="935" t="s">
        <v>1133</v>
      </c>
      <c r="AG8" s="938">
        <v>7.4805190000000001</v>
      </c>
      <c r="AH8" s="935">
        <f t="shared" si="1"/>
        <v>224.41557</v>
      </c>
      <c r="AK8" s="937">
        <v>5</v>
      </c>
      <c r="AL8" s="935" t="s">
        <v>1134</v>
      </c>
      <c r="AM8" s="938">
        <v>1</v>
      </c>
      <c r="AN8" s="935">
        <f t="shared" si="2"/>
        <v>1</v>
      </c>
      <c r="AQ8" s="937">
        <v>5</v>
      </c>
      <c r="AR8" s="935" t="s">
        <v>1135</v>
      </c>
      <c r="AS8" s="938">
        <v>15388.5</v>
      </c>
      <c r="AT8" s="935">
        <f t="shared" si="3"/>
        <v>51295000</v>
      </c>
      <c r="AW8" s="937">
        <v>5</v>
      </c>
      <c r="AX8" s="935" t="s">
        <v>1136</v>
      </c>
      <c r="AY8" s="938">
        <v>27.70759</v>
      </c>
      <c r="AZ8" s="935">
        <f t="shared" si="4"/>
        <v>10</v>
      </c>
      <c r="BC8" s="937">
        <v>5</v>
      </c>
      <c r="BD8" s="935" t="s">
        <v>1137</v>
      </c>
      <c r="BE8" s="935">
        <v>2544.433</v>
      </c>
      <c r="BF8" s="935">
        <f t="shared" si="5"/>
        <v>4579979.4000000004</v>
      </c>
      <c r="BI8" s="937">
        <v>5</v>
      </c>
      <c r="BJ8" s="935" t="s">
        <v>1138</v>
      </c>
      <c r="BK8" s="935">
        <v>252.1644</v>
      </c>
      <c r="BL8" s="935">
        <f t="shared" si="6"/>
        <v>5547616.7999999998</v>
      </c>
      <c r="BO8" s="937">
        <v>5</v>
      </c>
      <c r="BP8" s="935" t="s">
        <v>1139</v>
      </c>
      <c r="BQ8" s="935">
        <v>35.274000000000001</v>
      </c>
      <c r="BR8" s="935">
        <f t="shared" si="7"/>
        <v>0.70548</v>
      </c>
      <c r="BU8" s="937">
        <v>5</v>
      </c>
      <c r="BV8" s="935" t="s">
        <v>1140</v>
      </c>
      <c r="BW8" s="935">
        <v>92903.039999999994</v>
      </c>
      <c r="BX8" s="935">
        <f t="shared" si="8"/>
        <v>5999999999.999999</v>
      </c>
      <c r="CA8" s="937">
        <v>5</v>
      </c>
      <c r="CB8" s="935" t="s">
        <v>1141</v>
      </c>
      <c r="CC8" s="935">
        <v>16.018460000000001</v>
      </c>
      <c r="CD8" s="935">
        <f t="shared" si="9"/>
        <v>999.55190400000004</v>
      </c>
      <c r="CF8" s="932"/>
      <c r="CG8" s="937">
        <v>5</v>
      </c>
      <c r="CH8" s="935" t="s">
        <v>1142</v>
      </c>
      <c r="CI8" s="938">
        <v>6.7196900000000002E-4</v>
      </c>
      <c r="CJ8" s="935">
        <f t="shared" si="10"/>
        <v>6.7196900000000002E-4</v>
      </c>
      <c r="CM8" s="937">
        <v>5</v>
      </c>
      <c r="CN8" s="935" t="s">
        <v>1143</v>
      </c>
      <c r="CO8" s="938">
        <v>1E-4</v>
      </c>
      <c r="CP8" s="935">
        <f t="shared" si="11"/>
        <v>1.0000000000000002E-6</v>
      </c>
      <c r="CS8" s="937">
        <v>5</v>
      </c>
      <c r="CT8" s="935" t="s">
        <v>1144</v>
      </c>
      <c r="CU8" s="938">
        <v>1.2599789999999999E-4</v>
      </c>
      <c r="CV8" s="935">
        <f t="shared" si="12"/>
        <v>1.2599789999999999E-4</v>
      </c>
      <c r="CY8" s="937">
        <v>5</v>
      </c>
      <c r="CZ8" s="935" t="s">
        <v>1145</v>
      </c>
      <c r="DA8" s="938">
        <v>5.6782640000000004</v>
      </c>
      <c r="DB8" s="935">
        <f>+DA8*$DC$3</f>
        <v>124921.808</v>
      </c>
      <c r="DE8" s="937">
        <v>5</v>
      </c>
      <c r="DF8" s="935" t="s">
        <v>1146</v>
      </c>
      <c r="DG8" s="938">
        <v>1.7307349999999999</v>
      </c>
      <c r="DH8" s="935">
        <f>+DG8*$DI$3</f>
        <v>1.7307349999999999</v>
      </c>
      <c r="DK8" s="937">
        <v>5</v>
      </c>
      <c r="DL8" s="935" t="s">
        <v>1147</v>
      </c>
      <c r="DM8" s="938">
        <v>3.1545909999999999</v>
      </c>
      <c r="DN8" s="935">
        <f>+DM8*$DO$3</f>
        <v>3.1545909999999999</v>
      </c>
      <c r="DQ8" s="937">
        <v>5</v>
      </c>
      <c r="DR8" s="935" t="s">
        <v>1148</v>
      </c>
      <c r="DS8" s="938">
        <v>2326</v>
      </c>
      <c r="DT8" s="935">
        <f>+DS8*$DU$3</f>
        <v>2326</v>
      </c>
      <c r="DW8" s="937">
        <v>5</v>
      </c>
      <c r="DX8" s="935" t="s">
        <v>1149</v>
      </c>
      <c r="DY8" s="938">
        <v>4186.8</v>
      </c>
      <c r="DZ8" s="935">
        <f>+DY8*$EA$3</f>
        <v>4186.8</v>
      </c>
    </row>
    <row r="9" spans="1:131" ht="15" customHeight="1">
      <c r="E9" s="940"/>
      <c r="F9" s="926"/>
      <c r="J9" s="940"/>
      <c r="K9" s="926"/>
      <c r="O9" s="940"/>
      <c r="P9" s="926"/>
      <c r="T9" s="940"/>
      <c r="U9" s="941"/>
      <c r="Y9" s="937">
        <v>6</v>
      </c>
      <c r="Z9" s="935" t="s">
        <v>1150</v>
      </c>
      <c r="AA9" s="938">
        <v>0.30480000000000002</v>
      </c>
      <c r="AB9" s="935">
        <f t="shared" si="0"/>
        <v>1.2700000000000002E-4</v>
      </c>
      <c r="AE9" s="937">
        <v>6</v>
      </c>
      <c r="AF9" s="935" t="s">
        <v>1151</v>
      </c>
      <c r="AG9" s="935">
        <v>957.50649999999996</v>
      </c>
      <c r="AH9" s="935">
        <f t="shared" si="1"/>
        <v>28725.195</v>
      </c>
      <c r="AK9" s="937">
        <v>6</v>
      </c>
      <c r="AL9" s="935" t="s">
        <v>1152</v>
      </c>
      <c r="AM9" s="935">
        <v>24</v>
      </c>
      <c r="AN9" s="935">
        <f t="shared" si="2"/>
        <v>24</v>
      </c>
      <c r="AQ9" s="937">
        <v>6</v>
      </c>
      <c r="AR9" s="935" t="s">
        <v>1153</v>
      </c>
      <c r="AS9" s="935">
        <v>448.83120000000002</v>
      </c>
      <c r="AT9" s="935">
        <f t="shared" si="3"/>
        <v>1496104.0000000002</v>
      </c>
      <c r="AW9" s="937">
        <v>6</v>
      </c>
      <c r="AX9" s="935" t="s">
        <v>1154</v>
      </c>
      <c r="AY9" s="935">
        <v>51.71508</v>
      </c>
      <c r="AZ9" s="935">
        <f t="shared" si="4"/>
        <v>18.664589738768331</v>
      </c>
      <c r="BC9" s="937">
        <v>6</v>
      </c>
      <c r="BD9" s="935" t="s">
        <v>218</v>
      </c>
      <c r="BE9" s="935">
        <v>0.74569989999999997</v>
      </c>
      <c r="BF9" s="935">
        <f t="shared" si="5"/>
        <v>1342.25982</v>
      </c>
      <c r="BI9" s="937">
        <v>6</v>
      </c>
      <c r="BJ9" s="935" t="s">
        <v>1155</v>
      </c>
      <c r="BK9" s="935">
        <v>0.25216440000000001</v>
      </c>
      <c r="BL9" s="935">
        <f t="shared" si="6"/>
        <v>5547.6167999999998</v>
      </c>
      <c r="BO9" s="937">
        <v>6</v>
      </c>
      <c r="BP9" s="935" t="s">
        <v>1156</v>
      </c>
      <c r="BQ9" s="935">
        <v>1</v>
      </c>
      <c r="BR9" s="935">
        <f t="shared" si="7"/>
        <v>0.02</v>
      </c>
      <c r="BU9" s="937">
        <v>6</v>
      </c>
      <c r="BV9" s="935" t="s">
        <v>1157</v>
      </c>
      <c r="BW9" s="935">
        <v>929.03039999999999</v>
      </c>
      <c r="BX9" s="935">
        <f t="shared" si="8"/>
        <v>59999999.999999993</v>
      </c>
      <c r="CA9" s="937">
        <v>6</v>
      </c>
      <c r="CB9" s="935" t="s">
        <v>1158</v>
      </c>
      <c r="CC9" s="938">
        <v>5.7870369999999999E-4</v>
      </c>
      <c r="CD9" s="935">
        <f t="shared" si="9"/>
        <v>3.6111110879999998E-2</v>
      </c>
      <c r="CF9" s="932"/>
      <c r="CG9" s="937">
        <v>6</v>
      </c>
      <c r="CH9" s="935" t="s">
        <v>1159</v>
      </c>
      <c r="CI9" s="938">
        <v>2.0885440000000001E-5</v>
      </c>
      <c r="CJ9" s="935">
        <f t="shared" si="10"/>
        <v>2.0885440000000001E-5</v>
      </c>
      <c r="CM9" s="937">
        <v>6</v>
      </c>
      <c r="CN9" s="935" t="s">
        <v>1160</v>
      </c>
      <c r="CO9" s="938">
        <v>0.36</v>
      </c>
      <c r="CP9" s="935">
        <f t="shared" si="11"/>
        <v>3.5999999999999999E-3</v>
      </c>
      <c r="CS9" s="937">
        <v>6</v>
      </c>
      <c r="CT9" s="935" t="s">
        <v>1161</v>
      </c>
      <c r="CU9" s="938">
        <v>7.5598729999999999E-3</v>
      </c>
      <c r="CV9" s="935">
        <f t="shared" si="12"/>
        <v>7.5598729999999999E-3</v>
      </c>
      <c r="CY9" s="937"/>
      <c r="CZ9" s="935"/>
      <c r="DA9" s="938"/>
      <c r="DE9" s="937"/>
      <c r="DF9" s="935"/>
      <c r="DG9" s="938"/>
      <c r="DK9" s="937"/>
      <c r="DL9" s="935"/>
      <c r="DM9" s="938"/>
      <c r="DQ9" s="937"/>
      <c r="DR9" s="935"/>
      <c r="DS9" s="938"/>
      <c r="DW9" s="937"/>
      <c r="DX9" s="935"/>
      <c r="DY9" s="938"/>
    </row>
    <row r="10" spans="1:131" ht="15" customHeight="1" thickBot="1">
      <c r="B10" s="929" t="s">
        <v>1162</v>
      </c>
      <c r="C10" s="930"/>
      <c r="D10" s="930"/>
      <c r="E10" s="943"/>
      <c r="F10" s="2288"/>
      <c r="G10" s="929" t="s">
        <v>1163</v>
      </c>
      <c r="H10" s="930"/>
      <c r="I10" s="930"/>
      <c r="J10" s="943"/>
      <c r="K10" s="2288"/>
      <c r="L10" s="929" t="s">
        <v>1164</v>
      </c>
      <c r="M10" s="930"/>
      <c r="N10" s="930"/>
      <c r="O10" s="943"/>
      <c r="P10" s="2288"/>
      <c r="Q10" s="929" t="s">
        <v>1165</v>
      </c>
      <c r="R10" s="930"/>
      <c r="S10" s="930"/>
      <c r="T10" s="943"/>
      <c r="U10" s="941"/>
      <c r="V10" s="928"/>
      <c r="Y10" s="937">
        <v>7</v>
      </c>
      <c r="Z10" s="935" t="s">
        <v>1166</v>
      </c>
      <c r="AA10" s="938">
        <v>30.48</v>
      </c>
      <c r="AB10" s="935">
        <f t="shared" si="0"/>
        <v>1.2700000000000001E-2</v>
      </c>
      <c r="AE10" s="937">
        <v>7</v>
      </c>
      <c r="AF10" s="935" t="s">
        <v>1167</v>
      </c>
      <c r="AG10" s="935">
        <v>1728</v>
      </c>
      <c r="AH10" s="935">
        <f t="shared" si="1"/>
        <v>51840</v>
      </c>
      <c r="AK10" s="937">
        <v>7</v>
      </c>
      <c r="AL10" s="935" t="s">
        <v>1168</v>
      </c>
      <c r="AM10" s="935">
        <v>453.5924</v>
      </c>
      <c r="AN10" s="935">
        <f t="shared" si="2"/>
        <v>453.5924</v>
      </c>
      <c r="AQ10" s="937">
        <v>7</v>
      </c>
      <c r="AR10" s="935" t="s">
        <v>1169</v>
      </c>
      <c r="AS10" s="935">
        <v>646316.9</v>
      </c>
      <c r="AT10" s="935">
        <f t="shared" si="3"/>
        <v>2154389666.666667</v>
      </c>
      <c r="AW10" s="937">
        <v>7</v>
      </c>
      <c r="AX10" s="935" t="s">
        <v>1170</v>
      </c>
      <c r="AY10" s="938">
        <v>6.8045960000000003E-2</v>
      </c>
      <c r="AZ10" s="935">
        <f t="shared" si="4"/>
        <v>2.4558599286332736E-2</v>
      </c>
      <c r="BC10" s="937">
        <v>7</v>
      </c>
      <c r="BD10" s="935" t="s">
        <v>1171</v>
      </c>
      <c r="BE10" s="938">
        <v>178.23</v>
      </c>
      <c r="BF10" s="935">
        <f t="shared" si="5"/>
        <v>320814</v>
      </c>
      <c r="BI10" s="937">
        <v>7</v>
      </c>
      <c r="BJ10" s="935" t="s">
        <v>1172</v>
      </c>
      <c r="BK10" s="938">
        <v>1055.056</v>
      </c>
      <c r="BL10" s="935">
        <f t="shared" si="6"/>
        <v>23211232</v>
      </c>
      <c r="BO10" s="937">
        <v>7</v>
      </c>
      <c r="BP10" s="935" t="s">
        <v>1173</v>
      </c>
      <c r="BQ10" s="938">
        <v>1000</v>
      </c>
      <c r="BR10" s="935">
        <f t="shared" si="7"/>
        <v>20</v>
      </c>
      <c r="BU10" s="937">
        <v>7</v>
      </c>
      <c r="BV10" s="935" t="s">
        <v>1174</v>
      </c>
      <c r="BW10" s="938">
        <v>9.2903040000000006E-2</v>
      </c>
      <c r="BX10" s="935">
        <f t="shared" si="8"/>
        <v>6000</v>
      </c>
      <c r="CA10" s="937">
        <v>7</v>
      </c>
      <c r="CB10" s="935" t="s">
        <v>1175</v>
      </c>
      <c r="CC10" s="938">
        <v>1</v>
      </c>
      <c r="CD10" s="935">
        <f t="shared" si="9"/>
        <v>62.4</v>
      </c>
      <c r="CF10" s="932"/>
      <c r="CG10" s="937">
        <v>7</v>
      </c>
      <c r="CH10" s="935" t="s">
        <v>1176</v>
      </c>
      <c r="CI10" s="938">
        <v>1.4503779999999999E-7</v>
      </c>
      <c r="CJ10" s="935">
        <f t="shared" si="10"/>
        <v>1.4503779999999999E-7</v>
      </c>
      <c r="CM10" s="937">
        <v>7</v>
      </c>
      <c r="CN10" s="935" t="s">
        <v>1177</v>
      </c>
      <c r="CO10" s="938">
        <v>1</v>
      </c>
      <c r="CP10" s="935">
        <f t="shared" si="11"/>
        <v>0.01</v>
      </c>
      <c r="CS10" s="937">
        <v>7</v>
      </c>
      <c r="CT10" s="935" t="s">
        <v>1178</v>
      </c>
      <c r="CU10" s="938">
        <v>0.45359240000000001</v>
      </c>
      <c r="CV10" s="935">
        <f t="shared" si="12"/>
        <v>0.45359240000000001</v>
      </c>
      <c r="CY10" s="937"/>
      <c r="CZ10" s="935"/>
      <c r="DA10" s="938"/>
      <c r="DE10" s="937"/>
      <c r="DF10" s="935"/>
      <c r="DG10" s="938"/>
      <c r="DK10" s="937"/>
      <c r="DL10" s="935"/>
      <c r="DM10" s="938"/>
      <c r="DQ10" s="937"/>
      <c r="DR10" s="935"/>
      <c r="DS10" s="938"/>
      <c r="DW10" s="937"/>
      <c r="DX10" s="935"/>
      <c r="DY10" s="938"/>
    </row>
    <row r="11" spans="1:131" ht="15" customHeight="1" thickBot="1">
      <c r="A11" s="2291"/>
      <c r="D11" s="947">
        <v>5</v>
      </c>
      <c r="E11" s="2290">
        <v>1</v>
      </c>
      <c r="F11" s="926"/>
      <c r="I11" s="947">
        <v>7</v>
      </c>
      <c r="J11" s="2290">
        <v>20</v>
      </c>
      <c r="K11" s="926"/>
      <c r="N11" s="947">
        <v>3</v>
      </c>
      <c r="O11" s="2290">
        <v>1</v>
      </c>
      <c r="P11" s="926"/>
      <c r="S11" s="947">
        <v>1</v>
      </c>
      <c r="T11" s="2290">
        <v>1</v>
      </c>
      <c r="U11" s="941"/>
      <c r="V11" s="928"/>
      <c r="Y11" s="937">
        <v>8</v>
      </c>
      <c r="Z11" s="935" t="s">
        <v>286</v>
      </c>
      <c r="AA11" s="938">
        <v>304.8</v>
      </c>
      <c r="AB11" s="935">
        <f t="shared" si="0"/>
        <v>0.127</v>
      </c>
      <c r="AE11" s="937">
        <v>8</v>
      </c>
      <c r="AF11" s="935" t="s">
        <v>1179</v>
      </c>
      <c r="AG11" s="938">
        <v>2.8316850000000001E-2</v>
      </c>
      <c r="AH11" s="935">
        <f t="shared" si="1"/>
        <v>0.84950550000000002</v>
      </c>
      <c r="AK11" s="937">
        <v>8</v>
      </c>
      <c r="AL11" s="935" t="s">
        <v>1180</v>
      </c>
      <c r="AM11" s="938">
        <v>10886.22</v>
      </c>
      <c r="AN11" s="935">
        <f t="shared" si="2"/>
        <v>10886.22</v>
      </c>
      <c r="AQ11" s="937">
        <v>8</v>
      </c>
      <c r="AR11" s="935" t="s">
        <v>1181</v>
      </c>
      <c r="AS11" s="938">
        <v>2.8316850000000001E-2</v>
      </c>
      <c r="AT11" s="935">
        <f t="shared" si="3"/>
        <v>94.389500000000012</v>
      </c>
      <c r="AW11" s="937">
        <v>8</v>
      </c>
      <c r="AX11" s="935" t="s">
        <v>1182</v>
      </c>
      <c r="AY11" s="938">
        <v>6.894757E-2</v>
      </c>
      <c r="AZ11" s="935">
        <f t="shared" si="4"/>
        <v>2.4884001098615938E-2</v>
      </c>
      <c r="BC11" s="937">
        <v>8</v>
      </c>
      <c r="BD11" s="935" t="s">
        <v>1183</v>
      </c>
      <c r="BE11" s="935">
        <v>10693.8</v>
      </c>
      <c r="BF11" s="935">
        <f t="shared" si="5"/>
        <v>19248840</v>
      </c>
      <c r="BI11" s="937">
        <v>8</v>
      </c>
      <c r="BJ11" s="935" t="s">
        <v>1184</v>
      </c>
      <c r="BK11" s="935">
        <v>1055.056</v>
      </c>
      <c r="BL11" s="935">
        <f t="shared" si="6"/>
        <v>23211232</v>
      </c>
      <c r="BO11" s="937">
        <v>8</v>
      </c>
      <c r="BP11" s="935" t="s">
        <v>1185</v>
      </c>
      <c r="BQ11" s="935">
        <v>1000000</v>
      </c>
      <c r="BR11" s="935">
        <f t="shared" si="7"/>
        <v>20000</v>
      </c>
      <c r="BU11" s="937">
        <v>8</v>
      </c>
      <c r="BV11" s="935" t="s">
        <v>1186</v>
      </c>
      <c r="BW11" s="938">
        <v>9.2903039999999994E-8</v>
      </c>
      <c r="BX11" s="935">
        <f t="shared" si="8"/>
        <v>5.9999999999999993E-3</v>
      </c>
      <c r="CA11" s="937">
        <v>8</v>
      </c>
      <c r="CB11" s="935" t="s">
        <v>1187</v>
      </c>
      <c r="CC11" s="938">
        <v>0.13368060000000001</v>
      </c>
      <c r="CD11" s="935">
        <f t="shared" si="9"/>
        <v>8.3416694400000004</v>
      </c>
      <c r="CF11" s="932"/>
      <c r="CG11" s="937">
        <v>8</v>
      </c>
      <c r="CH11" s="935" t="s">
        <v>1188</v>
      </c>
      <c r="CI11" s="935">
        <v>1</v>
      </c>
      <c r="CJ11" s="935">
        <f t="shared" si="10"/>
        <v>1</v>
      </c>
      <c r="CM11" s="937"/>
      <c r="CN11" s="935"/>
      <c r="CO11" s="935"/>
      <c r="CS11" s="937">
        <v>8</v>
      </c>
      <c r="CT11" s="935" t="s">
        <v>1189</v>
      </c>
      <c r="CU11" s="935">
        <v>10.8862176</v>
      </c>
      <c r="CV11" s="935">
        <f t="shared" si="12"/>
        <v>10.8862176</v>
      </c>
      <c r="CY11" s="937"/>
      <c r="CZ11" s="935"/>
      <c r="DA11" s="935"/>
      <c r="DE11" s="937"/>
      <c r="DF11" s="935"/>
      <c r="DG11" s="935"/>
      <c r="DK11" s="937"/>
      <c r="DL11" s="935"/>
      <c r="DM11" s="935"/>
      <c r="DQ11" s="937"/>
      <c r="DR11" s="935"/>
      <c r="DS11" s="935"/>
      <c r="DW11" s="937"/>
      <c r="DX11" s="935"/>
      <c r="DY11" s="935"/>
    </row>
    <row r="12" spans="1:131" ht="15" customHeight="1">
      <c r="A12" s="2291"/>
      <c r="D12" s="947">
        <v>3</v>
      </c>
      <c r="E12" s="936">
        <f>VLOOKUP(D12,AK4:AN11,4,FALSE)</f>
        <v>0.37866749999999999</v>
      </c>
      <c r="F12" s="926"/>
      <c r="I12" s="947">
        <v>10</v>
      </c>
      <c r="J12" s="936">
        <f>VLOOKUP(I12,BO4:BR14,4,FALSE)</f>
        <v>100</v>
      </c>
      <c r="K12" s="926"/>
      <c r="N12" s="947">
        <v>6</v>
      </c>
      <c r="O12" s="936">
        <f>VLOOKUP(N12,CS4:CV14,4,FALSE)</f>
        <v>7.5598729999999999E-3</v>
      </c>
      <c r="P12" s="926"/>
      <c r="S12" s="947">
        <v>5</v>
      </c>
      <c r="T12" s="936">
        <f>VLOOKUP(S12,DW4:DZ8,4,FALSE)</f>
        <v>4186.8</v>
      </c>
      <c r="U12" s="941"/>
      <c r="V12" s="928"/>
      <c r="Y12" s="937">
        <v>9</v>
      </c>
      <c r="Z12" s="935" t="s">
        <v>1190</v>
      </c>
      <c r="AA12" s="938">
        <v>304800</v>
      </c>
      <c r="AB12" s="935">
        <f t="shared" si="0"/>
        <v>127.00000000000001</v>
      </c>
      <c r="AE12" s="937">
        <v>9</v>
      </c>
      <c r="AF12" s="935" t="s">
        <v>1191</v>
      </c>
      <c r="AG12" s="935">
        <v>28.316849999999999</v>
      </c>
      <c r="AH12" s="935">
        <f t="shared" si="1"/>
        <v>849.50549999999998</v>
      </c>
      <c r="AI12" s="937"/>
      <c r="AK12" s="937"/>
      <c r="AL12" s="935"/>
      <c r="AM12" s="935"/>
      <c r="AO12" s="937"/>
      <c r="AQ12" s="937">
        <v>9</v>
      </c>
      <c r="AR12" s="935" t="s">
        <v>1192</v>
      </c>
      <c r="AS12" s="935">
        <v>1.699011</v>
      </c>
      <c r="AT12" s="935">
        <f t="shared" si="3"/>
        <v>5663.3700000000008</v>
      </c>
      <c r="AU12" s="937"/>
      <c r="AW12" s="937">
        <v>9</v>
      </c>
      <c r="AX12" s="935" t="s">
        <v>1193</v>
      </c>
      <c r="AY12" s="938">
        <v>68.947569999999999</v>
      </c>
      <c r="AZ12" s="935">
        <f t="shared" si="4"/>
        <v>24.88400109861594</v>
      </c>
      <c r="BA12" s="937"/>
      <c r="BC12" s="937">
        <v>9</v>
      </c>
      <c r="BD12" s="935" t="s">
        <v>1194</v>
      </c>
      <c r="BE12" s="938">
        <v>745.69989999999996</v>
      </c>
      <c r="BF12" s="935">
        <f t="shared" si="5"/>
        <v>1342259.8199999998</v>
      </c>
      <c r="BG12" s="937"/>
      <c r="BI12" s="937">
        <v>9</v>
      </c>
      <c r="BJ12" s="935" t="s">
        <v>1195</v>
      </c>
      <c r="BK12" s="938">
        <v>5.4039000000000001</v>
      </c>
      <c r="BL12" s="935">
        <f t="shared" si="6"/>
        <v>118885.8</v>
      </c>
      <c r="BM12" s="937"/>
      <c r="BO12" s="937">
        <v>9</v>
      </c>
      <c r="BP12" s="935" t="s">
        <v>1196</v>
      </c>
      <c r="BQ12" s="938">
        <v>15432</v>
      </c>
      <c r="BR12" s="935">
        <f t="shared" si="7"/>
        <v>308.64</v>
      </c>
      <c r="BS12" s="937"/>
      <c r="BU12" s="937">
        <v>9</v>
      </c>
      <c r="BV12" s="935" t="s">
        <v>1197</v>
      </c>
      <c r="BW12" s="938">
        <v>9.2903040000000008E-6</v>
      </c>
      <c r="BX12" s="935">
        <f t="shared" si="8"/>
        <v>0.6</v>
      </c>
      <c r="BY12" s="937"/>
      <c r="CA12" s="937">
        <v>9</v>
      </c>
      <c r="CB12" s="935" t="s">
        <v>1198</v>
      </c>
      <c r="CC12" s="938">
        <v>5.6145839999999998</v>
      </c>
      <c r="CD12" s="935">
        <f t="shared" si="9"/>
        <v>350.3500416</v>
      </c>
      <c r="CE12" s="937"/>
      <c r="CF12" s="932"/>
      <c r="CG12" s="937">
        <v>9</v>
      </c>
      <c r="CH12" s="935" t="s">
        <v>1199</v>
      </c>
      <c r="CI12" s="935">
        <v>3.6</v>
      </c>
      <c r="CJ12" s="935">
        <f t="shared" si="10"/>
        <v>3.6</v>
      </c>
      <c r="CK12" s="937"/>
      <c r="CM12" s="937"/>
      <c r="CN12" s="935"/>
      <c r="CO12" s="935"/>
      <c r="CQ12" s="937"/>
      <c r="CS12" s="937">
        <v>9</v>
      </c>
      <c r="CT12" s="935" t="s">
        <v>1200</v>
      </c>
      <c r="CU12" s="935">
        <f>24*0.0004464286</f>
        <v>1.07142864E-2</v>
      </c>
      <c r="CV12" s="935">
        <f t="shared" si="12"/>
        <v>1.07142864E-2</v>
      </c>
      <c r="CW12" s="937"/>
      <c r="CY12" s="937"/>
      <c r="CZ12" s="935"/>
      <c r="DA12" s="935"/>
      <c r="DC12" s="937"/>
      <c r="DE12" s="937"/>
      <c r="DF12" s="935"/>
      <c r="DG12" s="935"/>
      <c r="DI12" s="937"/>
      <c r="DK12" s="937"/>
      <c r="DL12" s="935"/>
      <c r="DM12" s="935"/>
      <c r="DO12" s="937"/>
      <c r="DQ12" s="937"/>
      <c r="DR12" s="935"/>
      <c r="DS12" s="935"/>
      <c r="DU12" s="937"/>
      <c r="DW12" s="937"/>
      <c r="DX12" s="935"/>
      <c r="DY12" s="935"/>
      <c r="EA12" s="937"/>
    </row>
    <row r="13" spans="1:131" ht="15" customHeight="1">
      <c r="E13" s="940"/>
      <c r="F13" s="926"/>
      <c r="J13" s="940"/>
      <c r="K13" s="926"/>
      <c r="O13" s="940"/>
      <c r="P13" s="926"/>
      <c r="T13" s="940"/>
      <c r="U13" s="941"/>
      <c r="AE13" s="937">
        <v>10</v>
      </c>
      <c r="AF13" s="935" t="s">
        <v>1201</v>
      </c>
      <c r="AG13" s="935">
        <v>28316.85</v>
      </c>
      <c r="AH13" s="935">
        <f t="shared" si="1"/>
        <v>849505.5</v>
      </c>
      <c r="AK13" s="937"/>
      <c r="AL13" s="935"/>
      <c r="AM13" s="935"/>
      <c r="AQ13" s="937">
        <v>10</v>
      </c>
      <c r="AR13" s="935" t="s">
        <v>1202</v>
      </c>
      <c r="AS13" s="935">
        <v>101.94070000000001</v>
      </c>
      <c r="AT13" s="935">
        <f t="shared" si="3"/>
        <v>339802.33333333337</v>
      </c>
      <c r="AW13" s="937">
        <v>10</v>
      </c>
      <c r="AX13" s="935" t="s">
        <v>1203</v>
      </c>
      <c r="AY13" s="938">
        <v>7.0306960000000002E-2</v>
      </c>
      <c r="AZ13" s="935">
        <f t="shared" si="4"/>
        <v>2.5374621177807238E-2</v>
      </c>
      <c r="BC13" s="937">
        <v>10</v>
      </c>
      <c r="BD13" s="935" t="s">
        <v>1204</v>
      </c>
      <c r="BE13" s="938">
        <v>745.7</v>
      </c>
      <c r="BF13" s="935">
        <f t="shared" si="5"/>
        <v>1342260</v>
      </c>
      <c r="BI13" s="937">
        <v>10</v>
      </c>
      <c r="BJ13" s="935" t="s">
        <v>1205</v>
      </c>
      <c r="BK13" s="938">
        <v>10.412000000000001</v>
      </c>
      <c r="BL13" s="935">
        <f t="shared" si="6"/>
        <v>229064.00000000003</v>
      </c>
      <c r="BO13" s="937">
        <v>10</v>
      </c>
      <c r="BP13" s="935" t="s">
        <v>1206</v>
      </c>
      <c r="BQ13" s="938">
        <v>5000</v>
      </c>
      <c r="BR13" s="935">
        <f t="shared" si="7"/>
        <v>100</v>
      </c>
      <c r="BU13" s="937">
        <v>10</v>
      </c>
      <c r="BV13" s="935" t="s">
        <v>1207</v>
      </c>
      <c r="BW13" s="938">
        <v>9.2903039999999999E-4</v>
      </c>
      <c r="BX13" s="935">
        <f t="shared" si="8"/>
        <v>59.999999999999993</v>
      </c>
      <c r="CA13" s="937">
        <v>10</v>
      </c>
      <c r="CB13" s="935" t="s">
        <v>1208</v>
      </c>
      <c r="CC13" s="938">
        <v>9.2592590000000006E-3</v>
      </c>
      <c r="CD13" s="935">
        <f t="shared" si="9"/>
        <v>0.57777776160000005</v>
      </c>
      <c r="CF13" s="932"/>
      <c r="CS13" s="937">
        <v>10</v>
      </c>
      <c r="CT13" s="935" t="s">
        <v>1209</v>
      </c>
      <c r="CU13" s="935">
        <f>24*0.0005</f>
        <v>1.2E-2</v>
      </c>
      <c r="CV13" s="935">
        <f t="shared" si="12"/>
        <v>1.2E-2</v>
      </c>
      <c r="CY13" s="937"/>
      <c r="CZ13" s="935"/>
      <c r="DA13" s="935"/>
      <c r="DE13" s="937"/>
      <c r="DF13" s="935"/>
      <c r="DG13" s="935"/>
      <c r="DK13" s="937"/>
      <c r="DL13" s="935"/>
      <c r="DM13" s="935"/>
      <c r="DQ13" s="937"/>
      <c r="DR13" s="935"/>
      <c r="DS13" s="935"/>
      <c r="DW13" s="937"/>
      <c r="DX13" s="935"/>
      <c r="DY13" s="935"/>
    </row>
    <row r="14" spans="1:131" ht="15" customHeight="1" thickBot="1">
      <c r="B14" s="929" t="s">
        <v>1210</v>
      </c>
      <c r="C14" s="930"/>
      <c r="D14" s="930"/>
      <c r="E14" s="943"/>
      <c r="F14" s="2288"/>
      <c r="G14" s="929" t="s">
        <v>204</v>
      </c>
      <c r="H14" s="930"/>
      <c r="I14" s="930"/>
      <c r="J14" s="943"/>
      <c r="K14" s="2288"/>
      <c r="L14" s="929" t="s">
        <v>1211</v>
      </c>
      <c r="M14" s="930"/>
      <c r="N14" s="930"/>
      <c r="O14" s="943"/>
      <c r="P14" s="2292"/>
      <c r="Q14" s="3142" t="s">
        <v>1049</v>
      </c>
      <c r="R14" s="3143"/>
      <c r="S14" s="3143"/>
      <c r="T14" s="3144"/>
      <c r="U14" s="941"/>
      <c r="V14" s="1343"/>
      <c r="W14" s="1344"/>
      <c r="AE14" s="937">
        <v>11</v>
      </c>
      <c r="AF14" s="935" t="s">
        <v>1212</v>
      </c>
      <c r="AG14" s="938">
        <v>28316.85</v>
      </c>
      <c r="AH14" s="935">
        <f t="shared" si="1"/>
        <v>849505.5</v>
      </c>
      <c r="AK14" s="937"/>
      <c r="AL14" s="935"/>
      <c r="AM14" s="938"/>
      <c r="AQ14" s="937">
        <v>11</v>
      </c>
      <c r="AR14" s="935" t="s">
        <v>1213</v>
      </c>
      <c r="AS14" s="938">
        <v>28.316849999999999</v>
      </c>
      <c r="AT14" s="935">
        <f t="shared" si="3"/>
        <v>94389.5</v>
      </c>
      <c r="AW14" s="937">
        <v>11</v>
      </c>
      <c r="AX14" s="935" t="s">
        <v>192</v>
      </c>
      <c r="AY14" s="938">
        <v>6.8947570000000002</v>
      </c>
      <c r="AZ14" s="935">
        <f t="shared" si="4"/>
        <v>2.488400109861594</v>
      </c>
      <c r="BC14" s="937">
        <v>11</v>
      </c>
      <c r="BD14" s="935" t="s">
        <v>1214</v>
      </c>
      <c r="BE14" s="938">
        <v>550</v>
      </c>
      <c r="BF14" s="935">
        <f t="shared" si="5"/>
        <v>990000</v>
      </c>
      <c r="BI14" s="937"/>
      <c r="BJ14" s="935"/>
      <c r="BK14" s="938"/>
      <c r="BO14" s="937">
        <v>11</v>
      </c>
      <c r="BP14" s="935" t="s">
        <v>1215</v>
      </c>
      <c r="BQ14" s="938">
        <v>6.8521799999999994E-2</v>
      </c>
      <c r="BR14" s="935">
        <f t="shared" si="7"/>
        <v>1.3704359999999998E-3</v>
      </c>
      <c r="BU14" s="937">
        <v>11</v>
      </c>
      <c r="BV14" s="935" t="s">
        <v>1216</v>
      </c>
      <c r="BW14" s="938">
        <v>2.295684E-5</v>
      </c>
      <c r="BX14" s="935">
        <f t="shared" si="8"/>
        <v>1.4826322152644305</v>
      </c>
      <c r="CA14" s="937">
        <v>11</v>
      </c>
      <c r="CB14" s="935" t="s">
        <v>1217</v>
      </c>
      <c r="CC14" s="938">
        <v>2.1388889999999998</v>
      </c>
      <c r="CD14" s="935">
        <f t="shared" si="9"/>
        <v>133.46667359999998</v>
      </c>
      <c r="CF14" s="932"/>
      <c r="CG14" s="937"/>
      <c r="CH14" s="935"/>
      <c r="CI14" s="938"/>
      <c r="CM14" s="937"/>
      <c r="CN14" s="935"/>
      <c r="CO14" s="938"/>
      <c r="CS14" s="937">
        <v>11</v>
      </c>
      <c r="CT14" s="935" t="s">
        <v>1218</v>
      </c>
      <c r="CU14" s="938">
        <f>24*0.0004535924</f>
        <v>1.0886217599999999E-2</v>
      </c>
      <c r="CV14" s="935">
        <f t="shared" si="12"/>
        <v>1.0886217599999999E-2</v>
      </c>
      <c r="CY14" s="937"/>
      <c r="CZ14" s="935"/>
      <c r="DA14" s="938"/>
      <c r="DE14" s="937"/>
      <c r="DF14" s="935"/>
      <c r="DG14" s="938"/>
      <c r="DK14" s="937"/>
      <c r="DL14" s="935"/>
      <c r="DM14" s="938"/>
      <c r="DQ14" s="937"/>
      <c r="DR14" s="935"/>
      <c r="DS14" s="938"/>
      <c r="DW14" s="937"/>
      <c r="DX14" s="935"/>
      <c r="DY14" s="938"/>
    </row>
    <row r="15" spans="1:131" ht="15" customHeight="1" thickBot="1">
      <c r="A15" s="2291"/>
      <c r="D15" s="947">
        <v>2</v>
      </c>
      <c r="E15" s="2290">
        <v>200000</v>
      </c>
      <c r="F15" s="926"/>
      <c r="I15" s="947">
        <v>7</v>
      </c>
      <c r="J15" s="2290">
        <v>62.4</v>
      </c>
      <c r="K15" s="926"/>
      <c r="N15" s="947">
        <v>1</v>
      </c>
      <c r="O15" s="2290">
        <v>22000</v>
      </c>
      <c r="P15" s="926"/>
      <c r="Q15" s="3145" t="s">
        <v>575</v>
      </c>
      <c r="R15" s="3146"/>
      <c r="S15" s="947">
        <v>1</v>
      </c>
      <c r="T15" s="2293">
        <v>32</v>
      </c>
      <c r="U15" s="941"/>
      <c r="V15" s="1345" t="s">
        <v>575</v>
      </c>
      <c r="W15" s="1346">
        <f>(T15*9/5)+31</f>
        <v>88.6</v>
      </c>
      <c r="AE15" s="937"/>
      <c r="AF15" s="935"/>
      <c r="AG15" s="938"/>
      <c r="AK15" s="937"/>
      <c r="AL15" s="935"/>
      <c r="AM15" s="938"/>
      <c r="AQ15" s="937">
        <v>12</v>
      </c>
      <c r="AR15" s="935" t="s">
        <v>1219</v>
      </c>
      <c r="AS15" s="938">
        <v>1699.011</v>
      </c>
      <c r="AT15" s="935">
        <f t="shared" si="3"/>
        <v>5663370</v>
      </c>
      <c r="AW15" s="937">
        <v>12</v>
      </c>
      <c r="AX15" s="935" t="s">
        <v>220</v>
      </c>
      <c r="AY15" s="938">
        <v>6894.7569999999996</v>
      </c>
      <c r="AZ15" s="935">
        <f t="shared" si="4"/>
        <v>2488.4001098615936</v>
      </c>
      <c r="BC15" s="937">
        <v>12</v>
      </c>
      <c r="BD15" s="935" t="s">
        <v>1220</v>
      </c>
      <c r="BE15" s="938">
        <v>33000</v>
      </c>
      <c r="BF15" s="935">
        <f t="shared" si="5"/>
        <v>59400000</v>
      </c>
      <c r="BI15" s="937"/>
      <c r="BJ15" s="935"/>
      <c r="BK15" s="938"/>
      <c r="BO15" s="937"/>
      <c r="BP15" s="935"/>
      <c r="BQ15" s="938"/>
      <c r="BU15" s="937"/>
      <c r="BV15" s="935"/>
      <c r="BW15" s="938"/>
      <c r="CA15" s="937">
        <v>12</v>
      </c>
      <c r="CB15" s="935" t="s">
        <v>1221</v>
      </c>
      <c r="CC15" s="938">
        <v>1.6018460000000002E-2</v>
      </c>
      <c r="CD15" s="935">
        <f t="shared" si="9"/>
        <v>0.99955190400000005</v>
      </c>
      <c r="CF15" s="932"/>
      <c r="CG15" s="937"/>
      <c r="CH15" s="935"/>
      <c r="CI15" s="935"/>
      <c r="CM15" s="937"/>
      <c r="CN15" s="935"/>
      <c r="CO15" s="935"/>
      <c r="CS15" s="937"/>
      <c r="CT15" s="935"/>
      <c r="CU15" s="935"/>
      <c r="CY15" s="937"/>
      <c r="CZ15" s="935"/>
      <c r="DA15" s="935"/>
      <c r="DE15" s="937"/>
      <c r="DF15" s="935"/>
      <c r="DG15" s="935"/>
      <c r="DK15" s="937"/>
      <c r="DL15" s="935"/>
      <c r="DM15" s="935"/>
      <c r="DQ15" s="937"/>
      <c r="DR15" s="935"/>
      <c r="DS15" s="935"/>
      <c r="DW15" s="937"/>
      <c r="DX15" s="935"/>
      <c r="DY15" s="935"/>
    </row>
    <row r="16" spans="1:131" ht="15" customHeight="1" thickBot="1">
      <c r="A16" s="2291"/>
      <c r="D16" s="947">
        <v>8</v>
      </c>
      <c r="E16" s="936">
        <f>VLOOKUP(D16,AQ4:AT17,4,FALSE)</f>
        <v>94.389500000000012</v>
      </c>
      <c r="F16" s="926"/>
      <c r="I16" s="947">
        <v>12</v>
      </c>
      <c r="J16" s="936">
        <f>VLOOKUP(I16,CA4:CD15,4,FALSE)</f>
        <v>0.99955190400000005</v>
      </c>
      <c r="K16" s="926"/>
      <c r="N16" s="947">
        <v>5</v>
      </c>
      <c r="O16" s="936">
        <f>VLOOKUP(N16,CY4:DB8,4,FALSE)</f>
        <v>124921.808</v>
      </c>
      <c r="P16" s="926"/>
      <c r="Q16" s="3145" t="s">
        <v>1379</v>
      </c>
      <c r="R16" s="3146"/>
      <c r="S16" s="947">
        <v>5</v>
      </c>
      <c r="T16" s="2294">
        <v>1</v>
      </c>
      <c r="U16" s="941"/>
      <c r="V16" s="1345" t="s">
        <v>1379</v>
      </c>
      <c r="W16" s="1347">
        <f>(T16-32)*5/9</f>
        <v>-17.222222222222221</v>
      </c>
      <c r="Y16" s="927"/>
      <c r="AB16" s="927"/>
      <c r="AC16" s="927"/>
      <c r="AE16" s="937"/>
      <c r="AF16" s="935"/>
      <c r="AG16" s="938"/>
      <c r="AK16" s="937"/>
      <c r="AL16" s="935"/>
      <c r="AM16" s="938"/>
      <c r="AQ16" s="937">
        <v>13</v>
      </c>
      <c r="AR16" s="935" t="s">
        <v>1222</v>
      </c>
      <c r="AS16" s="938">
        <v>101940.7</v>
      </c>
      <c r="AT16" s="935">
        <f t="shared" si="3"/>
        <v>339802333.33333331</v>
      </c>
      <c r="AW16" s="927"/>
      <c r="AZ16" s="927"/>
      <c r="BC16" s="927"/>
      <c r="BF16" s="927"/>
      <c r="BI16" s="927"/>
      <c r="BL16" s="927"/>
      <c r="BO16" s="927"/>
      <c r="BR16" s="927"/>
      <c r="BU16" s="927"/>
      <c r="BX16" s="927"/>
      <c r="CA16" s="927"/>
      <c r="CB16" s="935"/>
      <c r="CD16" s="927"/>
      <c r="CF16" s="932"/>
      <c r="CG16" s="937"/>
      <c r="CH16" s="935"/>
      <c r="CI16" s="935"/>
      <c r="CM16" s="937"/>
      <c r="CN16" s="935"/>
      <c r="CO16" s="935"/>
      <c r="CS16" s="937"/>
      <c r="CT16" s="935"/>
      <c r="CU16" s="935"/>
      <c r="CY16" s="937"/>
      <c r="CZ16" s="935"/>
      <c r="DA16" s="935"/>
      <c r="DE16" s="937"/>
      <c r="DF16" s="935"/>
      <c r="DG16" s="935"/>
      <c r="DK16" s="937"/>
      <c r="DL16" s="935"/>
      <c r="DM16" s="935"/>
      <c r="DQ16" s="937"/>
      <c r="DR16" s="935"/>
      <c r="DS16" s="935"/>
      <c r="DW16" s="937"/>
      <c r="DX16" s="935"/>
      <c r="DY16" s="935"/>
    </row>
    <row r="17" spans="1:129" ht="15" customHeight="1" thickBot="1">
      <c r="E17" s="940"/>
      <c r="F17" s="926"/>
      <c r="J17" s="940"/>
      <c r="K17" s="926"/>
      <c r="O17" s="940"/>
      <c r="P17" s="926"/>
      <c r="Q17" s="3145" t="s">
        <v>575</v>
      </c>
      <c r="R17" s="3146"/>
      <c r="S17" s="947">
        <v>1</v>
      </c>
      <c r="T17" s="1348">
        <f>W16</f>
        <v>-17.222222222222221</v>
      </c>
      <c r="U17" s="941"/>
      <c r="V17" s="1344"/>
      <c r="W17" s="1344"/>
      <c r="Y17" s="927"/>
      <c r="AB17" s="927"/>
      <c r="AC17" s="927"/>
      <c r="AE17" s="937"/>
      <c r="AF17" s="935"/>
      <c r="AG17" s="935"/>
      <c r="AK17" s="937"/>
      <c r="AL17" s="935"/>
      <c r="AM17" s="935"/>
      <c r="AQ17" s="937">
        <v>14</v>
      </c>
      <c r="AR17" s="935" t="s">
        <v>1223</v>
      </c>
      <c r="AS17" s="935">
        <v>2446576.7999999998</v>
      </c>
      <c r="AT17" s="935">
        <f t="shared" si="3"/>
        <v>8155256000</v>
      </c>
      <c r="AW17" s="937"/>
      <c r="BC17" s="937"/>
      <c r="BI17" s="937"/>
      <c r="BO17" s="937"/>
      <c r="BU17" s="937"/>
      <c r="CA17" s="937"/>
      <c r="CB17" s="935"/>
      <c r="CF17" s="932"/>
      <c r="CG17" s="937"/>
      <c r="CH17" s="935"/>
      <c r="CI17" s="935"/>
      <c r="CM17" s="937"/>
      <c r="CN17" s="935"/>
      <c r="CO17" s="935"/>
      <c r="CS17" s="937"/>
      <c r="CT17" s="935"/>
      <c r="CU17" s="935"/>
      <c r="CY17" s="937"/>
      <c r="CZ17" s="935"/>
      <c r="DA17" s="935"/>
      <c r="DE17" s="937"/>
      <c r="DF17" s="935"/>
      <c r="DG17" s="935"/>
      <c r="DK17" s="937"/>
      <c r="DL17" s="935"/>
      <c r="DM17" s="935"/>
      <c r="DQ17" s="937"/>
      <c r="DR17" s="935"/>
      <c r="DS17" s="935"/>
      <c r="DW17" s="937"/>
      <c r="DX17" s="935"/>
      <c r="DY17" s="935"/>
    </row>
    <row r="18" spans="1:129" ht="15" customHeight="1" thickBot="1">
      <c r="B18" s="929" t="s">
        <v>439</v>
      </c>
      <c r="C18" s="930"/>
      <c r="D18" s="930"/>
      <c r="E18" s="943"/>
      <c r="F18" s="2288"/>
      <c r="G18" s="929" t="s">
        <v>362</v>
      </c>
      <c r="H18" s="930"/>
      <c r="I18" s="930"/>
      <c r="J18" s="943"/>
      <c r="K18" s="2288"/>
      <c r="L18" s="929" t="s">
        <v>1224</v>
      </c>
      <c r="M18" s="930"/>
      <c r="N18" s="930"/>
      <c r="O18" s="943"/>
      <c r="P18" s="2292"/>
      <c r="Q18" s="3145" t="s">
        <v>1379</v>
      </c>
      <c r="R18" s="3146"/>
      <c r="S18" s="947">
        <v>5</v>
      </c>
      <c r="T18" s="1348">
        <f>W15</f>
        <v>88.6</v>
      </c>
      <c r="U18" s="941"/>
      <c r="V18" s="928"/>
      <c r="Y18" s="927"/>
      <c r="AB18" s="927"/>
      <c r="AC18" s="927"/>
      <c r="AE18" s="937"/>
      <c r="AF18" s="935"/>
      <c r="AG18" s="938"/>
      <c r="AK18" s="937"/>
      <c r="AL18" s="935"/>
      <c r="AM18" s="938"/>
      <c r="AQ18" s="937"/>
      <c r="AR18" s="935"/>
      <c r="AS18" s="938"/>
      <c r="AW18" s="937"/>
      <c r="AX18" s="935"/>
      <c r="AY18" s="938"/>
      <c r="BC18" s="937"/>
      <c r="BD18" s="935"/>
      <c r="BE18" s="938"/>
      <c r="BI18" s="937"/>
      <c r="BJ18" s="935"/>
      <c r="BK18" s="938"/>
      <c r="BO18" s="937"/>
      <c r="BP18" s="935"/>
      <c r="BQ18" s="938"/>
      <c r="BU18" s="937"/>
      <c r="BV18" s="935"/>
      <c r="BW18" s="938"/>
      <c r="CA18" s="937"/>
      <c r="CB18" s="935"/>
      <c r="CC18" s="938"/>
      <c r="CG18" s="937"/>
      <c r="CH18" s="935"/>
      <c r="CI18" s="938"/>
      <c r="CM18" s="937"/>
      <c r="CN18" s="935"/>
      <c r="CO18" s="938"/>
      <c r="CS18" s="937"/>
      <c r="CT18" s="935"/>
      <c r="CU18" s="938"/>
      <c r="CY18" s="937"/>
      <c r="CZ18" s="935"/>
      <c r="DA18" s="938"/>
      <c r="DE18" s="937"/>
      <c r="DF18" s="935"/>
      <c r="DG18" s="938"/>
      <c r="DK18" s="937"/>
      <c r="DL18" s="935"/>
      <c r="DM18" s="938"/>
      <c r="DQ18" s="937"/>
      <c r="DR18" s="935"/>
      <c r="DS18" s="938"/>
      <c r="DW18" s="937"/>
      <c r="DX18" s="935"/>
      <c r="DY18" s="938"/>
    </row>
    <row r="19" spans="1:129" ht="15" customHeight="1" thickBot="1">
      <c r="A19" s="2291"/>
      <c r="D19" s="947">
        <v>5</v>
      </c>
      <c r="E19" s="2290">
        <v>10</v>
      </c>
      <c r="F19" s="926"/>
      <c r="I19" s="947">
        <v>7</v>
      </c>
      <c r="J19" s="2290">
        <v>6000</v>
      </c>
      <c r="K19" s="926"/>
      <c r="N19" s="947">
        <v>1</v>
      </c>
      <c r="O19" s="2290">
        <v>1</v>
      </c>
      <c r="P19" s="926"/>
      <c r="Q19" s="3140"/>
      <c r="R19" s="3141"/>
      <c r="S19" s="3141"/>
      <c r="T19" s="3141"/>
      <c r="U19" s="941"/>
      <c r="V19" s="928"/>
      <c r="Y19" s="927"/>
      <c r="AB19" s="927"/>
      <c r="AC19" s="927"/>
      <c r="AE19" s="927"/>
      <c r="AI19" s="927"/>
      <c r="AK19" s="927"/>
      <c r="AN19" s="927"/>
      <c r="AO19" s="927"/>
      <c r="AQ19" s="927"/>
      <c r="AT19" s="927"/>
      <c r="AU19" s="927"/>
      <c r="AW19" s="927"/>
      <c r="AZ19" s="927"/>
      <c r="BA19" s="927"/>
      <c r="BC19" s="927"/>
      <c r="BF19" s="927"/>
      <c r="BG19" s="927"/>
      <c r="BI19" s="927"/>
      <c r="BL19" s="927"/>
      <c r="BM19" s="927"/>
      <c r="BO19" s="937"/>
      <c r="BP19" s="935"/>
      <c r="BQ19" s="938"/>
      <c r="BU19" s="937"/>
      <c r="BV19" s="935"/>
      <c r="BW19" s="938"/>
      <c r="CA19" s="937"/>
      <c r="CB19" s="935"/>
      <c r="CC19" s="938"/>
      <c r="CG19" s="937"/>
      <c r="CH19" s="935"/>
      <c r="CI19" s="938"/>
      <c r="CM19" s="937"/>
      <c r="CN19" s="935"/>
      <c r="CO19" s="938"/>
      <c r="CS19" s="937"/>
      <c r="CT19" s="935"/>
      <c r="CU19" s="938"/>
      <c r="CY19" s="937"/>
      <c r="CZ19" s="935"/>
      <c r="DA19" s="938"/>
      <c r="DE19" s="937"/>
      <c r="DF19" s="935"/>
      <c r="DG19" s="938"/>
      <c r="DK19" s="937"/>
      <c r="DL19" s="935"/>
      <c r="DM19" s="938"/>
      <c r="DQ19" s="937"/>
      <c r="DR19" s="935"/>
      <c r="DS19" s="938"/>
      <c r="DW19" s="937"/>
      <c r="DX19" s="935"/>
      <c r="DY19" s="938"/>
    </row>
    <row r="20" spans="1:129" ht="15" customHeight="1">
      <c r="A20" s="2291"/>
      <c r="D20" s="947">
        <v>11</v>
      </c>
      <c r="E20" s="936">
        <f>VLOOKUP(D20,AW4:AZ15,4,FALSE)</f>
        <v>2.488400109861594</v>
      </c>
      <c r="F20" s="926"/>
      <c r="I20" s="947">
        <v>1</v>
      </c>
      <c r="J20" s="936">
        <f>VLOOKUP(I20,BU4:BX14,4,FALSE)</f>
        <v>64583.462500258327</v>
      </c>
      <c r="K20" s="926"/>
      <c r="N20" s="947">
        <v>3</v>
      </c>
      <c r="O20" s="936">
        <f>VLOOKUP(N20,DE4:DH8,4,FALSE)</f>
        <v>1.7307349999999999E-2</v>
      </c>
      <c r="P20" s="926"/>
      <c r="Q20" s="945"/>
      <c r="T20" s="944"/>
      <c r="U20" s="941"/>
      <c r="V20" s="928"/>
      <c r="Y20" s="927"/>
      <c r="AB20" s="927"/>
      <c r="AC20" s="927"/>
      <c r="AE20" s="927"/>
      <c r="AI20" s="927"/>
      <c r="AK20" s="927"/>
      <c r="AN20" s="927"/>
      <c r="AO20" s="927"/>
      <c r="AQ20" s="927"/>
      <c r="AT20" s="927"/>
      <c r="AU20" s="927"/>
      <c r="AW20" s="927"/>
      <c r="AZ20" s="927"/>
      <c r="BA20" s="927"/>
      <c r="BC20" s="927"/>
      <c r="BF20" s="927"/>
      <c r="BG20" s="927"/>
      <c r="BI20" s="927"/>
      <c r="BL20" s="927"/>
      <c r="BM20" s="927"/>
      <c r="BO20" s="937"/>
      <c r="BP20" s="935"/>
      <c r="BQ20" s="938"/>
      <c r="BU20" s="937"/>
      <c r="BV20" s="935"/>
      <c r="BW20" s="938"/>
      <c r="CA20" s="937"/>
      <c r="CB20" s="935"/>
      <c r="CC20" s="938"/>
      <c r="CG20" s="937"/>
      <c r="CH20" s="935"/>
      <c r="CI20" s="938"/>
      <c r="CM20" s="937"/>
      <c r="CN20" s="935"/>
      <c r="CO20" s="938"/>
      <c r="CS20" s="937"/>
      <c r="CT20" s="935"/>
      <c r="CU20" s="938"/>
      <c r="CY20" s="937"/>
      <c r="CZ20" s="935"/>
      <c r="DA20" s="938"/>
      <c r="DE20" s="937"/>
      <c r="DF20" s="935"/>
      <c r="DG20" s="938"/>
      <c r="DK20" s="937"/>
      <c r="DL20" s="935"/>
      <c r="DM20" s="938"/>
      <c r="DQ20" s="937"/>
      <c r="DR20" s="935"/>
      <c r="DS20" s="938"/>
      <c r="DW20" s="937"/>
      <c r="DX20" s="935"/>
      <c r="DY20" s="938"/>
    </row>
    <row r="21" spans="1:129" ht="15" customHeight="1">
      <c r="F21" s="926"/>
      <c r="K21" s="926"/>
      <c r="P21" s="926"/>
      <c r="Q21" s="946"/>
      <c r="U21" s="941"/>
      <c r="Y21" s="927"/>
      <c r="AB21" s="927"/>
      <c r="AC21" s="927"/>
      <c r="AE21" s="937"/>
      <c r="AF21" s="935"/>
      <c r="AG21" s="938"/>
      <c r="AK21" s="937"/>
      <c r="AL21" s="935"/>
      <c r="AM21" s="938"/>
      <c r="AQ21" s="937"/>
      <c r="AR21" s="935"/>
      <c r="AS21" s="938"/>
      <c r="AW21" s="937"/>
      <c r="AX21" s="935"/>
      <c r="AY21" s="938"/>
      <c r="BC21" s="937"/>
      <c r="BD21" s="935"/>
      <c r="BE21" s="938"/>
      <c r="BI21" s="937"/>
      <c r="BJ21" s="935"/>
      <c r="BK21" s="938"/>
      <c r="BO21" s="937"/>
      <c r="BP21" s="935"/>
      <c r="BQ21" s="938"/>
      <c r="BU21" s="937"/>
      <c r="BV21" s="935"/>
      <c r="BW21" s="938"/>
      <c r="CA21" s="937"/>
      <c r="CB21" s="935"/>
      <c r="CC21" s="938"/>
      <c r="CG21" s="937"/>
      <c r="CH21" s="935"/>
      <c r="CI21" s="938"/>
      <c r="CM21" s="937"/>
      <c r="CN21" s="935"/>
      <c r="CO21" s="938"/>
      <c r="CS21" s="937"/>
      <c r="CT21" s="935"/>
      <c r="CU21" s="938"/>
      <c r="CY21" s="937"/>
      <c r="CZ21" s="935"/>
      <c r="DA21" s="938"/>
      <c r="DE21" s="937"/>
      <c r="DF21" s="935"/>
      <c r="DG21" s="938"/>
      <c r="DK21" s="937"/>
      <c r="DL21" s="935"/>
      <c r="DM21" s="938"/>
      <c r="DQ21" s="937"/>
      <c r="DR21" s="935"/>
      <c r="DS21" s="938"/>
      <c r="DW21" s="937"/>
      <c r="DX21" s="935"/>
      <c r="DY21" s="938"/>
    </row>
    <row r="22" spans="1:129" ht="15" customHeight="1">
      <c r="Q22" s="946"/>
    </row>
    <row r="23" spans="1:129" ht="15" customHeight="1">
      <c r="B23" s="947"/>
    </row>
    <row r="24" spans="1:129" ht="15" customHeight="1" thickBot="1">
      <c r="A24" s="942"/>
      <c r="B24" s="933"/>
      <c r="C24" s="933"/>
      <c r="D24" s="933"/>
      <c r="E24" s="933"/>
      <c r="F24" s="933"/>
      <c r="G24" s="933"/>
      <c r="H24" s="933"/>
      <c r="I24" s="933"/>
      <c r="J24" s="933"/>
      <c r="K24" s="933"/>
      <c r="L24" s="933"/>
      <c r="M24" s="933"/>
      <c r="N24" s="933"/>
      <c r="O24" s="933"/>
      <c r="P24" s="933"/>
      <c r="Q24" s="933"/>
      <c r="R24" s="933"/>
      <c r="S24" s="933"/>
      <c r="T24" s="933"/>
      <c r="U24" s="928"/>
    </row>
    <row r="25" spans="1:129" ht="15" customHeight="1">
      <c r="A25" s="942"/>
      <c r="B25" s="2297" t="s">
        <v>2056</v>
      </c>
      <c r="C25" s="2298"/>
      <c r="D25" s="2298"/>
      <c r="E25" s="2298"/>
      <c r="F25" s="2298"/>
      <c r="G25" s="2315"/>
      <c r="H25" s="2298"/>
      <c r="I25" s="2298"/>
      <c r="J25" s="2298"/>
      <c r="K25" s="2298"/>
      <c r="L25" s="2298"/>
      <c r="M25" s="2298"/>
      <c r="N25" s="2298"/>
      <c r="O25" s="2298"/>
      <c r="P25" s="2298"/>
      <c r="Q25" s="2298"/>
      <c r="R25" s="2298"/>
      <c r="S25" s="2298"/>
      <c r="T25" s="2299"/>
      <c r="U25" s="928"/>
    </row>
    <row r="26" spans="1:129" ht="15" customHeight="1">
      <c r="A26" s="942"/>
      <c r="B26" s="2300" t="s">
        <v>2058</v>
      </c>
      <c r="C26" s="3134">
        <v>2.9307106999999999E-4</v>
      </c>
      <c r="D26" s="3134"/>
      <c r="E26" s="3134"/>
      <c r="F26" s="2301" t="s">
        <v>218</v>
      </c>
      <c r="G26" s="2304"/>
      <c r="H26" s="2301"/>
      <c r="I26" s="2301"/>
      <c r="J26" s="2301"/>
      <c r="K26" s="2301"/>
      <c r="L26" s="2301"/>
      <c r="M26" s="2301"/>
      <c r="N26" s="2301"/>
      <c r="O26" s="2301"/>
      <c r="P26" s="2301"/>
      <c r="Q26" s="2301"/>
      <c r="R26" s="2301"/>
      <c r="S26" s="2301"/>
      <c r="T26" s="2302"/>
      <c r="U26" s="928"/>
    </row>
    <row r="27" spans="1:129" ht="15" customHeight="1" thickBot="1">
      <c r="A27" s="942"/>
      <c r="B27" s="2308" t="s">
        <v>218</v>
      </c>
      <c r="C27" s="2309">
        <v>17.584</v>
      </c>
      <c r="D27" s="2295" t="s">
        <v>449</v>
      </c>
      <c r="E27" s="2301"/>
      <c r="F27" s="2301"/>
      <c r="G27" s="2304"/>
      <c r="H27" s="2301"/>
      <c r="I27" s="2301"/>
      <c r="J27" s="2301"/>
      <c r="K27" s="2301"/>
      <c r="L27" s="2301"/>
      <c r="M27" s="2301"/>
      <c r="N27" s="2301"/>
      <c r="O27" s="2301"/>
      <c r="P27" s="2301"/>
      <c r="Q27" s="2301"/>
      <c r="R27" s="2301"/>
      <c r="S27" s="2301"/>
      <c r="T27" s="2302"/>
      <c r="U27" s="928"/>
    </row>
    <row r="28" spans="1:129" ht="15" customHeight="1" thickBot="1">
      <c r="A28" s="942"/>
      <c r="B28" s="2310" t="s">
        <v>2057</v>
      </c>
      <c r="C28" s="2311">
        <f>C27/C26</f>
        <v>59999.098512179997</v>
      </c>
      <c r="D28" s="2295" t="s">
        <v>449</v>
      </c>
      <c r="E28" s="2301"/>
      <c r="F28" s="2301"/>
      <c r="G28" s="2304"/>
      <c r="H28" s="2301"/>
      <c r="I28" s="2301"/>
      <c r="J28" s="2301"/>
      <c r="K28" s="2301"/>
      <c r="L28" s="2301"/>
      <c r="M28" s="2301"/>
      <c r="N28" s="2301"/>
      <c r="O28" s="2301"/>
      <c r="P28" s="2301"/>
      <c r="Q28" s="2301"/>
      <c r="R28" s="2301"/>
      <c r="S28" s="2301"/>
      <c r="T28" s="2302"/>
      <c r="U28" s="928"/>
    </row>
    <row r="29" spans="1:129" ht="15" customHeight="1">
      <c r="A29" s="942"/>
      <c r="B29" s="2303"/>
      <c r="C29" s="2304"/>
      <c r="D29" s="2304"/>
      <c r="E29" s="2304"/>
      <c r="F29" s="2301"/>
      <c r="G29" s="2304"/>
      <c r="H29" s="2301"/>
      <c r="I29" s="2301"/>
      <c r="J29" s="2301"/>
      <c r="K29" s="2301"/>
      <c r="L29" s="2301"/>
      <c r="M29" s="2301"/>
      <c r="N29" s="2301"/>
      <c r="O29" s="2301"/>
      <c r="P29" s="2301"/>
      <c r="Q29" s="2301"/>
      <c r="R29" s="2301"/>
      <c r="S29" s="2301"/>
      <c r="T29" s="2302"/>
      <c r="U29" s="928"/>
    </row>
    <row r="30" spans="1:129" ht="15" customHeight="1" thickBot="1">
      <c r="A30" s="942"/>
      <c r="B30" s="2308" t="s">
        <v>2057</v>
      </c>
      <c r="C30" s="2309">
        <v>60000</v>
      </c>
      <c r="D30" s="2301"/>
      <c r="E30" s="2301"/>
      <c r="F30" s="2301"/>
      <c r="G30" s="2304"/>
      <c r="H30" s="2301"/>
      <c r="I30" s="2301"/>
      <c r="J30" s="2301"/>
      <c r="K30" s="2301"/>
      <c r="L30" s="2301"/>
      <c r="M30" s="2301"/>
      <c r="N30" s="2301"/>
      <c r="O30" s="2301"/>
      <c r="P30" s="2301"/>
      <c r="Q30" s="2301"/>
      <c r="R30" s="2301"/>
      <c r="S30" s="2301"/>
      <c r="T30" s="2302"/>
      <c r="U30" s="928"/>
    </row>
    <row r="31" spans="1:129" ht="15" customHeight="1" thickBot="1">
      <c r="A31" s="942"/>
      <c r="B31" s="2312" t="s">
        <v>2059</v>
      </c>
      <c r="C31" s="2313">
        <f>C30*C26</f>
        <v>17.5842642</v>
      </c>
      <c r="D31" s="2296" t="s">
        <v>1045</v>
      </c>
      <c r="E31" s="2301"/>
      <c r="F31" s="2301"/>
      <c r="G31" s="2304"/>
      <c r="H31" s="2301"/>
      <c r="I31" s="2301"/>
      <c r="J31" s="2301"/>
      <c r="K31" s="2301"/>
      <c r="L31" s="2301"/>
      <c r="M31" s="2301"/>
      <c r="N31" s="2301"/>
      <c r="O31" s="2301"/>
      <c r="P31" s="2301"/>
      <c r="Q31" s="2301"/>
      <c r="R31" s="2301"/>
      <c r="S31" s="2301"/>
      <c r="T31" s="2302"/>
      <c r="U31" s="928"/>
    </row>
    <row r="32" spans="1:129" ht="15" customHeight="1" thickBot="1">
      <c r="A32" s="942"/>
      <c r="B32" s="2307" t="s">
        <v>218</v>
      </c>
      <c r="C32" s="2314">
        <f>C31/1</f>
        <v>17.5842642</v>
      </c>
      <c r="D32" s="2317" t="s">
        <v>2060</v>
      </c>
      <c r="E32" s="3135" t="s">
        <v>2061</v>
      </c>
      <c r="F32" s="3136"/>
      <c r="G32" s="3136"/>
      <c r="H32" s="3136"/>
      <c r="I32" s="3136"/>
      <c r="J32" s="3136"/>
      <c r="K32" s="3136"/>
      <c r="L32" s="3136"/>
      <c r="M32" s="3136"/>
      <c r="N32" s="3136"/>
      <c r="O32" s="3136"/>
      <c r="P32" s="3136"/>
      <c r="Q32" s="3136"/>
      <c r="R32" s="3136"/>
      <c r="S32" s="3136"/>
      <c r="T32" s="3137"/>
      <c r="U32" s="928"/>
    </row>
    <row r="33" spans="1:21" ht="15" customHeight="1">
      <c r="A33" s="942"/>
      <c r="B33" s="2300"/>
      <c r="C33" s="2301"/>
      <c r="D33" s="2301"/>
      <c r="E33" s="3138" t="s">
        <v>2062</v>
      </c>
      <c r="F33" s="3138"/>
      <c r="G33" s="3138"/>
      <c r="H33" s="3138"/>
      <c r="I33" s="3138"/>
      <c r="J33" s="3138"/>
      <c r="K33" s="3138"/>
      <c r="L33" s="3138"/>
      <c r="M33" s="3138"/>
      <c r="N33" s="3138"/>
      <c r="O33" s="3138"/>
      <c r="P33" s="3138"/>
      <c r="Q33" s="3138"/>
      <c r="R33" s="3138"/>
      <c r="S33" s="3138"/>
      <c r="T33" s="3139"/>
      <c r="U33" s="928"/>
    </row>
    <row r="34" spans="1:21" ht="15" customHeight="1">
      <c r="A34" s="942"/>
      <c r="B34" s="2300"/>
      <c r="C34" s="2301"/>
      <c r="D34" s="2301"/>
      <c r="E34" s="2318" t="s">
        <v>2064</v>
      </c>
      <c r="F34" s="2318"/>
      <c r="G34" s="2318"/>
      <c r="H34" s="2318"/>
      <c r="I34" s="2318"/>
      <c r="J34" s="2318"/>
      <c r="K34" s="2318"/>
      <c r="L34" s="2318"/>
      <c r="M34" s="2318"/>
      <c r="N34" s="2318"/>
      <c r="O34" s="2318"/>
      <c r="P34" s="2318"/>
      <c r="Q34" s="2318"/>
      <c r="R34" s="2318"/>
      <c r="S34" s="2318"/>
      <c r="T34" s="2319"/>
      <c r="U34" s="928"/>
    </row>
    <row r="35" spans="1:21" ht="15" customHeight="1">
      <c r="A35" s="942"/>
      <c r="B35" s="2300"/>
      <c r="C35" s="2301"/>
      <c r="D35" s="2301"/>
      <c r="E35" s="2301" t="s">
        <v>2063</v>
      </c>
      <c r="F35" s="2320"/>
      <c r="G35" s="2320"/>
      <c r="H35" s="2320"/>
      <c r="I35" s="2320"/>
      <c r="J35" s="2320"/>
      <c r="K35" s="2320"/>
      <c r="L35" s="2320"/>
      <c r="M35" s="2320"/>
      <c r="N35" s="2320"/>
      <c r="O35" s="2320"/>
      <c r="P35" s="2320"/>
      <c r="Q35" s="2320"/>
      <c r="R35" s="2320"/>
      <c r="S35" s="2320"/>
      <c r="T35" s="2321"/>
      <c r="U35" s="928"/>
    </row>
    <row r="36" spans="1:21" ht="15" customHeight="1" thickBot="1">
      <c r="A36" s="942"/>
      <c r="B36" s="2322"/>
      <c r="C36" s="2305"/>
      <c r="D36" s="2305"/>
      <c r="E36" s="2316"/>
      <c r="F36" s="2305"/>
      <c r="G36" s="2305"/>
      <c r="H36" s="2305"/>
      <c r="I36" s="2305"/>
      <c r="J36" s="2305"/>
      <c r="K36" s="2305"/>
      <c r="L36" s="2305"/>
      <c r="M36" s="2305"/>
      <c r="N36" s="2305"/>
      <c r="O36" s="2305"/>
      <c r="P36" s="2305"/>
      <c r="Q36" s="2305"/>
      <c r="R36" s="2305"/>
      <c r="S36" s="2305"/>
      <c r="T36" s="2306"/>
      <c r="U36" s="928"/>
    </row>
    <row r="37" spans="1:21" ht="15" customHeight="1">
      <c r="A37" s="942"/>
      <c r="B37" s="933"/>
      <c r="C37" s="933"/>
      <c r="D37" s="933"/>
      <c r="E37" s="933"/>
      <c r="F37" s="933"/>
      <c r="G37" s="933"/>
      <c r="H37" s="933"/>
      <c r="I37" s="933"/>
      <c r="J37" s="933"/>
      <c r="K37" s="933"/>
      <c r="L37" s="933"/>
      <c r="M37" s="933"/>
      <c r="N37" s="933"/>
      <c r="O37" s="933"/>
      <c r="P37" s="933"/>
      <c r="Q37" s="933"/>
      <c r="R37" s="933"/>
      <c r="S37" s="933"/>
      <c r="T37" s="933"/>
      <c r="U37" s="928"/>
    </row>
    <row r="38" spans="1:21" ht="15" customHeight="1">
      <c r="A38" s="942"/>
      <c r="B38" s="933"/>
      <c r="C38" s="933"/>
      <c r="D38" s="933"/>
      <c r="E38" s="933"/>
      <c r="F38" s="933"/>
      <c r="G38" s="933"/>
      <c r="H38" s="933"/>
      <c r="I38" s="933"/>
      <c r="J38" s="933"/>
      <c r="K38" s="933"/>
      <c r="L38" s="933"/>
      <c r="M38" s="933"/>
      <c r="N38" s="933"/>
      <c r="O38" s="933"/>
      <c r="P38" s="933"/>
      <c r="Q38" s="933"/>
      <c r="R38" s="933"/>
      <c r="S38" s="933"/>
      <c r="T38" s="933"/>
      <c r="U38" s="928"/>
    </row>
    <row r="39" spans="1:21" ht="15" customHeight="1">
      <c r="A39" s="942"/>
      <c r="B39" s="933"/>
      <c r="C39" s="933"/>
      <c r="D39" s="933"/>
      <c r="E39" s="933"/>
      <c r="F39" s="933"/>
      <c r="G39" s="933"/>
      <c r="H39" s="933"/>
      <c r="I39" s="933"/>
      <c r="J39" s="933"/>
      <c r="K39" s="933"/>
      <c r="L39" s="933"/>
      <c r="M39" s="933"/>
      <c r="N39" s="933"/>
      <c r="O39" s="933"/>
      <c r="P39" s="933"/>
      <c r="Q39" s="933"/>
      <c r="R39" s="933"/>
      <c r="S39" s="933"/>
      <c r="T39" s="933"/>
      <c r="U39" s="928"/>
    </row>
    <row r="40" spans="1:21" ht="15" customHeight="1">
      <c r="A40" s="942"/>
      <c r="B40" s="933"/>
      <c r="C40" s="933"/>
      <c r="D40" s="933"/>
      <c r="E40" s="933"/>
      <c r="F40" s="933"/>
      <c r="G40" s="933"/>
      <c r="H40" s="933"/>
      <c r="I40" s="933"/>
      <c r="J40" s="933"/>
      <c r="K40" s="933"/>
      <c r="L40" s="933"/>
      <c r="M40" s="933"/>
      <c r="N40" s="933"/>
      <c r="O40" s="933"/>
      <c r="P40" s="933"/>
      <c r="Q40" s="933"/>
      <c r="R40" s="933"/>
      <c r="S40" s="933"/>
      <c r="T40" s="933"/>
      <c r="U40" s="928"/>
    </row>
    <row r="41" spans="1:21" ht="15" customHeight="1">
      <c r="A41" s="942"/>
      <c r="B41" s="933"/>
      <c r="C41" s="933"/>
      <c r="D41" s="933"/>
      <c r="E41" s="933"/>
      <c r="F41" s="933"/>
      <c r="G41" s="933"/>
      <c r="H41" s="933"/>
      <c r="I41" s="933"/>
      <c r="J41" s="933"/>
      <c r="K41" s="933"/>
      <c r="L41" s="933"/>
      <c r="M41" s="933"/>
      <c r="N41" s="933"/>
      <c r="O41" s="933"/>
      <c r="P41" s="933"/>
      <c r="Q41" s="933"/>
      <c r="R41" s="933"/>
      <c r="S41" s="933"/>
      <c r="T41" s="933"/>
      <c r="U41" s="928"/>
    </row>
    <row r="42" spans="1:21" ht="15" customHeight="1">
      <c r="A42" s="942"/>
      <c r="B42" s="933"/>
      <c r="C42" s="933"/>
      <c r="D42" s="933"/>
      <c r="E42" s="933"/>
      <c r="F42" s="933"/>
      <c r="G42" s="933"/>
      <c r="H42" s="933"/>
      <c r="I42" s="933"/>
      <c r="J42" s="933"/>
      <c r="K42" s="933"/>
      <c r="L42" s="933"/>
      <c r="M42" s="933"/>
      <c r="N42" s="933"/>
      <c r="O42" s="933"/>
      <c r="P42" s="933"/>
      <c r="Q42" s="933"/>
      <c r="R42" s="933"/>
      <c r="S42" s="933"/>
      <c r="T42" s="933"/>
      <c r="U42" s="928"/>
    </row>
    <row r="43" spans="1:21" ht="15" customHeight="1">
      <c r="A43" s="942"/>
      <c r="B43" s="933"/>
      <c r="C43" s="933"/>
      <c r="D43" s="933"/>
      <c r="E43" s="933"/>
      <c r="F43" s="933"/>
      <c r="G43" s="933"/>
      <c r="H43" s="933"/>
      <c r="I43" s="933"/>
      <c r="J43" s="933"/>
      <c r="K43" s="933"/>
      <c r="L43" s="933"/>
      <c r="M43" s="933"/>
      <c r="N43" s="933"/>
      <c r="O43" s="933"/>
      <c r="P43" s="933"/>
      <c r="Q43" s="933"/>
      <c r="R43" s="933"/>
      <c r="S43" s="933"/>
      <c r="T43" s="933"/>
      <c r="U43" s="928"/>
    </row>
    <row r="44" spans="1:21" ht="15" customHeight="1">
      <c r="A44" s="942"/>
      <c r="B44" s="933"/>
      <c r="C44" s="933"/>
      <c r="D44" s="933"/>
      <c r="E44" s="933"/>
      <c r="F44" s="933"/>
      <c r="G44" s="933"/>
      <c r="H44" s="933"/>
      <c r="I44" s="933"/>
      <c r="J44" s="933"/>
      <c r="K44" s="933"/>
      <c r="L44" s="933"/>
      <c r="M44" s="933"/>
      <c r="N44" s="933"/>
      <c r="O44" s="933"/>
      <c r="P44" s="933"/>
      <c r="Q44" s="933"/>
      <c r="R44" s="933"/>
      <c r="S44" s="933"/>
      <c r="T44" s="933"/>
      <c r="U44" s="928"/>
    </row>
    <row r="45" spans="1:21" ht="15" customHeight="1">
      <c r="A45" s="942"/>
      <c r="B45" s="933"/>
      <c r="C45" s="933"/>
      <c r="D45" s="933"/>
      <c r="E45" s="933"/>
      <c r="F45" s="933"/>
      <c r="G45" s="933"/>
      <c r="H45" s="933"/>
      <c r="I45" s="933"/>
      <c r="J45" s="933"/>
      <c r="K45" s="933"/>
      <c r="L45" s="933"/>
      <c r="M45" s="933"/>
      <c r="N45" s="933"/>
      <c r="O45" s="933"/>
      <c r="P45" s="933"/>
      <c r="Q45" s="933"/>
      <c r="R45" s="933"/>
      <c r="S45" s="933"/>
      <c r="T45" s="933"/>
      <c r="U45" s="928"/>
    </row>
    <row r="46" spans="1:21" ht="15" customHeight="1">
      <c r="A46" s="942"/>
      <c r="B46" s="933"/>
      <c r="C46" s="933"/>
      <c r="D46" s="933"/>
      <c r="E46" s="933"/>
      <c r="F46" s="933"/>
      <c r="G46" s="933"/>
      <c r="H46" s="933"/>
      <c r="I46" s="933"/>
      <c r="J46" s="933"/>
      <c r="K46" s="933"/>
      <c r="L46" s="933"/>
      <c r="M46" s="933"/>
      <c r="N46" s="933"/>
      <c r="O46" s="933"/>
      <c r="P46" s="933"/>
      <c r="Q46" s="933"/>
      <c r="R46" s="933"/>
      <c r="S46" s="933"/>
      <c r="T46" s="933"/>
      <c r="U46" s="928"/>
    </row>
    <row r="47" spans="1:21" ht="15" customHeight="1">
      <c r="A47" s="942"/>
      <c r="B47" s="933"/>
      <c r="C47" s="933"/>
      <c r="D47" s="933"/>
      <c r="E47" s="933"/>
      <c r="F47" s="933"/>
      <c r="G47" s="933"/>
      <c r="H47" s="933"/>
      <c r="I47" s="933"/>
      <c r="J47" s="933"/>
      <c r="K47" s="933"/>
      <c r="L47" s="933"/>
      <c r="M47" s="933"/>
      <c r="N47" s="933"/>
      <c r="O47" s="933"/>
      <c r="P47" s="933"/>
      <c r="Q47" s="933"/>
      <c r="R47" s="933"/>
      <c r="S47" s="933"/>
      <c r="T47" s="933"/>
      <c r="U47" s="928"/>
    </row>
    <row r="48" spans="1:21" ht="15" customHeight="1">
      <c r="A48" s="942"/>
      <c r="B48" s="933"/>
      <c r="C48" s="933"/>
      <c r="D48" s="933"/>
      <c r="E48" s="933"/>
      <c r="F48" s="933"/>
      <c r="G48" s="933"/>
      <c r="H48" s="933"/>
      <c r="I48" s="933"/>
      <c r="J48" s="933"/>
      <c r="K48" s="933"/>
      <c r="L48" s="933"/>
      <c r="M48" s="933"/>
      <c r="N48" s="933"/>
      <c r="O48" s="933"/>
      <c r="P48" s="933"/>
      <c r="Q48" s="933"/>
      <c r="R48" s="933"/>
      <c r="S48" s="933"/>
      <c r="T48" s="933"/>
      <c r="U48" s="928"/>
    </row>
    <row r="49" spans="1:21" ht="15" customHeight="1">
      <c r="A49" s="942"/>
      <c r="B49" s="933"/>
      <c r="C49" s="933"/>
      <c r="D49" s="933"/>
      <c r="E49" s="933"/>
      <c r="F49" s="933"/>
      <c r="G49" s="933"/>
      <c r="H49" s="933"/>
      <c r="I49" s="933"/>
      <c r="J49" s="933"/>
      <c r="K49" s="933"/>
      <c r="L49" s="933"/>
      <c r="M49" s="933"/>
      <c r="N49" s="933"/>
      <c r="O49" s="933"/>
      <c r="P49" s="933"/>
      <c r="Q49" s="933"/>
      <c r="R49" s="933"/>
      <c r="S49" s="933"/>
      <c r="T49" s="933"/>
      <c r="U49" s="928"/>
    </row>
    <row r="50" spans="1:21" ht="15" customHeight="1">
      <c r="A50" s="942"/>
      <c r="B50" s="933"/>
      <c r="C50" s="933"/>
      <c r="D50" s="933"/>
      <c r="E50" s="933"/>
      <c r="F50" s="933"/>
      <c r="G50" s="933"/>
      <c r="H50" s="933"/>
      <c r="I50" s="933"/>
      <c r="J50" s="933"/>
      <c r="K50" s="933"/>
      <c r="L50" s="933"/>
      <c r="M50" s="933"/>
      <c r="N50" s="933"/>
      <c r="O50" s="933"/>
      <c r="P50" s="933"/>
      <c r="Q50" s="933"/>
      <c r="R50" s="933"/>
      <c r="S50" s="933"/>
      <c r="T50" s="933"/>
      <c r="U50" s="928"/>
    </row>
    <row r="51" spans="1:21" ht="15" customHeight="1">
      <c r="A51" s="942"/>
      <c r="B51" s="933"/>
      <c r="C51" s="933"/>
      <c r="D51" s="933"/>
      <c r="E51" s="933"/>
      <c r="F51" s="933"/>
      <c r="G51" s="933"/>
      <c r="H51" s="933"/>
      <c r="I51" s="933"/>
      <c r="J51" s="933"/>
      <c r="K51" s="933"/>
      <c r="L51" s="933"/>
      <c r="M51" s="933"/>
      <c r="N51" s="933"/>
      <c r="O51" s="933"/>
      <c r="P51" s="933"/>
      <c r="Q51" s="933"/>
      <c r="R51" s="933"/>
      <c r="S51" s="933"/>
      <c r="T51" s="933"/>
      <c r="U51" s="928"/>
    </row>
    <row r="52" spans="1:21" ht="15" customHeight="1">
      <c r="A52" s="942"/>
      <c r="B52" s="933"/>
      <c r="C52" s="933"/>
      <c r="D52" s="933"/>
      <c r="E52" s="933"/>
      <c r="F52" s="933"/>
      <c r="G52" s="933"/>
      <c r="H52" s="933"/>
      <c r="I52" s="933"/>
      <c r="J52" s="933"/>
      <c r="K52" s="933"/>
      <c r="L52" s="933"/>
      <c r="M52" s="933"/>
      <c r="N52" s="933"/>
      <c r="O52" s="933"/>
      <c r="P52" s="933"/>
      <c r="Q52" s="933"/>
      <c r="R52" s="933"/>
      <c r="S52" s="933"/>
      <c r="T52" s="933"/>
      <c r="U52" s="928"/>
    </row>
    <row r="53" spans="1:21" ht="15" customHeight="1">
      <c r="A53" s="942"/>
      <c r="B53" s="933"/>
      <c r="C53" s="933"/>
      <c r="D53" s="933"/>
      <c r="E53" s="933"/>
      <c r="F53" s="933"/>
      <c r="G53" s="933"/>
      <c r="H53" s="933"/>
      <c r="I53" s="933"/>
      <c r="J53" s="933"/>
      <c r="K53" s="933"/>
      <c r="L53" s="933"/>
      <c r="M53" s="933"/>
      <c r="N53" s="933"/>
      <c r="O53" s="933"/>
      <c r="P53" s="933"/>
      <c r="Q53" s="933"/>
      <c r="R53" s="933"/>
      <c r="S53" s="933"/>
      <c r="T53" s="933"/>
      <c r="U53" s="928"/>
    </row>
    <row r="54" spans="1:21" ht="15" customHeight="1">
      <c r="A54" s="942"/>
      <c r="B54" s="933"/>
      <c r="C54" s="933"/>
      <c r="D54" s="933"/>
      <c r="E54" s="933"/>
      <c r="F54" s="933"/>
      <c r="G54" s="933"/>
      <c r="H54" s="933"/>
      <c r="I54" s="933"/>
      <c r="J54" s="933"/>
      <c r="K54" s="933"/>
      <c r="L54" s="933"/>
      <c r="M54" s="933"/>
      <c r="N54" s="933"/>
      <c r="O54" s="933"/>
      <c r="P54" s="933"/>
      <c r="Q54" s="933"/>
      <c r="R54" s="933"/>
      <c r="S54" s="933"/>
      <c r="T54" s="933"/>
      <c r="U54" s="928"/>
    </row>
    <row r="55" spans="1:21" ht="15" customHeight="1">
      <c r="A55" s="942"/>
      <c r="B55" s="933"/>
      <c r="C55" s="933"/>
      <c r="D55" s="933"/>
      <c r="E55" s="933"/>
      <c r="F55" s="933"/>
      <c r="G55" s="933"/>
      <c r="H55" s="933"/>
      <c r="I55" s="933"/>
      <c r="J55" s="933"/>
      <c r="K55" s="933"/>
      <c r="L55" s="933"/>
      <c r="M55" s="933"/>
      <c r="N55" s="933"/>
      <c r="O55" s="933"/>
      <c r="P55" s="933"/>
      <c r="Q55" s="933"/>
      <c r="R55" s="933"/>
      <c r="S55" s="933"/>
      <c r="T55" s="933"/>
      <c r="U55" s="928"/>
    </row>
    <row r="56" spans="1:21" ht="15" customHeight="1">
      <c r="A56" s="942"/>
      <c r="B56" s="933"/>
      <c r="C56" s="933"/>
      <c r="D56" s="933"/>
      <c r="E56" s="933"/>
      <c r="F56" s="933"/>
      <c r="G56" s="933"/>
      <c r="H56" s="933"/>
      <c r="I56" s="933"/>
      <c r="J56" s="933"/>
      <c r="K56" s="933"/>
      <c r="L56" s="933"/>
      <c r="M56" s="933"/>
      <c r="N56" s="933"/>
      <c r="O56" s="933"/>
      <c r="P56" s="933"/>
      <c r="Q56" s="933"/>
      <c r="R56" s="933"/>
      <c r="S56" s="933"/>
      <c r="T56" s="933"/>
      <c r="U56" s="928"/>
    </row>
    <row r="57" spans="1:21" ht="15" customHeight="1">
      <c r="A57" s="942"/>
      <c r="B57" s="933"/>
      <c r="C57" s="933"/>
      <c r="D57" s="933"/>
      <c r="E57" s="933"/>
      <c r="F57" s="933"/>
      <c r="G57" s="933"/>
      <c r="H57" s="933"/>
      <c r="I57" s="933"/>
      <c r="J57" s="933"/>
      <c r="K57" s="933"/>
      <c r="L57" s="933"/>
      <c r="M57" s="933"/>
      <c r="N57" s="933"/>
      <c r="O57" s="933"/>
      <c r="P57" s="933"/>
      <c r="Q57" s="933"/>
      <c r="R57" s="933"/>
      <c r="S57" s="933"/>
      <c r="T57" s="933"/>
      <c r="U57" s="928"/>
    </row>
    <row r="58" spans="1:21" ht="15" customHeight="1">
      <c r="A58" s="942"/>
      <c r="B58" s="933"/>
      <c r="C58" s="933"/>
      <c r="D58" s="933"/>
      <c r="E58" s="933"/>
      <c r="F58" s="933"/>
      <c r="G58" s="933"/>
      <c r="H58" s="933"/>
      <c r="I58" s="933"/>
      <c r="J58" s="933"/>
      <c r="K58" s="933"/>
      <c r="L58" s="933"/>
      <c r="M58" s="933"/>
      <c r="N58" s="933"/>
      <c r="O58" s="933"/>
      <c r="P58" s="933"/>
      <c r="Q58" s="933"/>
      <c r="R58" s="933"/>
      <c r="S58" s="933"/>
      <c r="T58" s="933"/>
      <c r="U58" s="928"/>
    </row>
    <row r="59" spans="1:21" ht="15" customHeight="1">
      <c r="A59" s="942"/>
      <c r="B59" s="933"/>
      <c r="C59" s="933"/>
      <c r="D59" s="933"/>
      <c r="E59" s="933"/>
      <c r="F59" s="933"/>
      <c r="G59" s="933"/>
      <c r="H59" s="933"/>
      <c r="I59" s="933"/>
      <c r="J59" s="933"/>
      <c r="K59" s="933"/>
      <c r="L59" s="933"/>
      <c r="M59" s="933"/>
      <c r="N59" s="933"/>
      <c r="O59" s="933"/>
      <c r="P59" s="933"/>
      <c r="Q59" s="933"/>
      <c r="R59" s="933"/>
      <c r="S59" s="933"/>
      <c r="T59" s="933"/>
      <c r="U59" s="928"/>
    </row>
    <row r="60" spans="1:21" ht="15" customHeight="1">
      <c r="A60" s="942"/>
      <c r="B60" s="933"/>
      <c r="C60" s="933"/>
      <c r="D60" s="933"/>
      <c r="E60" s="933"/>
      <c r="F60" s="933"/>
      <c r="G60" s="933"/>
      <c r="H60" s="933"/>
      <c r="I60" s="933"/>
      <c r="J60" s="933"/>
      <c r="K60" s="933"/>
      <c r="L60" s="933"/>
      <c r="M60" s="933"/>
      <c r="N60" s="933"/>
      <c r="O60" s="933"/>
      <c r="P60" s="933"/>
      <c r="Q60" s="933"/>
      <c r="R60" s="933"/>
      <c r="S60" s="933"/>
      <c r="T60" s="933"/>
      <c r="U60" s="928"/>
    </row>
    <row r="61" spans="1:21" ht="15" customHeight="1">
      <c r="A61" s="942"/>
      <c r="B61" s="933"/>
      <c r="C61" s="933"/>
      <c r="D61" s="933"/>
      <c r="E61" s="933"/>
      <c r="F61" s="933"/>
      <c r="G61" s="933"/>
      <c r="H61" s="933"/>
      <c r="I61" s="933"/>
      <c r="J61" s="933"/>
      <c r="K61" s="933"/>
      <c r="L61" s="933"/>
      <c r="M61" s="933"/>
      <c r="N61" s="933"/>
      <c r="O61" s="933"/>
      <c r="P61" s="933"/>
      <c r="Q61" s="933"/>
      <c r="R61" s="933"/>
      <c r="S61" s="933"/>
      <c r="T61" s="933"/>
      <c r="U61" s="928"/>
    </row>
    <row r="62" spans="1:21" ht="15" customHeight="1">
      <c r="A62" s="942"/>
      <c r="B62" s="933"/>
      <c r="C62" s="933"/>
      <c r="D62" s="933"/>
      <c r="E62" s="933"/>
      <c r="F62" s="933"/>
      <c r="G62" s="933"/>
      <c r="H62" s="933"/>
      <c r="I62" s="933"/>
      <c r="J62" s="933"/>
      <c r="K62" s="933"/>
      <c r="L62" s="933"/>
      <c r="M62" s="933"/>
      <c r="N62" s="933"/>
      <c r="O62" s="933"/>
      <c r="P62" s="933"/>
      <c r="Q62" s="933"/>
      <c r="R62" s="933"/>
      <c r="S62" s="933"/>
      <c r="T62" s="933"/>
      <c r="U62" s="928"/>
    </row>
    <row r="63" spans="1:21" ht="15" customHeight="1">
      <c r="A63" s="942"/>
      <c r="B63" s="933"/>
      <c r="C63" s="933"/>
      <c r="D63" s="933"/>
      <c r="E63" s="933"/>
      <c r="F63" s="933"/>
      <c r="G63" s="933"/>
      <c r="H63" s="933"/>
      <c r="I63" s="933"/>
      <c r="J63" s="933"/>
      <c r="K63" s="933"/>
      <c r="L63" s="933"/>
      <c r="M63" s="933"/>
      <c r="N63" s="933"/>
      <c r="O63" s="933"/>
      <c r="P63" s="933"/>
      <c r="Q63" s="933"/>
      <c r="R63" s="933"/>
      <c r="S63" s="933"/>
      <c r="T63" s="933"/>
      <c r="U63" s="928"/>
    </row>
    <row r="64" spans="1:21" ht="15" customHeight="1">
      <c r="A64" s="942"/>
      <c r="B64" s="933"/>
      <c r="C64" s="933"/>
      <c r="D64" s="933"/>
      <c r="E64" s="933"/>
      <c r="F64" s="933"/>
      <c r="G64" s="933"/>
      <c r="H64" s="933"/>
      <c r="I64" s="933"/>
      <c r="J64" s="933"/>
      <c r="K64" s="933"/>
      <c r="L64" s="933"/>
      <c r="M64" s="933"/>
      <c r="N64" s="933"/>
      <c r="O64" s="933"/>
      <c r="P64" s="933"/>
      <c r="Q64" s="933"/>
      <c r="R64" s="933"/>
      <c r="S64" s="933"/>
      <c r="T64" s="933"/>
      <c r="U64" s="928"/>
    </row>
    <row r="65" spans="1:21" ht="15" customHeight="1">
      <c r="A65" s="942"/>
      <c r="B65" s="933"/>
      <c r="C65" s="933"/>
      <c r="D65" s="933"/>
      <c r="E65" s="933"/>
      <c r="F65" s="933"/>
      <c r="G65" s="933"/>
      <c r="H65" s="933"/>
      <c r="I65" s="933"/>
      <c r="J65" s="933"/>
      <c r="K65" s="933"/>
      <c r="L65" s="933"/>
      <c r="M65" s="933"/>
      <c r="N65" s="933"/>
      <c r="O65" s="933"/>
      <c r="P65" s="933"/>
      <c r="Q65" s="933"/>
      <c r="R65" s="933"/>
      <c r="S65" s="933"/>
      <c r="T65" s="933"/>
      <c r="U65" s="928"/>
    </row>
    <row r="66" spans="1:21" ht="15" customHeight="1">
      <c r="A66" s="942"/>
      <c r="B66" s="933"/>
      <c r="C66" s="933"/>
      <c r="D66" s="933"/>
      <c r="E66" s="933"/>
      <c r="F66" s="933"/>
      <c r="G66" s="933"/>
      <c r="H66" s="933"/>
      <c r="I66" s="933"/>
      <c r="J66" s="933"/>
      <c r="K66" s="933"/>
      <c r="L66" s="933"/>
      <c r="M66" s="933"/>
      <c r="N66" s="933"/>
      <c r="O66" s="933"/>
      <c r="P66" s="933"/>
      <c r="Q66" s="933"/>
      <c r="R66" s="933"/>
      <c r="S66" s="933"/>
      <c r="T66" s="933"/>
      <c r="U66" s="928"/>
    </row>
    <row r="67" spans="1:21" ht="15" customHeight="1">
      <c r="A67" s="942"/>
      <c r="B67" s="933"/>
      <c r="C67" s="933"/>
      <c r="D67" s="933"/>
      <c r="E67" s="933"/>
      <c r="F67" s="933"/>
      <c r="G67" s="933"/>
      <c r="H67" s="933"/>
      <c r="I67" s="933"/>
      <c r="J67" s="933"/>
      <c r="K67" s="933"/>
      <c r="L67" s="933"/>
      <c r="M67" s="933"/>
      <c r="N67" s="933"/>
      <c r="O67" s="933"/>
      <c r="P67" s="933"/>
      <c r="Q67" s="933"/>
      <c r="R67" s="933"/>
      <c r="S67" s="933"/>
      <c r="T67" s="933"/>
      <c r="U67" s="928"/>
    </row>
    <row r="68" spans="1:21" ht="15" customHeight="1">
      <c r="A68" s="942"/>
      <c r="B68" s="933"/>
      <c r="C68" s="933"/>
      <c r="D68" s="933"/>
      <c r="E68" s="933"/>
      <c r="F68" s="933"/>
      <c r="G68" s="933"/>
      <c r="H68" s="933"/>
      <c r="I68" s="933"/>
      <c r="J68" s="933"/>
      <c r="K68" s="933"/>
      <c r="L68" s="933"/>
      <c r="M68" s="933"/>
      <c r="N68" s="933"/>
      <c r="O68" s="933"/>
      <c r="P68" s="933"/>
      <c r="Q68" s="933"/>
      <c r="R68" s="933"/>
      <c r="S68" s="933"/>
      <c r="T68" s="933"/>
      <c r="U68" s="928"/>
    </row>
    <row r="69" spans="1:21" ht="15" customHeight="1">
      <c r="A69" s="942"/>
      <c r="B69" s="933"/>
      <c r="C69" s="933"/>
      <c r="D69" s="933"/>
      <c r="E69" s="933"/>
      <c r="F69" s="933"/>
      <c r="G69" s="933"/>
      <c r="H69" s="933"/>
      <c r="I69" s="933"/>
      <c r="J69" s="933"/>
      <c r="K69" s="933"/>
      <c r="L69" s="933"/>
      <c r="M69" s="933"/>
      <c r="N69" s="933"/>
      <c r="O69" s="933"/>
      <c r="P69" s="933"/>
      <c r="Q69" s="933"/>
      <c r="R69" s="933"/>
      <c r="S69" s="933"/>
      <c r="T69" s="933"/>
      <c r="U69" s="928"/>
    </row>
    <row r="70" spans="1:21" ht="15" customHeight="1">
      <c r="A70" s="942"/>
      <c r="B70" s="933"/>
      <c r="C70" s="933"/>
      <c r="D70" s="933"/>
      <c r="E70" s="933"/>
      <c r="F70" s="933"/>
      <c r="G70" s="933"/>
      <c r="H70" s="933"/>
      <c r="I70" s="933"/>
      <c r="J70" s="933"/>
      <c r="K70" s="933"/>
      <c r="L70" s="933"/>
      <c r="M70" s="933"/>
      <c r="N70" s="933"/>
      <c r="O70" s="933"/>
      <c r="P70" s="933"/>
      <c r="Q70" s="933"/>
      <c r="R70" s="933"/>
      <c r="S70" s="933"/>
      <c r="T70" s="933"/>
      <c r="U70" s="928"/>
    </row>
  </sheetData>
  <sheetProtection formatCells="0" formatColumns="0" formatRows="0" insertColumns="0" insertRows="0" selectLockedCells="1"/>
  <mergeCells count="10">
    <mergeCell ref="C26:E26"/>
    <mergeCell ref="E32:T32"/>
    <mergeCell ref="E33:T33"/>
    <mergeCell ref="V1:Y1"/>
    <mergeCell ref="Q19:T19"/>
    <mergeCell ref="Q14:T14"/>
    <mergeCell ref="Q15:R15"/>
    <mergeCell ref="Q16:R16"/>
    <mergeCell ref="Q17:R17"/>
    <mergeCell ref="Q18:R18"/>
  </mergeCells>
  <hyperlinks>
    <hyperlink ref="V1" location="INDEX!A1" display="INDEX!A1"/>
  </hyperlinks>
  <pageMargins left="0.17" right="0.25" top="1.34" bottom="1" header="0.5" footer="0.5"/>
  <pageSetup scale="110" orientation="landscape" r:id="rId1"/>
  <headerFooter alignWithMargins="0"/>
  <ignoredErrors>
    <ignoredError sqref="W15"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9457" r:id="rId4" name="Drop Down 1">
              <controlPr defaultSize="0" autoFill="0" autoLine="0" autoPict="0">
                <anchor moveWithCells="1">
                  <from>
                    <xdr:col>1</xdr:col>
                    <xdr:colOff>0</xdr:colOff>
                    <xdr:row>2</xdr:row>
                    <xdr:rowOff>0</xdr:rowOff>
                  </from>
                  <to>
                    <xdr:col>3</xdr:col>
                    <xdr:colOff>0</xdr:colOff>
                    <xdr:row>3</xdr:row>
                    <xdr:rowOff>9525</xdr:rowOff>
                  </to>
                </anchor>
              </controlPr>
            </control>
          </mc:Choice>
        </mc:AlternateContent>
        <mc:AlternateContent xmlns:mc="http://schemas.openxmlformats.org/markup-compatibility/2006">
          <mc:Choice Requires="x14">
            <control shapeId="19458" r:id="rId5" name="Drop Down 2">
              <controlPr defaultSize="0" autoFill="0" autoLine="0" autoPict="0">
                <anchor moveWithCells="1">
                  <from>
                    <xdr:col>1</xdr:col>
                    <xdr:colOff>0</xdr:colOff>
                    <xdr:row>6</xdr:row>
                    <xdr:rowOff>0</xdr:rowOff>
                  </from>
                  <to>
                    <xdr:col>3</xdr:col>
                    <xdr:colOff>0</xdr:colOff>
                    <xdr:row>7</xdr:row>
                    <xdr:rowOff>0</xdr:rowOff>
                  </to>
                </anchor>
              </controlPr>
            </control>
          </mc:Choice>
        </mc:AlternateContent>
        <mc:AlternateContent xmlns:mc="http://schemas.openxmlformats.org/markup-compatibility/2006">
          <mc:Choice Requires="x14">
            <control shapeId="19459" r:id="rId6" name="Drop Down 3">
              <controlPr defaultSize="0" autoFill="0" autoLine="0" autoPict="0">
                <anchor moveWithCells="1">
                  <from>
                    <xdr:col>1</xdr:col>
                    <xdr:colOff>0</xdr:colOff>
                    <xdr:row>10</xdr:row>
                    <xdr:rowOff>0</xdr:rowOff>
                  </from>
                  <to>
                    <xdr:col>3</xdr:col>
                    <xdr:colOff>0</xdr:colOff>
                    <xdr:row>11</xdr:row>
                    <xdr:rowOff>0</xdr:rowOff>
                  </to>
                </anchor>
              </controlPr>
            </control>
          </mc:Choice>
        </mc:AlternateContent>
        <mc:AlternateContent xmlns:mc="http://schemas.openxmlformats.org/markup-compatibility/2006">
          <mc:Choice Requires="x14">
            <control shapeId="19460" r:id="rId7" name="Drop Down 4">
              <controlPr defaultSize="0" autoFill="0" autoLine="0" autoPict="0">
                <anchor moveWithCells="1">
                  <from>
                    <xdr:col>1</xdr:col>
                    <xdr:colOff>0</xdr:colOff>
                    <xdr:row>14</xdr:row>
                    <xdr:rowOff>0</xdr:rowOff>
                  </from>
                  <to>
                    <xdr:col>3</xdr:col>
                    <xdr:colOff>0</xdr:colOff>
                    <xdr:row>15</xdr:row>
                    <xdr:rowOff>0</xdr:rowOff>
                  </to>
                </anchor>
              </controlPr>
            </control>
          </mc:Choice>
        </mc:AlternateContent>
        <mc:AlternateContent xmlns:mc="http://schemas.openxmlformats.org/markup-compatibility/2006">
          <mc:Choice Requires="x14">
            <control shapeId="19461" r:id="rId8" name="Drop Down 5">
              <controlPr defaultSize="0" autoFill="0" autoLine="0" autoPict="0">
                <anchor moveWithCells="1">
                  <from>
                    <xdr:col>1</xdr:col>
                    <xdr:colOff>0</xdr:colOff>
                    <xdr:row>18</xdr:row>
                    <xdr:rowOff>0</xdr:rowOff>
                  </from>
                  <to>
                    <xdr:col>3</xdr:col>
                    <xdr:colOff>0</xdr:colOff>
                    <xdr:row>19</xdr:row>
                    <xdr:rowOff>0</xdr:rowOff>
                  </to>
                </anchor>
              </controlPr>
            </control>
          </mc:Choice>
        </mc:AlternateContent>
        <mc:AlternateContent xmlns:mc="http://schemas.openxmlformats.org/markup-compatibility/2006">
          <mc:Choice Requires="x14">
            <control shapeId="19462" r:id="rId9" name="Drop Down 6">
              <controlPr defaultSize="0" autoFill="0" autoLine="0" autoPict="0">
                <anchor moveWithCells="1">
                  <from>
                    <xdr:col>6</xdr:col>
                    <xdr:colOff>0</xdr:colOff>
                    <xdr:row>2</xdr:row>
                    <xdr:rowOff>0</xdr:rowOff>
                  </from>
                  <to>
                    <xdr:col>7</xdr:col>
                    <xdr:colOff>647700</xdr:colOff>
                    <xdr:row>3</xdr:row>
                    <xdr:rowOff>9525</xdr:rowOff>
                  </to>
                </anchor>
              </controlPr>
            </control>
          </mc:Choice>
        </mc:AlternateContent>
        <mc:AlternateContent xmlns:mc="http://schemas.openxmlformats.org/markup-compatibility/2006">
          <mc:Choice Requires="x14">
            <control shapeId="19463" r:id="rId10" name="Drop Down 7">
              <controlPr defaultSize="0" autoFill="0" autoLine="0" autoPict="0">
                <anchor moveWithCells="1">
                  <from>
                    <xdr:col>6</xdr:col>
                    <xdr:colOff>0</xdr:colOff>
                    <xdr:row>6</xdr:row>
                    <xdr:rowOff>0</xdr:rowOff>
                  </from>
                  <to>
                    <xdr:col>7</xdr:col>
                    <xdr:colOff>647700</xdr:colOff>
                    <xdr:row>7</xdr:row>
                    <xdr:rowOff>0</xdr:rowOff>
                  </to>
                </anchor>
              </controlPr>
            </control>
          </mc:Choice>
        </mc:AlternateContent>
        <mc:AlternateContent xmlns:mc="http://schemas.openxmlformats.org/markup-compatibility/2006">
          <mc:Choice Requires="x14">
            <control shapeId="19464" r:id="rId11" name="Drop Down 8">
              <controlPr defaultSize="0" autoFill="0" autoLine="0" autoPict="0">
                <anchor moveWithCells="1">
                  <from>
                    <xdr:col>6</xdr:col>
                    <xdr:colOff>0</xdr:colOff>
                    <xdr:row>10</xdr:row>
                    <xdr:rowOff>0</xdr:rowOff>
                  </from>
                  <to>
                    <xdr:col>7</xdr:col>
                    <xdr:colOff>647700</xdr:colOff>
                    <xdr:row>11</xdr:row>
                    <xdr:rowOff>0</xdr:rowOff>
                  </to>
                </anchor>
              </controlPr>
            </control>
          </mc:Choice>
        </mc:AlternateContent>
        <mc:AlternateContent xmlns:mc="http://schemas.openxmlformats.org/markup-compatibility/2006">
          <mc:Choice Requires="x14">
            <control shapeId="19465" r:id="rId12" name="Drop Down 9">
              <controlPr defaultSize="0" autoFill="0" autoLine="0" autoPict="0">
                <anchor moveWithCells="1">
                  <from>
                    <xdr:col>6</xdr:col>
                    <xdr:colOff>0</xdr:colOff>
                    <xdr:row>18</xdr:row>
                    <xdr:rowOff>0</xdr:rowOff>
                  </from>
                  <to>
                    <xdr:col>7</xdr:col>
                    <xdr:colOff>647700</xdr:colOff>
                    <xdr:row>19</xdr:row>
                    <xdr:rowOff>0</xdr:rowOff>
                  </to>
                </anchor>
              </controlPr>
            </control>
          </mc:Choice>
        </mc:AlternateContent>
        <mc:AlternateContent xmlns:mc="http://schemas.openxmlformats.org/markup-compatibility/2006">
          <mc:Choice Requires="x14">
            <control shapeId="19466" r:id="rId13" name="Drop Down 10">
              <controlPr defaultSize="0" autoFill="0" autoLine="0" autoPict="0">
                <anchor moveWithCells="1">
                  <from>
                    <xdr:col>6</xdr:col>
                    <xdr:colOff>0</xdr:colOff>
                    <xdr:row>14</xdr:row>
                    <xdr:rowOff>0</xdr:rowOff>
                  </from>
                  <to>
                    <xdr:col>7</xdr:col>
                    <xdr:colOff>647700</xdr:colOff>
                    <xdr:row>15</xdr:row>
                    <xdr:rowOff>0</xdr:rowOff>
                  </to>
                </anchor>
              </controlPr>
            </control>
          </mc:Choice>
        </mc:AlternateContent>
        <mc:AlternateContent xmlns:mc="http://schemas.openxmlformats.org/markup-compatibility/2006">
          <mc:Choice Requires="x14">
            <control shapeId="19467" r:id="rId14" name="Drop Down 11">
              <controlPr defaultSize="0" autoFill="0" autoLine="0" autoPict="0">
                <anchor moveWithCells="1">
                  <from>
                    <xdr:col>11</xdr:col>
                    <xdr:colOff>0</xdr:colOff>
                    <xdr:row>2</xdr:row>
                    <xdr:rowOff>0</xdr:rowOff>
                  </from>
                  <to>
                    <xdr:col>12</xdr:col>
                    <xdr:colOff>609600</xdr:colOff>
                    <xdr:row>2</xdr:row>
                    <xdr:rowOff>180975</xdr:rowOff>
                  </to>
                </anchor>
              </controlPr>
            </control>
          </mc:Choice>
        </mc:AlternateContent>
        <mc:AlternateContent xmlns:mc="http://schemas.openxmlformats.org/markup-compatibility/2006">
          <mc:Choice Requires="x14">
            <control shapeId="19468" r:id="rId15" name="Drop Down 12">
              <controlPr defaultSize="0" autoFill="0" autoLine="0" autoPict="0">
                <anchor moveWithCells="1">
                  <from>
                    <xdr:col>11</xdr:col>
                    <xdr:colOff>0</xdr:colOff>
                    <xdr:row>2</xdr:row>
                    <xdr:rowOff>0</xdr:rowOff>
                  </from>
                  <to>
                    <xdr:col>12</xdr:col>
                    <xdr:colOff>647700</xdr:colOff>
                    <xdr:row>3</xdr:row>
                    <xdr:rowOff>9525</xdr:rowOff>
                  </to>
                </anchor>
              </controlPr>
            </control>
          </mc:Choice>
        </mc:AlternateContent>
        <mc:AlternateContent xmlns:mc="http://schemas.openxmlformats.org/markup-compatibility/2006">
          <mc:Choice Requires="x14">
            <control shapeId="19469" r:id="rId16" name="Drop Down 13">
              <controlPr defaultSize="0" autoFill="0" autoLine="0" autoPict="0">
                <anchor moveWithCells="1">
                  <from>
                    <xdr:col>16</xdr:col>
                    <xdr:colOff>0</xdr:colOff>
                    <xdr:row>6</xdr:row>
                    <xdr:rowOff>0</xdr:rowOff>
                  </from>
                  <to>
                    <xdr:col>18</xdr:col>
                    <xdr:colOff>0</xdr:colOff>
                    <xdr:row>7</xdr:row>
                    <xdr:rowOff>0</xdr:rowOff>
                  </to>
                </anchor>
              </controlPr>
            </control>
          </mc:Choice>
        </mc:AlternateContent>
        <mc:AlternateContent xmlns:mc="http://schemas.openxmlformats.org/markup-compatibility/2006">
          <mc:Choice Requires="x14">
            <control shapeId="19470" r:id="rId17" name="Drop Down 14">
              <controlPr defaultSize="0" autoFill="0" autoLine="0" autoPict="0">
                <anchor moveWithCells="1">
                  <from>
                    <xdr:col>16</xdr:col>
                    <xdr:colOff>0</xdr:colOff>
                    <xdr:row>10</xdr:row>
                    <xdr:rowOff>0</xdr:rowOff>
                  </from>
                  <to>
                    <xdr:col>18</xdr:col>
                    <xdr:colOff>0</xdr:colOff>
                    <xdr:row>11</xdr:row>
                    <xdr:rowOff>0</xdr:rowOff>
                  </to>
                </anchor>
              </controlPr>
            </control>
          </mc:Choice>
        </mc:AlternateContent>
        <mc:AlternateContent xmlns:mc="http://schemas.openxmlformats.org/markup-compatibility/2006">
          <mc:Choice Requires="x14">
            <control shapeId="19471" r:id="rId18" name="Drop Down 15">
              <controlPr defaultSize="0" autoFill="0" autoLine="0" autoPict="0">
                <anchor moveWithCells="1">
                  <from>
                    <xdr:col>1</xdr:col>
                    <xdr:colOff>0</xdr:colOff>
                    <xdr:row>3</xdr:row>
                    <xdr:rowOff>0</xdr:rowOff>
                  </from>
                  <to>
                    <xdr:col>3</xdr:col>
                    <xdr:colOff>0</xdr:colOff>
                    <xdr:row>4</xdr:row>
                    <xdr:rowOff>0</xdr:rowOff>
                  </to>
                </anchor>
              </controlPr>
            </control>
          </mc:Choice>
        </mc:AlternateContent>
        <mc:AlternateContent xmlns:mc="http://schemas.openxmlformats.org/markup-compatibility/2006">
          <mc:Choice Requires="x14">
            <control shapeId="19472" r:id="rId19" name="Drop Down 16">
              <controlPr defaultSize="0" autoFill="0" autoLine="0" autoPict="0">
                <anchor moveWithCells="1">
                  <from>
                    <xdr:col>1</xdr:col>
                    <xdr:colOff>0</xdr:colOff>
                    <xdr:row>7</xdr:row>
                    <xdr:rowOff>0</xdr:rowOff>
                  </from>
                  <to>
                    <xdr:col>3</xdr:col>
                    <xdr:colOff>0</xdr:colOff>
                    <xdr:row>8</xdr:row>
                    <xdr:rowOff>9525</xdr:rowOff>
                  </to>
                </anchor>
              </controlPr>
            </control>
          </mc:Choice>
        </mc:AlternateContent>
        <mc:AlternateContent xmlns:mc="http://schemas.openxmlformats.org/markup-compatibility/2006">
          <mc:Choice Requires="x14">
            <control shapeId="19473" r:id="rId20" name="Drop Down 17">
              <controlPr defaultSize="0" autoFill="0" autoLine="0" autoPict="0">
                <anchor moveWithCells="1">
                  <from>
                    <xdr:col>1</xdr:col>
                    <xdr:colOff>0</xdr:colOff>
                    <xdr:row>11</xdr:row>
                    <xdr:rowOff>0</xdr:rowOff>
                  </from>
                  <to>
                    <xdr:col>3</xdr:col>
                    <xdr:colOff>0</xdr:colOff>
                    <xdr:row>12</xdr:row>
                    <xdr:rowOff>0</xdr:rowOff>
                  </to>
                </anchor>
              </controlPr>
            </control>
          </mc:Choice>
        </mc:AlternateContent>
        <mc:AlternateContent xmlns:mc="http://schemas.openxmlformats.org/markup-compatibility/2006">
          <mc:Choice Requires="x14">
            <control shapeId="19474" r:id="rId21" name="Drop Down 18">
              <controlPr defaultSize="0" autoFill="0" autoLine="0" autoPict="0">
                <anchor moveWithCells="1">
                  <from>
                    <xdr:col>1</xdr:col>
                    <xdr:colOff>0</xdr:colOff>
                    <xdr:row>15</xdr:row>
                    <xdr:rowOff>0</xdr:rowOff>
                  </from>
                  <to>
                    <xdr:col>3</xdr:col>
                    <xdr:colOff>0</xdr:colOff>
                    <xdr:row>16</xdr:row>
                    <xdr:rowOff>0</xdr:rowOff>
                  </to>
                </anchor>
              </controlPr>
            </control>
          </mc:Choice>
        </mc:AlternateContent>
        <mc:AlternateContent xmlns:mc="http://schemas.openxmlformats.org/markup-compatibility/2006">
          <mc:Choice Requires="x14">
            <control shapeId="19475" r:id="rId22" name="Drop Down 19">
              <controlPr defaultSize="0" autoFill="0" autoLine="0" autoPict="0">
                <anchor moveWithCells="1">
                  <from>
                    <xdr:col>1</xdr:col>
                    <xdr:colOff>0</xdr:colOff>
                    <xdr:row>19</xdr:row>
                    <xdr:rowOff>0</xdr:rowOff>
                  </from>
                  <to>
                    <xdr:col>3</xdr:col>
                    <xdr:colOff>0</xdr:colOff>
                    <xdr:row>20</xdr:row>
                    <xdr:rowOff>0</xdr:rowOff>
                  </to>
                </anchor>
              </controlPr>
            </control>
          </mc:Choice>
        </mc:AlternateContent>
        <mc:AlternateContent xmlns:mc="http://schemas.openxmlformats.org/markup-compatibility/2006">
          <mc:Choice Requires="x14">
            <control shapeId="19476" r:id="rId23" name="Drop Down 20">
              <controlPr defaultSize="0" autoFill="0" autoLine="0" autoPict="0">
                <anchor moveWithCells="1">
                  <from>
                    <xdr:col>6</xdr:col>
                    <xdr:colOff>0</xdr:colOff>
                    <xdr:row>3</xdr:row>
                    <xdr:rowOff>0</xdr:rowOff>
                  </from>
                  <to>
                    <xdr:col>7</xdr:col>
                    <xdr:colOff>647700</xdr:colOff>
                    <xdr:row>4</xdr:row>
                    <xdr:rowOff>0</xdr:rowOff>
                  </to>
                </anchor>
              </controlPr>
            </control>
          </mc:Choice>
        </mc:AlternateContent>
        <mc:AlternateContent xmlns:mc="http://schemas.openxmlformats.org/markup-compatibility/2006">
          <mc:Choice Requires="x14">
            <control shapeId="19477" r:id="rId24" name="Drop Down 21">
              <controlPr defaultSize="0" autoFill="0" autoLine="0" autoPict="0">
                <anchor moveWithCells="1">
                  <from>
                    <xdr:col>6</xdr:col>
                    <xdr:colOff>0</xdr:colOff>
                    <xdr:row>7</xdr:row>
                    <xdr:rowOff>0</xdr:rowOff>
                  </from>
                  <to>
                    <xdr:col>7</xdr:col>
                    <xdr:colOff>647700</xdr:colOff>
                    <xdr:row>8</xdr:row>
                    <xdr:rowOff>9525</xdr:rowOff>
                  </to>
                </anchor>
              </controlPr>
            </control>
          </mc:Choice>
        </mc:AlternateContent>
        <mc:AlternateContent xmlns:mc="http://schemas.openxmlformats.org/markup-compatibility/2006">
          <mc:Choice Requires="x14">
            <control shapeId="19478" r:id="rId25" name="Drop Down 22">
              <controlPr defaultSize="0" autoFill="0" autoLine="0" autoPict="0">
                <anchor moveWithCells="1">
                  <from>
                    <xdr:col>6</xdr:col>
                    <xdr:colOff>0</xdr:colOff>
                    <xdr:row>11</xdr:row>
                    <xdr:rowOff>0</xdr:rowOff>
                  </from>
                  <to>
                    <xdr:col>7</xdr:col>
                    <xdr:colOff>647700</xdr:colOff>
                    <xdr:row>12</xdr:row>
                    <xdr:rowOff>0</xdr:rowOff>
                  </to>
                </anchor>
              </controlPr>
            </control>
          </mc:Choice>
        </mc:AlternateContent>
        <mc:AlternateContent xmlns:mc="http://schemas.openxmlformats.org/markup-compatibility/2006">
          <mc:Choice Requires="x14">
            <control shapeId="19479" r:id="rId26" name="Drop Down 23">
              <controlPr defaultSize="0" autoFill="0" autoLine="0" autoPict="0">
                <anchor moveWithCells="1">
                  <from>
                    <xdr:col>6</xdr:col>
                    <xdr:colOff>0</xdr:colOff>
                    <xdr:row>19</xdr:row>
                    <xdr:rowOff>0</xdr:rowOff>
                  </from>
                  <to>
                    <xdr:col>7</xdr:col>
                    <xdr:colOff>647700</xdr:colOff>
                    <xdr:row>20</xdr:row>
                    <xdr:rowOff>0</xdr:rowOff>
                  </to>
                </anchor>
              </controlPr>
            </control>
          </mc:Choice>
        </mc:AlternateContent>
        <mc:AlternateContent xmlns:mc="http://schemas.openxmlformats.org/markup-compatibility/2006">
          <mc:Choice Requires="x14">
            <control shapeId="19480" r:id="rId27" name="Drop Down 24">
              <controlPr defaultSize="0" autoFill="0" autoLine="0" autoPict="0">
                <anchor moveWithCells="1">
                  <from>
                    <xdr:col>6</xdr:col>
                    <xdr:colOff>0</xdr:colOff>
                    <xdr:row>15</xdr:row>
                    <xdr:rowOff>0</xdr:rowOff>
                  </from>
                  <to>
                    <xdr:col>7</xdr:col>
                    <xdr:colOff>647700</xdr:colOff>
                    <xdr:row>16</xdr:row>
                    <xdr:rowOff>0</xdr:rowOff>
                  </to>
                </anchor>
              </controlPr>
            </control>
          </mc:Choice>
        </mc:AlternateContent>
        <mc:AlternateContent xmlns:mc="http://schemas.openxmlformats.org/markup-compatibility/2006">
          <mc:Choice Requires="x14">
            <control shapeId="19481" r:id="rId28" name="Drop Down 25">
              <controlPr defaultSize="0" autoFill="0" autoLine="0" autoPict="0">
                <anchor moveWithCells="1">
                  <from>
                    <xdr:col>11</xdr:col>
                    <xdr:colOff>0</xdr:colOff>
                    <xdr:row>3</xdr:row>
                    <xdr:rowOff>0</xdr:rowOff>
                  </from>
                  <to>
                    <xdr:col>12</xdr:col>
                    <xdr:colOff>647700</xdr:colOff>
                    <xdr:row>4</xdr:row>
                    <xdr:rowOff>0</xdr:rowOff>
                  </to>
                </anchor>
              </controlPr>
            </control>
          </mc:Choice>
        </mc:AlternateContent>
        <mc:AlternateContent xmlns:mc="http://schemas.openxmlformats.org/markup-compatibility/2006">
          <mc:Choice Requires="x14">
            <control shapeId="19482" r:id="rId29" name="Drop Down 26">
              <controlPr defaultSize="0" autoFill="0" autoLine="0" autoPict="0">
                <anchor moveWithCells="1">
                  <from>
                    <xdr:col>11</xdr:col>
                    <xdr:colOff>0</xdr:colOff>
                    <xdr:row>7</xdr:row>
                    <xdr:rowOff>0</xdr:rowOff>
                  </from>
                  <to>
                    <xdr:col>12</xdr:col>
                    <xdr:colOff>647700</xdr:colOff>
                    <xdr:row>8</xdr:row>
                    <xdr:rowOff>9525</xdr:rowOff>
                  </to>
                </anchor>
              </controlPr>
            </control>
          </mc:Choice>
        </mc:AlternateContent>
        <mc:AlternateContent xmlns:mc="http://schemas.openxmlformats.org/markup-compatibility/2006">
          <mc:Choice Requires="x14">
            <control shapeId="19483" r:id="rId30" name="Drop Down 27">
              <controlPr defaultSize="0" autoFill="0" autoLine="0" autoPict="0">
                <anchor moveWithCells="1">
                  <from>
                    <xdr:col>11</xdr:col>
                    <xdr:colOff>0</xdr:colOff>
                    <xdr:row>11</xdr:row>
                    <xdr:rowOff>0</xdr:rowOff>
                  </from>
                  <to>
                    <xdr:col>12</xdr:col>
                    <xdr:colOff>647700</xdr:colOff>
                    <xdr:row>12</xdr:row>
                    <xdr:rowOff>0</xdr:rowOff>
                  </to>
                </anchor>
              </controlPr>
            </control>
          </mc:Choice>
        </mc:AlternateContent>
        <mc:AlternateContent xmlns:mc="http://schemas.openxmlformats.org/markup-compatibility/2006">
          <mc:Choice Requires="x14">
            <control shapeId="19484" r:id="rId31" name="Drop Down 28">
              <controlPr defaultSize="0" autoFill="0" autoLine="0" autoPict="0">
                <anchor moveWithCells="1">
                  <from>
                    <xdr:col>11</xdr:col>
                    <xdr:colOff>0</xdr:colOff>
                    <xdr:row>15</xdr:row>
                    <xdr:rowOff>0</xdr:rowOff>
                  </from>
                  <to>
                    <xdr:col>12</xdr:col>
                    <xdr:colOff>647700</xdr:colOff>
                    <xdr:row>16</xdr:row>
                    <xdr:rowOff>0</xdr:rowOff>
                  </to>
                </anchor>
              </controlPr>
            </control>
          </mc:Choice>
        </mc:AlternateContent>
        <mc:AlternateContent xmlns:mc="http://schemas.openxmlformats.org/markup-compatibility/2006">
          <mc:Choice Requires="x14">
            <control shapeId="19485" r:id="rId32" name="Drop Down 29">
              <controlPr defaultSize="0" autoFill="0" autoLine="0" autoPict="0">
                <anchor moveWithCells="1">
                  <from>
                    <xdr:col>11</xdr:col>
                    <xdr:colOff>0</xdr:colOff>
                    <xdr:row>19</xdr:row>
                    <xdr:rowOff>0</xdr:rowOff>
                  </from>
                  <to>
                    <xdr:col>12</xdr:col>
                    <xdr:colOff>647700</xdr:colOff>
                    <xdr:row>20</xdr:row>
                    <xdr:rowOff>0</xdr:rowOff>
                  </to>
                </anchor>
              </controlPr>
            </control>
          </mc:Choice>
        </mc:AlternateContent>
        <mc:AlternateContent xmlns:mc="http://schemas.openxmlformats.org/markup-compatibility/2006">
          <mc:Choice Requires="x14">
            <control shapeId="19486" r:id="rId33" name="Drop Down 30">
              <controlPr defaultSize="0" autoFill="0" autoLine="0" autoPict="0">
                <anchor moveWithCells="1">
                  <from>
                    <xdr:col>16</xdr:col>
                    <xdr:colOff>0</xdr:colOff>
                    <xdr:row>7</xdr:row>
                    <xdr:rowOff>0</xdr:rowOff>
                  </from>
                  <to>
                    <xdr:col>18</xdr:col>
                    <xdr:colOff>0</xdr:colOff>
                    <xdr:row>8</xdr:row>
                    <xdr:rowOff>9525</xdr:rowOff>
                  </to>
                </anchor>
              </controlPr>
            </control>
          </mc:Choice>
        </mc:AlternateContent>
        <mc:AlternateContent xmlns:mc="http://schemas.openxmlformats.org/markup-compatibility/2006">
          <mc:Choice Requires="x14">
            <control shapeId="19487" r:id="rId34" name="Drop Down 31">
              <controlPr defaultSize="0" autoFill="0" autoLine="0" autoPict="0">
                <anchor moveWithCells="1">
                  <from>
                    <xdr:col>16</xdr:col>
                    <xdr:colOff>0</xdr:colOff>
                    <xdr:row>11</xdr:row>
                    <xdr:rowOff>0</xdr:rowOff>
                  </from>
                  <to>
                    <xdr:col>18</xdr:col>
                    <xdr:colOff>0</xdr:colOff>
                    <xdr:row>12</xdr:row>
                    <xdr:rowOff>0</xdr:rowOff>
                  </to>
                </anchor>
              </controlPr>
            </control>
          </mc:Choice>
        </mc:AlternateContent>
        <mc:AlternateContent xmlns:mc="http://schemas.openxmlformats.org/markup-compatibility/2006">
          <mc:Choice Requires="x14">
            <control shapeId="19488" r:id="rId35" name="Drop Down 32">
              <controlPr defaultSize="0" autoFill="0" autoLine="0" autoPict="0">
                <anchor moveWithCells="1">
                  <from>
                    <xdr:col>11</xdr:col>
                    <xdr:colOff>0</xdr:colOff>
                    <xdr:row>6</xdr:row>
                    <xdr:rowOff>0</xdr:rowOff>
                  </from>
                  <to>
                    <xdr:col>12</xdr:col>
                    <xdr:colOff>647700</xdr:colOff>
                    <xdr:row>7</xdr:row>
                    <xdr:rowOff>0</xdr:rowOff>
                  </to>
                </anchor>
              </controlPr>
            </control>
          </mc:Choice>
        </mc:AlternateContent>
        <mc:AlternateContent xmlns:mc="http://schemas.openxmlformats.org/markup-compatibility/2006">
          <mc:Choice Requires="x14">
            <control shapeId="19489" r:id="rId36" name="Drop Down 33">
              <controlPr defaultSize="0" autoFill="0" autoLine="0" autoPict="0">
                <anchor moveWithCells="1">
                  <from>
                    <xdr:col>11</xdr:col>
                    <xdr:colOff>0</xdr:colOff>
                    <xdr:row>10</xdr:row>
                    <xdr:rowOff>0</xdr:rowOff>
                  </from>
                  <to>
                    <xdr:col>12</xdr:col>
                    <xdr:colOff>647700</xdr:colOff>
                    <xdr:row>11</xdr:row>
                    <xdr:rowOff>0</xdr:rowOff>
                  </to>
                </anchor>
              </controlPr>
            </control>
          </mc:Choice>
        </mc:AlternateContent>
        <mc:AlternateContent xmlns:mc="http://schemas.openxmlformats.org/markup-compatibility/2006">
          <mc:Choice Requires="x14">
            <control shapeId="19490" r:id="rId37" name="Drop Down 34">
              <controlPr defaultSize="0" autoFill="0" autoLine="0" autoPict="0">
                <anchor moveWithCells="1">
                  <from>
                    <xdr:col>11</xdr:col>
                    <xdr:colOff>0</xdr:colOff>
                    <xdr:row>14</xdr:row>
                    <xdr:rowOff>0</xdr:rowOff>
                  </from>
                  <to>
                    <xdr:col>12</xdr:col>
                    <xdr:colOff>647700</xdr:colOff>
                    <xdr:row>15</xdr:row>
                    <xdr:rowOff>0</xdr:rowOff>
                  </to>
                </anchor>
              </controlPr>
            </control>
          </mc:Choice>
        </mc:AlternateContent>
        <mc:AlternateContent xmlns:mc="http://schemas.openxmlformats.org/markup-compatibility/2006">
          <mc:Choice Requires="x14">
            <control shapeId="19491" r:id="rId38" name="Drop Down 35">
              <controlPr defaultSize="0" autoFill="0" autoLine="0" autoPict="0">
                <anchor moveWithCells="1">
                  <from>
                    <xdr:col>11</xdr:col>
                    <xdr:colOff>0</xdr:colOff>
                    <xdr:row>18</xdr:row>
                    <xdr:rowOff>0</xdr:rowOff>
                  </from>
                  <to>
                    <xdr:col>12</xdr:col>
                    <xdr:colOff>647700</xdr:colOff>
                    <xdr:row>19</xdr:row>
                    <xdr:rowOff>0</xdr:rowOff>
                  </to>
                </anchor>
              </controlPr>
            </control>
          </mc:Choice>
        </mc:AlternateContent>
        <mc:AlternateContent xmlns:mc="http://schemas.openxmlformats.org/markup-compatibility/2006">
          <mc:Choice Requires="x14">
            <control shapeId="19492" r:id="rId39" name="Drop Down 36">
              <controlPr defaultSize="0" autoFill="0" autoLine="0" autoPict="0">
                <anchor moveWithCells="1">
                  <from>
                    <xdr:col>16</xdr:col>
                    <xdr:colOff>0</xdr:colOff>
                    <xdr:row>3</xdr:row>
                    <xdr:rowOff>0</xdr:rowOff>
                  </from>
                  <to>
                    <xdr:col>18</xdr:col>
                    <xdr:colOff>0</xdr:colOff>
                    <xdr:row>4</xdr:row>
                    <xdr:rowOff>0</xdr:rowOff>
                  </to>
                </anchor>
              </controlPr>
            </control>
          </mc:Choice>
        </mc:AlternateContent>
        <mc:AlternateContent xmlns:mc="http://schemas.openxmlformats.org/markup-compatibility/2006">
          <mc:Choice Requires="x14">
            <control shapeId="19493" r:id="rId40" name="Drop Down 37">
              <controlPr defaultSize="0" autoFill="0" autoLine="0" autoPict="0">
                <anchor moveWithCells="1">
                  <from>
                    <xdr:col>16</xdr:col>
                    <xdr:colOff>0</xdr:colOff>
                    <xdr:row>2</xdr:row>
                    <xdr:rowOff>0</xdr:rowOff>
                  </from>
                  <to>
                    <xdr:col>18</xdr:col>
                    <xdr:colOff>0</xdr:colOff>
                    <xdr:row>3</xdr:row>
                    <xdr:rowOff>9525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theme="8" tint="0.39997558519241921"/>
  </sheetPr>
  <dimension ref="A1:CG616"/>
  <sheetViews>
    <sheetView zoomScale="70" zoomScaleNormal="70" workbookViewId="0">
      <selection activeCell="B3" sqref="B3:E3"/>
    </sheetView>
  </sheetViews>
  <sheetFormatPr defaultColWidth="0" defaultRowHeight="0" customHeight="1" zeroHeight="1"/>
  <cols>
    <col min="1" max="1" width="1.7109375" style="14" customWidth="1"/>
    <col min="2" max="5" width="8.7109375" style="14" customWidth="1"/>
    <col min="6" max="6" width="8.7109375" style="18" customWidth="1"/>
    <col min="7" max="7" width="10.85546875" style="18" customWidth="1"/>
    <col min="8" max="8" width="8.7109375" style="18" customWidth="1"/>
    <col min="9" max="10" width="8.7109375" style="14" customWidth="1"/>
    <col min="11" max="11" width="10.5703125" style="14" customWidth="1"/>
    <col min="12" max="14" width="8.7109375" style="14" customWidth="1"/>
    <col min="15" max="15" width="11" style="14" customWidth="1"/>
    <col min="16" max="16" width="8.7109375" style="14" customWidth="1"/>
    <col min="17" max="19" width="3.28515625" style="14" customWidth="1"/>
    <col min="20" max="26" width="8.7109375" style="14" customWidth="1"/>
    <col min="27" max="27" width="1.7109375" style="14" customWidth="1"/>
    <col min="28" max="28" width="2.42578125" style="14" hidden="1" customWidth="1"/>
    <col min="29" max="29" width="16.7109375" style="15" hidden="1" customWidth="1"/>
    <col min="30" max="30" width="12.5703125" style="15" hidden="1" customWidth="1"/>
    <col min="31" max="31" width="1.5703125" style="15" hidden="1" customWidth="1"/>
    <col min="32" max="32" width="31.42578125" style="15" hidden="1" customWidth="1"/>
    <col min="33" max="33" width="10.85546875" style="15" hidden="1" customWidth="1"/>
    <col min="34" max="34" width="1.5703125" style="15" hidden="1" customWidth="1"/>
    <col min="35" max="35" width="31.42578125" style="15" hidden="1" customWidth="1"/>
    <col min="36" max="36" width="10.7109375" style="15" hidden="1" customWidth="1"/>
    <col min="37" max="37" width="1.5703125" style="15" hidden="1" customWidth="1"/>
    <col min="38" max="38" width="10.7109375" style="15" hidden="1" customWidth="1"/>
    <col min="39" max="39" width="58.28515625" style="15" hidden="1" customWidth="1"/>
    <col min="40" max="40" width="1.5703125" style="15" hidden="1" customWidth="1"/>
    <col min="41" max="41" width="10.7109375" style="15" hidden="1" customWidth="1"/>
    <col min="42" max="85" width="0" style="15" hidden="1" customWidth="1"/>
    <col min="86" max="16384" width="10.7109375" style="15" hidden="1"/>
  </cols>
  <sheetData>
    <row r="1" spans="1:44" ht="32.25" customHeight="1">
      <c r="A1" s="3181" t="s">
        <v>344</v>
      </c>
      <c r="B1" s="3182"/>
      <c r="C1" s="3182"/>
      <c r="D1" s="3182"/>
      <c r="E1" s="3182"/>
      <c r="F1" s="3182"/>
      <c r="G1" s="3182"/>
      <c r="H1" s="3182"/>
      <c r="I1" s="3182"/>
      <c r="J1" s="3182"/>
      <c r="K1" s="3182"/>
      <c r="L1" s="3182"/>
      <c r="M1" s="3182"/>
      <c r="N1" s="3182"/>
      <c r="O1" s="3182"/>
      <c r="P1" s="3182"/>
      <c r="Q1" s="3182"/>
      <c r="R1" s="3182"/>
      <c r="S1" s="3182"/>
      <c r="T1" s="3182"/>
      <c r="U1" s="3182"/>
      <c r="V1" s="3182"/>
      <c r="W1" s="3182"/>
      <c r="X1" s="3182"/>
      <c r="Y1" s="3182"/>
      <c r="Z1" s="3183"/>
      <c r="AA1" s="86"/>
      <c r="AB1" s="19"/>
      <c r="AC1" s="112" t="s">
        <v>245</v>
      </c>
      <c r="AD1" s="112" t="s">
        <v>246</v>
      </c>
      <c r="AF1" s="3173" t="s">
        <v>371</v>
      </c>
      <c r="AG1" s="172" t="s">
        <v>1</v>
      </c>
      <c r="AI1" s="3173" t="s">
        <v>371</v>
      </c>
      <c r="AJ1" s="172" t="s">
        <v>1</v>
      </c>
      <c r="AL1" s="3171" t="s">
        <v>232</v>
      </c>
      <c r="AM1" s="3172"/>
      <c r="AO1" s="40" t="s">
        <v>195</v>
      </c>
      <c r="AP1" s="41" t="s">
        <v>196</v>
      </c>
      <c r="AQ1" s="41" t="s">
        <v>197</v>
      </c>
      <c r="AR1" s="42">
        <f>(0.622*AR10)/(H9-AR10)</f>
        <v>-0.622</v>
      </c>
    </row>
    <row r="2" spans="1:44" s="26" customFormat="1" ht="34.5" customHeight="1" thickBot="1">
      <c r="A2" s="3184" t="s">
        <v>242</v>
      </c>
      <c r="B2" s="3185"/>
      <c r="C2" s="3185"/>
      <c r="D2" s="3185"/>
      <c r="E2" s="3185"/>
      <c r="F2" s="3185"/>
      <c r="G2" s="3185"/>
      <c r="H2" s="3185"/>
      <c r="I2" s="3185"/>
      <c r="J2" s="3185"/>
      <c r="K2" s="3185"/>
      <c r="L2" s="3185"/>
      <c r="M2" s="3185"/>
      <c r="N2" s="3185"/>
      <c r="O2" s="3185"/>
      <c r="P2" s="3185"/>
      <c r="Q2" s="3185"/>
      <c r="R2" s="3186"/>
      <c r="S2" s="3186"/>
      <c r="T2" s="3186"/>
      <c r="U2" s="3186"/>
      <c r="V2" s="3185"/>
      <c r="W2" s="3185"/>
      <c r="X2" s="3185"/>
      <c r="Y2" s="3185"/>
      <c r="Z2" s="3187"/>
      <c r="AA2" s="87"/>
      <c r="AB2" s="19"/>
      <c r="AC2" s="43">
        <v>50</v>
      </c>
      <c r="AD2" s="43">
        <v>80</v>
      </c>
      <c r="AE2" s="15"/>
      <c r="AF2" s="3173"/>
      <c r="AG2" s="113" t="s">
        <v>2</v>
      </c>
      <c r="AH2" s="15"/>
      <c r="AI2" s="3173"/>
      <c r="AJ2" s="113" t="s">
        <v>2</v>
      </c>
      <c r="AK2" s="15"/>
      <c r="AL2" s="44"/>
      <c r="AM2" s="44"/>
      <c r="AN2" s="15"/>
      <c r="AO2" s="45" t="s">
        <v>206</v>
      </c>
      <c r="AP2" s="41" t="s">
        <v>207</v>
      </c>
      <c r="AQ2" s="41" t="s">
        <v>208</v>
      </c>
      <c r="AR2" s="46">
        <f>AR7-(AR1*AR3)</f>
        <v>-1555.6220000000001</v>
      </c>
    </row>
    <row r="3" spans="1:44" ht="42" customHeight="1" thickBot="1">
      <c r="B3" s="3193" t="s">
        <v>1749</v>
      </c>
      <c r="C3" s="3194"/>
      <c r="D3" s="3194"/>
      <c r="E3" s="3195"/>
      <c r="F3" s="22"/>
      <c r="G3" s="22"/>
      <c r="H3" s="22"/>
      <c r="J3" s="22"/>
      <c r="K3" s="3190" t="s">
        <v>1716</v>
      </c>
      <c r="L3" s="3191"/>
      <c r="M3" s="3191"/>
      <c r="N3" s="3192"/>
      <c r="O3" s="22"/>
      <c r="P3" s="22"/>
      <c r="Q3" s="19"/>
      <c r="V3" s="22"/>
      <c r="W3" s="22"/>
      <c r="X3" s="22"/>
      <c r="Y3" s="22"/>
      <c r="Z3" s="22"/>
      <c r="AA3" s="85"/>
      <c r="AB3" s="19"/>
      <c r="AC3" s="43">
        <f>ROUNDUP(AC2-0.1,1)</f>
        <v>49.9</v>
      </c>
      <c r="AD3" s="43">
        <f>ROUNDUP(AD2+0.1,1)</f>
        <v>80.099999999999994</v>
      </c>
      <c r="AF3" s="3174"/>
      <c r="AG3" s="113" t="s">
        <v>3</v>
      </c>
      <c r="AI3" s="3174"/>
      <c r="AJ3" s="113" t="s">
        <v>3</v>
      </c>
      <c r="AL3" s="44">
        <f>IF('Chart Information'!V17="","",'Chart Information'!V17)</f>
        <v>1</v>
      </c>
      <c r="AM3" s="44" t="str">
        <f>IF('Chart Information'!U17="","",'Chart Information'!U17)</f>
        <v>Ø406mm, 4kW, 2-Pole Standard and Attenuated (Single Stage)</v>
      </c>
      <c r="AO3" s="45"/>
      <c r="AP3" s="41" t="s">
        <v>265</v>
      </c>
      <c r="AQ3" s="41" t="s">
        <v>208</v>
      </c>
      <c r="AR3" s="46">
        <f>4.18*H7</f>
        <v>0</v>
      </c>
    </row>
    <row r="4" spans="1:44" ht="15" customHeight="1">
      <c r="A4" s="19"/>
      <c r="B4" s="3147" t="s">
        <v>241</v>
      </c>
      <c r="C4" s="3147"/>
      <c r="D4" s="3147"/>
      <c r="E4" s="3147"/>
      <c r="F4" s="3147"/>
      <c r="G4" s="3147"/>
      <c r="H4" s="3147"/>
      <c r="I4" s="89"/>
      <c r="J4" s="3147" t="s">
        <v>248</v>
      </c>
      <c r="K4" s="3147"/>
      <c r="L4" s="3147"/>
      <c r="M4" s="3147"/>
      <c r="N4" s="3147"/>
      <c r="O4" s="3147"/>
      <c r="P4" s="3147"/>
      <c r="Q4" s="16"/>
      <c r="R4" s="21"/>
      <c r="S4" s="1885"/>
      <c r="T4" s="3180" t="s">
        <v>251</v>
      </c>
      <c r="U4" s="3180"/>
      <c r="V4" s="3147"/>
      <c r="W4" s="3147"/>
      <c r="X4" s="3147"/>
      <c r="Y4" s="3147"/>
      <c r="Z4" s="3147"/>
      <c r="AA4" s="85"/>
      <c r="AB4" s="19"/>
      <c r="AC4" s="43">
        <f t="shared" ref="AC4:AC67" si="0">ROUNDUP(AC3-0.1,1)</f>
        <v>49.8</v>
      </c>
      <c r="AD4" s="43">
        <f t="shared" ref="AD4:AD67" si="1">ROUNDUP(AD3+0.1,1)</f>
        <v>80.2</v>
      </c>
      <c r="AF4" s="17" t="s">
        <v>4</v>
      </c>
      <c r="AG4" s="47">
        <v>3.8818443614900731</v>
      </c>
      <c r="AI4" s="17" t="s">
        <v>28</v>
      </c>
      <c r="AJ4" s="47">
        <v>1.552738</v>
      </c>
      <c r="AL4" s="44">
        <f>IF('Chart Information'!V18="","",'Chart Information'!V18)</f>
        <v>2</v>
      </c>
      <c r="AM4" s="44" t="str">
        <f>IF('Chart Information'!U18="","",'Chart Information'!U18)</f>
        <v>Ø570mm, 7.5kW, 4-Pole Durafan (Single Stage)</v>
      </c>
      <c r="AO4" s="45"/>
      <c r="AP4" s="41" t="s">
        <v>266</v>
      </c>
      <c r="AQ4" s="41" t="s">
        <v>192</v>
      </c>
      <c r="AR4" s="46">
        <f>0.6105*(EXP(17.27*H8/(237.3+H8)))</f>
        <v>0.61050000000000004</v>
      </c>
    </row>
    <row r="5" spans="1:44" ht="15" customHeight="1">
      <c r="A5" s="19"/>
      <c r="B5" s="3147"/>
      <c r="C5" s="3147"/>
      <c r="D5" s="3147"/>
      <c r="E5" s="3147"/>
      <c r="F5" s="3147"/>
      <c r="G5" s="3147"/>
      <c r="H5" s="3147"/>
      <c r="I5" s="89"/>
      <c r="J5" s="3147"/>
      <c r="K5" s="3147"/>
      <c r="L5" s="3147"/>
      <c r="M5" s="3147"/>
      <c r="N5" s="3147"/>
      <c r="O5" s="3147"/>
      <c r="P5" s="3147"/>
      <c r="Q5" s="16"/>
      <c r="S5" s="19"/>
      <c r="T5" s="3147"/>
      <c r="U5" s="3147"/>
      <c r="V5" s="3147"/>
      <c r="W5" s="3147"/>
      <c r="X5" s="3147"/>
      <c r="Y5" s="3147"/>
      <c r="Z5" s="3147"/>
      <c r="AA5" s="85"/>
      <c r="AB5" s="19"/>
      <c r="AC5" s="43">
        <f t="shared" si="0"/>
        <v>49.7</v>
      </c>
      <c r="AD5" s="43">
        <f>ROUNDUP(AD4+0.1,1)</f>
        <v>80.3</v>
      </c>
      <c r="AF5" s="17" t="s">
        <v>5</v>
      </c>
      <c r="AG5" s="47">
        <v>7.7636887229801461</v>
      </c>
      <c r="AI5" s="17" t="s">
        <v>29</v>
      </c>
      <c r="AJ5" s="47">
        <v>-4.1380470000000003</v>
      </c>
      <c r="AL5" s="44">
        <f>IF('Chart Information'!V19="","",'Chart Information'!V19)</f>
        <v>3</v>
      </c>
      <c r="AM5" s="44" t="str">
        <f>IF('Chart Information'!U19="","",'Chart Information'!U19)</f>
        <v>Ø570mm, 7.5kW, 2-Pole Standard and Attenuated (Single Stage)</v>
      </c>
      <c r="AO5" s="45" t="s">
        <v>212</v>
      </c>
      <c r="AP5" s="41" t="s">
        <v>267</v>
      </c>
      <c r="AQ5" s="48" t="s">
        <v>268</v>
      </c>
      <c r="AR5" s="46">
        <f>(237.3*AR6)/(17.27-AR6)</f>
        <v>0</v>
      </c>
    </row>
    <row r="6" spans="1:44" ht="15" customHeight="1">
      <c r="A6" s="19"/>
      <c r="B6" s="3188" t="s">
        <v>184</v>
      </c>
      <c r="C6" s="3188"/>
      <c r="D6" s="3188"/>
      <c r="E6" s="3188"/>
      <c r="F6" s="169" t="s">
        <v>185</v>
      </c>
      <c r="G6" s="169" t="s">
        <v>186</v>
      </c>
      <c r="H6" s="169" t="s">
        <v>187</v>
      </c>
      <c r="I6" s="89"/>
      <c r="J6" s="3188" t="s">
        <v>231</v>
      </c>
      <c r="K6" s="3188"/>
      <c r="L6" s="3188"/>
      <c r="M6" s="3167" t="s">
        <v>193</v>
      </c>
      <c r="N6" s="3167"/>
      <c r="O6" s="3149" t="s">
        <v>237</v>
      </c>
      <c r="P6" s="3149" t="s">
        <v>252</v>
      </c>
      <c r="Q6" s="16"/>
      <c r="S6" s="19"/>
      <c r="T6" s="3188" t="s">
        <v>231</v>
      </c>
      <c r="U6" s="3188"/>
      <c r="V6" s="3188"/>
      <c r="W6" s="3167" t="s">
        <v>193</v>
      </c>
      <c r="X6" s="3167"/>
      <c r="Y6" s="3149" t="s">
        <v>237</v>
      </c>
      <c r="Z6" s="3149" t="s">
        <v>252</v>
      </c>
      <c r="AA6" s="85"/>
      <c r="AB6" s="19"/>
      <c r="AC6" s="43">
        <f t="shared" si="0"/>
        <v>49.6</v>
      </c>
      <c r="AD6" s="43">
        <f t="shared" si="1"/>
        <v>80.400000000000006</v>
      </c>
      <c r="AF6" s="17" t="s">
        <v>6</v>
      </c>
      <c r="AG6" s="47">
        <v>11.64553308447022</v>
      </c>
      <c r="AI6" s="17" t="s">
        <v>38</v>
      </c>
      <c r="AJ6" s="47">
        <v>0.51722500000000005</v>
      </c>
      <c r="AL6" s="44">
        <f>IF('Chart Information'!V20="","",'Chart Information'!V20)</f>
        <v>4</v>
      </c>
      <c r="AM6" s="44" t="str">
        <f>IF('Chart Information'!U20="","",'Chart Information'!U20)</f>
        <v>Ø570mm, 11kW, 4-Pole Durafan (Single Stage)</v>
      </c>
      <c r="AO6" s="45"/>
      <c r="AP6" s="41"/>
      <c r="AQ6" s="41" t="s">
        <v>213</v>
      </c>
      <c r="AR6" s="46">
        <f>LN(AR10/0.6105)</f>
        <v>0</v>
      </c>
    </row>
    <row r="7" spans="1:44" ht="15" customHeight="1">
      <c r="A7" s="19"/>
      <c r="B7" s="3189" t="s">
        <v>188</v>
      </c>
      <c r="C7" s="3189"/>
      <c r="D7" s="3189"/>
      <c r="E7" s="3189"/>
      <c r="F7" s="121" t="s">
        <v>336</v>
      </c>
      <c r="G7" s="124" t="s">
        <v>337</v>
      </c>
      <c r="H7" s="129"/>
      <c r="I7" s="89"/>
      <c r="J7" s="3188"/>
      <c r="K7" s="3188"/>
      <c r="L7" s="3188"/>
      <c r="M7" s="3167"/>
      <c r="N7" s="3167"/>
      <c r="O7" s="3149"/>
      <c r="P7" s="3149"/>
      <c r="Q7" s="16"/>
      <c r="S7" s="19"/>
      <c r="T7" s="3188"/>
      <c r="U7" s="3188"/>
      <c r="V7" s="3188"/>
      <c r="W7" s="3167"/>
      <c r="X7" s="3167"/>
      <c r="Y7" s="3149"/>
      <c r="Z7" s="3149"/>
      <c r="AA7" s="85"/>
      <c r="AB7" s="19"/>
      <c r="AC7" s="43">
        <f t="shared" si="0"/>
        <v>49.5</v>
      </c>
      <c r="AD7" s="43">
        <f t="shared" si="1"/>
        <v>80.5</v>
      </c>
      <c r="AF7" s="17" t="s">
        <v>7</v>
      </c>
      <c r="AG7" s="47">
        <v>15.527377445960292</v>
      </c>
      <c r="AI7" s="17" t="s">
        <v>39</v>
      </c>
      <c r="AJ7" s="47">
        <v>-1.3784049999999999</v>
      </c>
      <c r="AL7" s="44">
        <f>IF('Chart Information'!V21="","",'Chart Information'!V21)</f>
        <v>5</v>
      </c>
      <c r="AM7" s="44" t="str">
        <f>IF('Chart Information'!U21="","",'Chart Information'!U21)</f>
        <v>Ø570mm, 11kW, 2-Pole Standard and Attenuated (Single Stage)</v>
      </c>
      <c r="AO7" s="45" t="s">
        <v>214</v>
      </c>
      <c r="AP7" s="41" t="s">
        <v>215</v>
      </c>
      <c r="AQ7" s="41" t="s">
        <v>208</v>
      </c>
      <c r="AR7" s="46">
        <f>AR8+(AR1*AR9)</f>
        <v>-1555.6220000000001</v>
      </c>
    </row>
    <row r="8" spans="1:44" ht="15" customHeight="1">
      <c r="A8" s="19"/>
      <c r="B8" s="3189" t="s">
        <v>189</v>
      </c>
      <c r="C8" s="3189"/>
      <c r="D8" s="3189"/>
      <c r="E8" s="3189"/>
      <c r="F8" s="121" t="s">
        <v>338</v>
      </c>
      <c r="G8" s="124" t="s">
        <v>337</v>
      </c>
      <c r="H8" s="129"/>
      <c r="I8" s="89"/>
      <c r="J8" s="3188"/>
      <c r="K8" s="3188"/>
      <c r="L8" s="3188"/>
      <c r="M8" s="3196" t="s">
        <v>233</v>
      </c>
      <c r="N8" s="3196"/>
      <c r="O8" s="170" t="s">
        <v>341</v>
      </c>
      <c r="P8" s="170" t="s">
        <v>341</v>
      </c>
      <c r="Q8" s="16"/>
      <c r="S8" s="19"/>
      <c r="T8" s="3188"/>
      <c r="U8" s="3188"/>
      <c r="V8" s="3188"/>
      <c r="W8" s="3196" t="s">
        <v>233</v>
      </c>
      <c r="X8" s="3196"/>
      <c r="Y8" s="170" t="s">
        <v>341</v>
      </c>
      <c r="Z8" s="170" t="s">
        <v>341</v>
      </c>
      <c r="AA8" s="85"/>
      <c r="AB8" s="19"/>
      <c r="AC8" s="43">
        <f t="shared" si="0"/>
        <v>49.4</v>
      </c>
      <c r="AD8" s="43">
        <f>ROUNDUP(AD7+0.1,1)</f>
        <v>80.599999999999994</v>
      </c>
      <c r="AF8" s="17" t="s">
        <v>8</v>
      </c>
      <c r="AG8" s="47">
        <v>19.409221807450368</v>
      </c>
      <c r="AI8" s="17" t="s">
        <v>68</v>
      </c>
      <c r="AJ8" s="47">
        <v>0.37611699999999998</v>
      </c>
      <c r="AL8" s="44">
        <f>IF('Chart Information'!V22="","",'Chart Information'!V22)</f>
        <v>6</v>
      </c>
      <c r="AM8" s="44" t="str">
        <f>IF('Chart Information'!U22="","",'Chart Information'!U22)</f>
        <v>Ø570mm, 15kW, 4-Pole Durafan (Single Stage)</v>
      </c>
      <c r="AO8" s="45"/>
      <c r="AP8" s="41" t="s">
        <v>269</v>
      </c>
      <c r="AQ8" s="41" t="s">
        <v>208</v>
      </c>
      <c r="AR8" s="46">
        <f>1.005*H8</f>
        <v>0</v>
      </c>
    </row>
    <row r="9" spans="1:44" ht="15" customHeight="1">
      <c r="A9" s="19"/>
      <c r="B9" s="3189" t="s">
        <v>190</v>
      </c>
      <c r="C9" s="3189"/>
      <c r="D9" s="3189"/>
      <c r="E9" s="3189"/>
      <c r="F9" s="121" t="s">
        <v>191</v>
      </c>
      <c r="G9" s="170" t="s">
        <v>192</v>
      </c>
      <c r="H9" s="129"/>
      <c r="I9" s="89"/>
      <c r="J9" s="3148"/>
      <c r="K9" s="3148"/>
      <c r="L9" s="3148"/>
      <c r="M9" s="182"/>
      <c r="N9" s="131" t="str">
        <f t="shared" ref="N9:N18" si="2">IF(J9="","",M9)</f>
        <v/>
      </c>
      <c r="O9" s="183" t="str">
        <f t="shared" ref="O9:O18" si="3">IF(J9="","",VLOOKUP(J9,$AF$4:$AG$219,2,FALSE)*IF($H$10="",1.2,$H$10)/1.2)</f>
        <v/>
      </c>
      <c r="P9" s="183" t="str">
        <f t="shared" ref="P9:P18" si="4">IF(O9="","",O9*M9)</f>
        <v/>
      </c>
      <c r="Q9" s="16"/>
      <c r="S9" s="19"/>
      <c r="T9" s="3148"/>
      <c r="U9" s="3148"/>
      <c r="V9" s="3148"/>
      <c r="W9" s="182"/>
      <c r="X9" s="132" t="str">
        <f>IF(T9="","",W9)</f>
        <v/>
      </c>
      <c r="Y9" s="183" t="str">
        <f>IF(T9="","",VLOOKUP(T9,$AF$4:$AG$219,2,FALSE)*IF($H$10="",1.2,$H$10)/1.2)</f>
        <v/>
      </c>
      <c r="Z9" s="183" t="str">
        <f>IF(Y9="","",Y9*W9)</f>
        <v/>
      </c>
      <c r="AA9" s="85"/>
      <c r="AB9" s="19"/>
      <c r="AC9" s="43">
        <f t="shared" si="0"/>
        <v>49.3</v>
      </c>
      <c r="AD9" s="43">
        <f t="shared" si="1"/>
        <v>80.7</v>
      </c>
      <c r="AF9" s="17" t="s">
        <v>9</v>
      </c>
      <c r="AG9" s="47">
        <v>23.291066168940439</v>
      </c>
      <c r="AI9" s="17" t="s">
        <v>69</v>
      </c>
      <c r="AJ9" s="47">
        <v>-1.002351</v>
      </c>
      <c r="AL9" s="44">
        <f>IF('Chart Information'!V23="","",'Chart Information'!V23)</f>
        <v>7</v>
      </c>
      <c r="AM9" s="44" t="str">
        <f>IF('Chart Information'!U23="","",'Chart Information'!U23)</f>
        <v>Ø570mm, 15kW, 2-Pole Inline Centrifugal (Single Stage)</v>
      </c>
      <c r="AO9" s="45"/>
      <c r="AP9" s="41" t="s">
        <v>270</v>
      </c>
      <c r="AQ9" s="41" t="s">
        <v>208</v>
      </c>
      <c r="AR9" s="43">
        <f>(1.8*H8)+2501</f>
        <v>2501</v>
      </c>
    </row>
    <row r="10" spans="1:44" ht="15" customHeight="1">
      <c r="A10" s="19"/>
      <c r="B10" s="3189" t="s">
        <v>243</v>
      </c>
      <c r="C10" s="3189"/>
      <c r="D10" s="3189"/>
      <c r="E10" s="3189"/>
      <c r="F10" s="121" t="s">
        <v>244</v>
      </c>
      <c r="G10" s="170" t="s">
        <v>339</v>
      </c>
      <c r="H10" s="125">
        <f>IF(H7="",1.2,IF(H8="",1.2,IF(H9="",1.2,1.2*(1+AR1)/AR13)))</f>
        <v>1.2</v>
      </c>
      <c r="I10" s="89"/>
      <c r="J10" s="3148"/>
      <c r="K10" s="3148"/>
      <c r="L10" s="3148"/>
      <c r="M10" s="128"/>
      <c r="N10" s="131" t="str">
        <f t="shared" si="2"/>
        <v/>
      </c>
      <c r="O10" s="183" t="str">
        <f t="shared" si="3"/>
        <v/>
      </c>
      <c r="P10" s="183" t="str">
        <f t="shared" si="4"/>
        <v/>
      </c>
      <c r="Q10" s="16"/>
      <c r="S10" s="19"/>
      <c r="T10" s="3148"/>
      <c r="U10" s="3148"/>
      <c r="V10" s="3148"/>
      <c r="W10" s="128"/>
      <c r="X10" s="132" t="str">
        <f>IF(T10="","",W10)</f>
        <v/>
      </c>
      <c r="Y10" s="183" t="str">
        <f>IF(T10="","",VLOOKUP(T10,$AF$4:$AG$219,2,FALSE)*IF($H$10="",1.2,$H$10)/1.2)</f>
        <v/>
      </c>
      <c r="Z10" s="183" t="str">
        <f>IF(Y10="","",Y10*W10)</f>
        <v/>
      </c>
      <c r="AA10" s="85"/>
      <c r="AB10" s="19"/>
      <c r="AC10" s="43">
        <f t="shared" si="0"/>
        <v>49.2</v>
      </c>
      <c r="AD10" s="43">
        <f t="shared" si="1"/>
        <v>80.8</v>
      </c>
      <c r="AF10" s="17" t="s">
        <v>372</v>
      </c>
      <c r="AG10" s="47">
        <v>27.172910530430514</v>
      </c>
      <c r="AI10" s="17" t="s">
        <v>102</v>
      </c>
      <c r="AJ10" s="47">
        <v>6.8112000000000006E-2</v>
      </c>
      <c r="AL10" s="44">
        <f>IF('Chart Information'!V24="","",'Chart Information'!V24)</f>
        <v>8</v>
      </c>
      <c r="AM10" s="44" t="str">
        <f>IF('Chart Information'!U24="","",'Chart Information'!U24)</f>
        <v>Ø570mm, 15kW, 2-Pole Standard and Attenuated (Single Stage)</v>
      </c>
      <c r="AO10" s="45" t="s">
        <v>198</v>
      </c>
      <c r="AP10" s="41" t="s">
        <v>271</v>
      </c>
      <c r="AQ10" s="41" t="s">
        <v>192</v>
      </c>
      <c r="AR10" s="46">
        <f>AR11-(AR12*H9)*(H8-H7)</f>
        <v>0.61050000000000004</v>
      </c>
    </row>
    <row r="11" spans="1:44" ht="15" customHeight="1">
      <c r="A11" s="19"/>
      <c r="B11" s="3189" t="s">
        <v>209</v>
      </c>
      <c r="C11" s="3189"/>
      <c r="D11" s="3189"/>
      <c r="E11" s="3189"/>
      <c r="F11" s="121" t="s">
        <v>210</v>
      </c>
      <c r="G11" s="170" t="s">
        <v>211</v>
      </c>
      <c r="H11" s="125">
        <f>IF(H10="","",AR10/AR4*100)</f>
        <v>100</v>
      </c>
      <c r="I11" s="185"/>
      <c r="J11" s="3148"/>
      <c r="K11" s="3148"/>
      <c r="L11" s="3148"/>
      <c r="M11" s="128"/>
      <c r="N11" s="131" t="str">
        <f t="shared" si="2"/>
        <v/>
      </c>
      <c r="O11" s="183" t="str">
        <f t="shared" si="3"/>
        <v/>
      </c>
      <c r="P11" s="183" t="str">
        <f t="shared" si="4"/>
        <v/>
      </c>
      <c r="Q11" s="16"/>
      <c r="S11" s="19"/>
      <c r="T11" s="3148"/>
      <c r="U11" s="3148"/>
      <c r="V11" s="3148"/>
      <c r="W11" s="128"/>
      <c r="X11" s="132" t="str">
        <f>IF(T11="","",W11)</f>
        <v/>
      </c>
      <c r="Y11" s="183" t="str">
        <f>IF(T11="","",VLOOKUP(T11,$AF$4:$AG$219,2,FALSE)*IF($H$10="",1.2,$H$10)/1.2)</f>
        <v/>
      </c>
      <c r="Z11" s="183" t="str">
        <f>IF(Y11="","",Y11*W11)</f>
        <v/>
      </c>
      <c r="AA11" s="85"/>
      <c r="AB11" s="19"/>
      <c r="AC11" s="43">
        <f t="shared" si="0"/>
        <v>49.1</v>
      </c>
      <c r="AD11" s="43">
        <f t="shared" si="1"/>
        <v>80.900000000000006</v>
      </c>
      <c r="AF11" s="17" t="s">
        <v>373</v>
      </c>
      <c r="AG11" s="47">
        <v>31.054754891920584</v>
      </c>
      <c r="AI11" s="17" t="s">
        <v>103</v>
      </c>
      <c r="AJ11" s="47">
        <v>-0.18151900000000001</v>
      </c>
      <c r="AL11" s="44">
        <f>IF('Chart Information'!V25="","",'Chart Information'!V25)</f>
        <v>9</v>
      </c>
      <c r="AM11" s="44" t="str">
        <f>IF('Chart Information'!U25="","",'Chart Information'!U25)</f>
        <v>Ø570mm, 18.5kW, 2-Pole Standard and Attenuated (Single Stage)</v>
      </c>
      <c r="AO11" s="45"/>
      <c r="AP11" s="41" t="s">
        <v>272</v>
      </c>
      <c r="AQ11" s="41" t="s">
        <v>192</v>
      </c>
      <c r="AR11" s="42">
        <f>0.6105*(EXP(17.27*H7/(237.3+H7)))</f>
        <v>0.61050000000000004</v>
      </c>
    </row>
    <row r="12" spans="1:44" ht="15" customHeight="1">
      <c r="A12" s="19"/>
      <c r="B12" s="3189" t="s">
        <v>443</v>
      </c>
      <c r="C12" s="3189"/>
      <c r="D12" s="3189"/>
      <c r="E12" s="3189"/>
      <c r="F12" s="121" t="s">
        <v>219</v>
      </c>
      <c r="G12" s="170" t="s">
        <v>444</v>
      </c>
      <c r="H12" s="140">
        <v>0.52</v>
      </c>
      <c r="I12" s="89"/>
      <c r="J12" s="3148"/>
      <c r="K12" s="3148"/>
      <c r="L12" s="3148"/>
      <c r="M12" s="128"/>
      <c r="N12" s="131" t="str">
        <f t="shared" si="2"/>
        <v/>
      </c>
      <c r="O12" s="183" t="str">
        <f t="shared" si="3"/>
        <v/>
      </c>
      <c r="P12" s="183" t="str">
        <f t="shared" si="4"/>
        <v/>
      </c>
      <c r="Q12" s="16"/>
      <c r="S12" s="19"/>
      <c r="T12" s="3148"/>
      <c r="U12" s="3148"/>
      <c r="V12" s="3148"/>
      <c r="W12" s="128"/>
      <c r="X12" s="132" t="str">
        <f>IF(T12="","",W12)</f>
        <v/>
      </c>
      <c r="Y12" s="183" t="str">
        <f>IF(T12="","",VLOOKUP(T12,$AF$4:$AG$219,2,FALSE)*IF($H$10="",1.2,$H$10)/1.2)</f>
        <v/>
      </c>
      <c r="Z12" s="183" t="str">
        <f>IF(Y12="","",Y12*W12)</f>
        <v/>
      </c>
      <c r="AA12" s="85"/>
      <c r="AB12" s="19"/>
      <c r="AC12" s="43">
        <f t="shared" si="0"/>
        <v>49</v>
      </c>
      <c r="AD12" s="43">
        <f t="shared" si="1"/>
        <v>81</v>
      </c>
      <c r="AF12" s="17" t="s">
        <v>10</v>
      </c>
      <c r="AG12" s="47">
        <v>2.8337463838877537</v>
      </c>
      <c r="AI12" s="17" t="s">
        <v>136</v>
      </c>
      <c r="AJ12" s="47">
        <v>1.6164000000000001E-2</v>
      </c>
      <c r="AL12" s="44">
        <f>IF('Chart Information'!V26="","",'Chart Information'!V26)</f>
        <v>10</v>
      </c>
      <c r="AM12" s="44" t="str">
        <f>IF('Chart Information'!U26="","",'Chart Information'!U26)</f>
        <v>Ø570mm, 22kW, 2-Pole Standard and Attenuated (Single Stage)</v>
      </c>
      <c r="AO12" s="45"/>
      <c r="AP12" s="41" t="s">
        <v>199</v>
      </c>
      <c r="AQ12" s="48" t="s">
        <v>273</v>
      </c>
      <c r="AR12" s="49">
        <v>6.4400000000000004E-4</v>
      </c>
    </row>
    <row r="13" spans="1:44" ht="15" customHeight="1">
      <c r="A13" s="19"/>
      <c r="B13" s="22"/>
      <c r="C13" s="22"/>
      <c r="D13" s="22"/>
      <c r="E13" s="22"/>
      <c r="F13" s="22"/>
      <c r="G13" s="22"/>
      <c r="H13" s="22"/>
      <c r="I13" s="89"/>
      <c r="J13" s="3148"/>
      <c r="K13" s="3148"/>
      <c r="L13" s="3148"/>
      <c r="M13" s="128"/>
      <c r="N13" s="131" t="str">
        <f t="shared" si="2"/>
        <v/>
      </c>
      <c r="O13" s="183" t="str">
        <f t="shared" si="3"/>
        <v/>
      </c>
      <c r="P13" s="183" t="str">
        <f t="shared" si="4"/>
        <v/>
      </c>
      <c r="Q13" s="16"/>
      <c r="S13" s="19"/>
      <c r="T13" s="3148"/>
      <c r="U13" s="3148"/>
      <c r="V13" s="3148"/>
      <c r="W13" s="128"/>
      <c r="X13" s="132" t="str">
        <f>IF(T13="","",W13)</f>
        <v/>
      </c>
      <c r="Y13" s="183" t="str">
        <f>IF(T13="","",VLOOKUP(T13,$AF$4:$AG$219,2,FALSE)*IF($H$10="",1.2,$H$10)/1.2)</f>
        <v/>
      </c>
      <c r="Z13" s="183" t="str">
        <f>IF(Y13="","",Y13*W13)</f>
        <v/>
      </c>
      <c r="AA13" s="85"/>
      <c r="AB13" s="19"/>
      <c r="AC13" s="43">
        <f t="shared" si="0"/>
        <v>48.9</v>
      </c>
      <c r="AD13" s="43">
        <f t="shared" si="1"/>
        <v>81.099999999999994</v>
      </c>
      <c r="AF13" s="17" t="s">
        <v>11</v>
      </c>
      <c r="AG13" s="47">
        <v>5.6674927677755074</v>
      </c>
      <c r="AI13" s="17" t="s">
        <v>137</v>
      </c>
      <c r="AJ13" s="47">
        <v>-4.3076000000000003E-2</v>
      </c>
      <c r="AL13" s="44">
        <f>IF('Chart Information'!V27="","",'Chart Information'!V27)</f>
        <v>11</v>
      </c>
      <c r="AM13" s="44" t="str">
        <f>IF('Chart Information'!U27="","",'Chart Information'!U27)</f>
        <v>Ø760mm, 18.5kW, 2-Pole Standard and Attenuated (Single Stage)</v>
      </c>
      <c r="AO13" s="45" t="s">
        <v>200</v>
      </c>
      <c r="AP13" s="41" t="s">
        <v>201</v>
      </c>
      <c r="AQ13" s="41" t="s">
        <v>274</v>
      </c>
      <c r="AR13" s="46">
        <f>(0.287*AR14)/(H9-AR10)</f>
        <v>-128.40958230958228</v>
      </c>
    </row>
    <row r="14" spans="1:44" ht="15" customHeight="1">
      <c r="A14" s="19"/>
      <c r="B14" s="3147" t="s">
        <v>465</v>
      </c>
      <c r="C14" s="3147"/>
      <c r="D14" s="3147"/>
      <c r="E14" s="3147"/>
      <c r="F14" s="3147"/>
      <c r="G14" s="3147"/>
      <c r="H14" s="165"/>
      <c r="I14" s="89"/>
      <c r="J14" s="3148"/>
      <c r="K14" s="3148"/>
      <c r="L14" s="3148"/>
      <c r="M14" s="128"/>
      <c r="N14" s="131" t="str">
        <f t="shared" si="2"/>
        <v/>
      </c>
      <c r="O14" s="183" t="str">
        <f t="shared" si="3"/>
        <v/>
      </c>
      <c r="P14" s="183" t="str">
        <f t="shared" si="4"/>
        <v/>
      </c>
      <c r="Q14" s="16"/>
      <c r="T14" s="21"/>
      <c r="U14" s="21"/>
      <c r="V14" s="21"/>
      <c r="W14" s="21"/>
      <c r="X14" s="21"/>
      <c r="Y14" s="93"/>
      <c r="Z14" s="184">
        <f>IF(Y24=0,0,IF(COUNT(W9:W13)=0,0.000001,SUM(Z9:Z13)))</f>
        <v>0</v>
      </c>
      <c r="AA14" s="85"/>
      <c r="AB14" s="19"/>
      <c r="AC14" s="43">
        <f t="shared" si="0"/>
        <v>48.8</v>
      </c>
      <c r="AD14" s="43">
        <f t="shared" si="1"/>
        <v>81.2</v>
      </c>
      <c r="AF14" s="17" t="s">
        <v>12</v>
      </c>
      <c r="AG14" s="47">
        <v>8.5012391516632597</v>
      </c>
      <c r="AI14" s="17" t="s">
        <v>170</v>
      </c>
      <c r="AJ14" s="47">
        <v>3.8050000000000002E-3</v>
      </c>
      <c r="AL14" s="44">
        <f>IF('Chart Information'!V28="","",'Chart Information'!V28)</f>
        <v>12</v>
      </c>
      <c r="AM14" s="44" t="str">
        <f>IF('Chart Information'!U28="","",'Chart Information'!U28)</f>
        <v>Ø760mm, 22kW, 4-Pole Durafan (Single Stage)</v>
      </c>
      <c r="AO14" s="45"/>
      <c r="AP14" s="41" t="s">
        <v>202</v>
      </c>
      <c r="AQ14" s="41" t="s">
        <v>203</v>
      </c>
      <c r="AR14" s="46">
        <f>H8+273.15</f>
        <v>273.14999999999998</v>
      </c>
    </row>
    <row r="15" spans="1:44" ht="15" customHeight="1">
      <c r="A15" s="19"/>
      <c r="B15" s="3147"/>
      <c r="C15" s="3147"/>
      <c r="D15" s="3147"/>
      <c r="E15" s="3147"/>
      <c r="F15" s="3147"/>
      <c r="G15" s="3147"/>
      <c r="H15" s="165"/>
      <c r="I15" s="89"/>
      <c r="J15" s="3148"/>
      <c r="K15" s="3148"/>
      <c r="L15" s="3148"/>
      <c r="M15" s="128"/>
      <c r="N15" s="131" t="str">
        <f t="shared" si="2"/>
        <v/>
      </c>
      <c r="O15" s="183" t="str">
        <f t="shared" si="3"/>
        <v/>
      </c>
      <c r="P15" s="183" t="str">
        <f t="shared" si="4"/>
        <v/>
      </c>
      <c r="Q15" s="16"/>
      <c r="T15" s="3175" t="str">
        <f>IF(T24="",IF(Z14&gt;0,"No split in colum detected!",""),"")</f>
        <v/>
      </c>
      <c r="U15" s="3176"/>
      <c r="V15" s="3176"/>
      <c r="W15" s="3176"/>
      <c r="X15" s="3176"/>
      <c r="Y15" s="3176"/>
      <c r="Z15" s="3177"/>
      <c r="AA15" s="85"/>
      <c r="AB15" s="19"/>
      <c r="AC15" s="43">
        <f t="shared" si="0"/>
        <v>48.7</v>
      </c>
      <c r="AD15" s="43">
        <f t="shared" si="1"/>
        <v>81.3</v>
      </c>
      <c r="AF15" s="17" t="s">
        <v>13</v>
      </c>
      <c r="AG15" s="47">
        <v>11.334985535551015</v>
      </c>
      <c r="AI15" s="17" t="s">
        <v>171</v>
      </c>
      <c r="AJ15" s="47">
        <v>-1.0138999999999999E-2</v>
      </c>
      <c r="AL15" s="44">
        <f>IF('Chart Information'!V29="","",'Chart Information'!V29)</f>
        <v>13</v>
      </c>
      <c r="AM15" s="44" t="str">
        <f>IF('Chart Information'!U29="","",'Chart Information'!U29)</f>
        <v>Ø760mm, 22kW, 2-Pole Standard and Attenuated (Single Stage)</v>
      </c>
    </row>
    <row r="16" spans="1:44" ht="15" customHeight="1" thickBot="1">
      <c r="A16" s="19"/>
      <c r="B16" s="3199"/>
      <c r="C16" s="3200"/>
      <c r="D16" s="3200"/>
      <c r="E16" s="3200"/>
      <c r="F16" s="3200"/>
      <c r="G16" s="3201"/>
      <c r="H16" s="165"/>
      <c r="I16" s="89"/>
      <c r="J16" s="3148"/>
      <c r="K16" s="3148"/>
      <c r="L16" s="3148"/>
      <c r="M16" s="128"/>
      <c r="N16" s="131" t="str">
        <f t="shared" si="2"/>
        <v/>
      </c>
      <c r="O16" s="183" t="str">
        <f t="shared" si="3"/>
        <v/>
      </c>
      <c r="P16" s="183" t="str">
        <f t="shared" si="4"/>
        <v/>
      </c>
      <c r="Q16" s="16"/>
      <c r="R16" s="24"/>
      <c r="S16" s="24"/>
      <c r="T16" s="3178"/>
      <c r="U16" s="3179"/>
      <c r="V16" s="3179"/>
      <c r="W16" s="3179"/>
      <c r="X16" s="3179"/>
      <c r="Y16" s="3179"/>
      <c r="Z16" s="3177"/>
      <c r="AA16" s="85"/>
      <c r="AB16" s="19"/>
      <c r="AC16" s="43">
        <f t="shared" si="0"/>
        <v>48.6</v>
      </c>
      <c r="AD16" s="43">
        <f t="shared" si="1"/>
        <v>81.400000000000006</v>
      </c>
      <c r="AF16" s="17" t="s">
        <v>14</v>
      </c>
      <c r="AG16" s="47">
        <v>14.168731919438768</v>
      </c>
      <c r="AI16" s="17" t="s">
        <v>414</v>
      </c>
      <c r="AJ16" s="47">
        <v>1.5163454537070599E-3</v>
      </c>
      <c r="AL16" s="44">
        <f>IF('Chart Information'!V30="","",'Chart Information'!V30)</f>
        <v>14</v>
      </c>
      <c r="AM16" s="44" t="str">
        <f>IF('Chart Information'!U30="","",'Chart Information'!U30)</f>
        <v>Ø760mm, 22kW, 4-Pole Standard and Attenuated (Single Stage)</v>
      </c>
    </row>
    <row r="17" spans="1:39" ht="15" customHeight="1" thickBot="1">
      <c r="A17" s="19"/>
      <c r="B17" s="3202"/>
      <c r="C17" s="3203"/>
      <c r="D17" s="3203"/>
      <c r="E17" s="3203"/>
      <c r="F17" s="3203"/>
      <c r="G17" s="3204"/>
      <c r="H17" s="166"/>
      <c r="I17" s="89"/>
      <c r="J17" s="3148"/>
      <c r="K17" s="3148"/>
      <c r="L17" s="3148"/>
      <c r="M17" s="128"/>
      <c r="N17" s="131" t="str">
        <f t="shared" si="2"/>
        <v/>
      </c>
      <c r="O17" s="183" t="str">
        <f t="shared" si="3"/>
        <v/>
      </c>
      <c r="P17" s="183" t="str">
        <f t="shared" si="4"/>
        <v/>
      </c>
      <c r="Q17" s="175"/>
      <c r="R17" s="3229">
        <f>IF(Z14="","",Z14)</f>
        <v>0</v>
      </c>
      <c r="S17" s="3208">
        <f>IF(Z14="","",Z14)</f>
        <v>0</v>
      </c>
      <c r="T17" s="3208"/>
      <c r="U17" s="3208"/>
      <c r="V17" s="3208"/>
      <c r="W17" s="3208"/>
      <c r="X17" s="3208"/>
      <c r="Y17" s="3208"/>
      <c r="Z17" s="3208"/>
      <c r="AA17" s="85"/>
      <c r="AB17" s="19"/>
      <c r="AC17" s="43">
        <f t="shared" si="0"/>
        <v>48.5</v>
      </c>
      <c r="AD17" s="43">
        <f t="shared" si="1"/>
        <v>81.5</v>
      </c>
      <c r="AF17" s="17" t="s">
        <v>15</v>
      </c>
      <c r="AG17" s="47">
        <v>17.002478303326519</v>
      </c>
      <c r="AI17" s="17" t="s">
        <v>415</v>
      </c>
      <c r="AJ17" s="47">
        <v>-4.041060634129315E-3</v>
      </c>
      <c r="AL17" s="44">
        <f>IF('Chart Information'!V31="","",'Chart Information'!V31)</f>
        <v>15</v>
      </c>
      <c r="AM17" s="44" t="str">
        <f>IF('Chart Information'!U31="","",'Chart Information'!U31)</f>
        <v>Ø760mm, 30kW, 2-Pole Standard and Attenuated (Single Stage)</v>
      </c>
    </row>
    <row r="18" spans="1:39" ht="15" customHeight="1">
      <c r="A18" s="19"/>
      <c r="B18" s="3205" t="s">
        <v>467</v>
      </c>
      <c r="C18" s="3206"/>
      <c r="D18" s="3206"/>
      <c r="E18" s="3206"/>
      <c r="F18" s="3206"/>
      <c r="G18" s="3207"/>
      <c r="H18" s="166"/>
      <c r="I18" s="89"/>
      <c r="J18" s="3148"/>
      <c r="K18" s="3148"/>
      <c r="L18" s="3148"/>
      <c r="M18" s="128"/>
      <c r="N18" s="131" t="str">
        <f t="shared" si="2"/>
        <v/>
      </c>
      <c r="O18" s="183" t="str">
        <f t="shared" si="3"/>
        <v/>
      </c>
      <c r="P18" s="183" t="str">
        <f t="shared" si="4"/>
        <v/>
      </c>
      <c r="Q18" s="175"/>
      <c r="R18" s="3230"/>
      <c r="S18" s="3222" t="str">
        <f>IF(COUNTA(W9:W13)=0,"Stream 1",IF(SUM(W9:W13)=1,SUM(X9:X13)&amp; " Installed Component in Stream",SUM(X9:X13)&amp; " Installed Components in Stream 1"))</f>
        <v>Stream 1</v>
      </c>
      <c r="T18" s="3223"/>
      <c r="U18" s="3223"/>
      <c r="V18" s="3223"/>
      <c r="W18" s="3223"/>
      <c r="X18" s="3223"/>
      <c r="Y18" s="3223"/>
      <c r="Z18" s="3224"/>
      <c r="AA18" s="85"/>
      <c r="AB18" s="19"/>
      <c r="AC18" s="43">
        <f t="shared" si="0"/>
        <v>48.4</v>
      </c>
      <c r="AD18" s="43">
        <f t="shared" si="1"/>
        <v>81.599999999999994</v>
      </c>
      <c r="AF18" s="17" t="s">
        <v>16</v>
      </c>
      <c r="AG18" s="47">
        <v>19.836224687214273</v>
      </c>
      <c r="AL18" s="44">
        <f>IF('Chart Information'!V32="","",'Chart Information'!V32)</f>
        <v>16</v>
      </c>
      <c r="AM18" s="44" t="str">
        <f>IF('Chart Information'!U32="","",'Chart Information'!U32)</f>
        <v>Ø760mm, 37kW, 2-Pole Standard and Attenuated (Single Stage)</v>
      </c>
    </row>
    <row r="19" spans="1:39" ht="15" customHeight="1">
      <c r="A19" s="19"/>
      <c r="B19" s="21"/>
      <c r="C19" s="21"/>
      <c r="D19" s="21"/>
      <c r="E19" s="21"/>
      <c r="F19" s="91"/>
      <c r="G19" s="21"/>
      <c r="H19" s="3197" t="str">
        <f>IF(B16="","",B16)</f>
        <v/>
      </c>
      <c r="I19" s="3197"/>
      <c r="J19" s="3197"/>
      <c r="K19" s="91"/>
      <c r="L19" s="91"/>
      <c r="M19" s="91"/>
      <c r="N19" s="91"/>
      <c r="O19" s="93"/>
      <c r="P19" s="184">
        <f>IF(COUNT(M9:M18)=0,0,SUM(P9:P18))</f>
        <v>0</v>
      </c>
      <c r="Q19" s="175"/>
      <c r="R19" s="3230"/>
      <c r="S19" s="178"/>
      <c r="T19" s="22"/>
      <c r="U19" s="22"/>
      <c r="V19" s="22"/>
      <c r="W19" s="22"/>
      <c r="X19" s="22"/>
      <c r="Y19" s="22"/>
      <c r="Z19" s="22"/>
      <c r="AA19" s="85"/>
      <c r="AB19" s="19"/>
      <c r="AC19" s="43">
        <f t="shared" si="0"/>
        <v>48.3</v>
      </c>
      <c r="AD19" s="43">
        <f>ROUNDUP(AD18+0.1,1)</f>
        <v>81.7</v>
      </c>
      <c r="AF19" s="17" t="s">
        <v>17</v>
      </c>
      <c r="AG19" s="47">
        <v>22.669971071102029</v>
      </c>
      <c r="AL19" s="44">
        <f>IF('Chart Information'!V33="","",'Chart Information'!V33)</f>
        <v>17</v>
      </c>
      <c r="AM19" s="44" t="str">
        <f>IF('Chart Information'!U33="","",'Chart Information'!U33)</f>
        <v>Ø760mm, 45kW, 4-Pole Durafan (Single Stage)</v>
      </c>
    </row>
    <row r="20" spans="1:39" ht="15" customHeight="1">
      <c r="B20" s="21"/>
      <c r="C20" s="21"/>
      <c r="D20" s="21"/>
      <c r="E20" s="21"/>
      <c r="F20" s="91"/>
      <c r="G20" s="21"/>
      <c r="H20" s="3197"/>
      <c r="I20" s="3197"/>
      <c r="J20" s="3197"/>
      <c r="P20" s="21"/>
      <c r="Q20" s="176"/>
      <c r="R20" s="3230"/>
      <c r="S20" s="179"/>
      <c r="T20" s="3147" t="s">
        <v>249</v>
      </c>
      <c r="U20" s="3147"/>
      <c r="V20" s="3147"/>
      <c r="W20" s="3147"/>
      <c r="X20" s="3147"/>
      <c r="Y20" s="3147"/>
      <c r="Z20" s="3147"/>
      <c r="AA20" s="85"/>
      <c r="AB20" s="19"/>
      <c r="AC20" s="43">
        <f t="shared" si="0"/>
        <v>48.2</v>
      </c>
      <c r="AD20" s="43">
        <f t="shared" si="1"/>
        <v>81.8</v>
      </c>
      <c r="AF20" s="17" t="s">
        <v>18</v>
      </c>
      <c r="AG20" s="47">
        <v>25.503717454989776</v>
      </c>
      <c r="AL20" s="44">
        <f>IF('Chart Information'!V34="","",'Chart Information'!V34)</f>
        <v>18</v>
      </c>
      <c r="AM20" s="44" t="str">
        <f>IF('Chart Information'!U34="","",'Chart Information'!U34)</f>
        <v>Ø760mm, 45kW, 2-Pole Standard and Attenuated (Single Stage)</v>
      </c>
    </row>
    <row r="21" spans="1:39" ht="15" customHeight="1" thickBot="1">
      <c r="B21" s="20"/>
      <c r="C21" s="20"/>
      <c r="D21" s="20"/>
      <c r="E21" s="20"/>
      <c r="F21" s="20"/>
      <c r="G21" s="27"/>
      <c r="H21" s="3198"/>
      <c r="I21" s="3198"/>
      <c r="J21" s="3198"/>
      <c r="K21" s="27"/>
      <c r="L21" s="27"/>
      <c r="M21" s="27"/>
      <c r="N21" s="27"/>
      <c r="O21" s="27"/>
      <c r="P21" s="27"/>
      <c r="Q21" s="177"/>
      <c r="R21" s="3219">
        <f>IF(Y24="","",Y24)</f>
        <v>0</v>
      </c>
      <c r="S21" s="179"/>
      <c r="T21" s="3147"/>
      <c r="U21" s="3147"/>
      <c r="V21" s="3147"/>
      <c r="W21" s="3147"/>
      <c r="X21" s="3147"/>
      <c r="Y21" s="3147"/>
      <c r="Z21" s="3147"/>
      <c r="AA21" s="85"/>
      <c r="AB21" s="19"/>
      <c r="AC21" s="43">
        <f t="shared" si="0"/>
        <v>48.1</v>
      </c>
      <c r="AD21" s="43">
        <f t="shared" si="1"/>
        <v>81.900000000000006</v>
      </c>
      <c r="AF21" s="17" t="s">
        <v>19</v>
      </c>
      <c r="AG21" s="47">
        <v>28.337463838877536</v>
      </c>
      <c r="AL21" s="44">
        <f>IF('Chart Information'!V35="","",'Chart Information'!V35)</f>
        <v>19</v>
      </c>
      <c r="AM21" s="44" t="str">
        <f>IF('Chart Information'!U35="","",'Chart Information'!U35)</f>
        <v>Ø1016mm, 75kW, 2-Pole Standard and Attenuated (Single Stage)</v>
      </c>
    </row>
    <row r="22" spans="1:39" ht="15" customHeight="1" thickBot="1">
      <c r="A22" s="19"/>
      <c r="B22" s="3208">
        <f>+H40</f>
        <v>0</v>
      </c>
      <c r="C22" s="3208"/>
      <c r="D22" s="3208"/>
      <c r="E22" s="3208"/>
      <c r="F22" s="3208"/>
      <c r="G22" s="3208"/>
      <c r="H22" s="3209" t="str">
        <f>IF(B16="","No Fan","FAN Installed")</f>
        <v>No Fan</v>
      </c>
      <c r="I22" s="3210"/>
      <c r="J22" s="3211"/>
      <c r="K22" s="3208">
        <f>IF(P19="","",P19)</f>
        <v>0</v>
      </c>
      <c r="L22" s="3208"/>
      <c r="M22" s="3208"/>
      <c r="N22" s="3208"/>
      <c r="O22" s="3208"/>
      <c r="P22" s="3208"/>
      <c r="Q22" s="3208"/>
      <c r="R22" s="3219"/>
      <c r="S22" s="179"/>
      <c r="T22" s="3188" t="s">
        <v>231</v>
      </c>
      <c r="U22" s="3188"/>
      <c r="V22" s="3188"/>
      <c r="W22" s="3188"/>
      <c r="X22" s="3188"/>
      <c r="Y22" s="3220" t="s">
        <v>252</v>
      </c>
      <c r="Z22" s="3220"/>
      <c r="AA22" s="85"/>
      <c r="AB22" s="19"/>
      <c r="AC22" s="43">
        <f t="shared" si="0"/>
        <v>48</v>
      </c>
      <c r="AD22" s="43">
        <f t="shared" si="1"/>
        <v>82</v>
      </c>
      <c r="AF22" s="17" t="s">
        <v>20</v>
      </c>
      <c r="AG22" s="47">
        <v>31.171210222765286</v>
      </c>
      <c r="AL22" s="44">
        <f>IF('Chart Information'!V36="","",'Chart Information'!V36)</f>
        <v>20</v>
      </c>
      <c r="AM22" s="44" t="str">
        <f>IF('Chart Information'!U36="","",'Chart Information'!U36)</f>
        <v>Ø1220mm, 37kW, 4-Pole Standard and Attenuated (Double Stage)</v>
      </c>
    </row>
    <row r="23" spans="1:39" ht="15" customHeight="1">
      <c r="B23" s="3212" t="str">
        <f>IF(COUNTA(E30:E39)=0,"",IF(SUM(E30:E39)=1,SUM(F30:F39)&amp; " Installed Component",SUM(F30:F39)&amp; " Installed Components"))</f>
        <v/>
      </c>
      <c r="C23" s="3213"/>
      <c r="D23" s="3213"/>
      <c r="E23" s="3213"/>
      <c r="F23" s="3213"/>
      <c r="G23" s="3213"/>
      <c r="H23" s="24"/>
      <c r="I23" s="24"/>
      <c r="K23" s="3212" t="str">
        <f>IF(COUNTA(M9:M18)=0,"",IF(SUM(M9:M18)=1,SUM(N9:N18)&amp; " Installed Component",SUM(N9:N18)&amp; " Installed Components"))</f>
        <v/>
      </c>
      <c r="L23" s="3213"/>
      <c r="M23" s="3213"/>
      <c r="N23" s="3213"/>
      <c r="O23" s="3213"/>
      <c r="P23" s="3213"/>
      <c r="Q23" s="3214"/>
      <c r="R23" s="3219"/>
      <c r="S23" s="180"/>
      <c r="T23" s="3188"/>
      <c r="U23" s="3188"/>
      <c r="V23" s="3188"/>
      <c r="W23" s="3188"/>
      <c r="X23" s="3188"/>
      <c r="Y23" s="3196" t="s">
        <v>341</v>
      </c>
      <c r="Z23" s="3196"/>
      <c r="AA23" s="85"/>
      <c r="AB23" s="19"/>
      <c r="AC23" s="43">
        <f t="shared" si="0"/>
        <v>47.9</v>
      </c>
      <c r="AD23" s="43">
        <f t="shared" si="1"/>
        <v>82.1</v>
      </c>
      <c r="AF23" s="17" t="s">
        <v>21</v>
      </c>
      <c r="AG23" s="47">
        <v>34.004956606653039</v>
      </c>
      <c r="AL23" s="44">
        <f>IF('Chart Information'!V37="","",'Chart Information'!V37)</f>
        <v>21</v>
      </c>
      <c r="AM23" s="44" t="str">
        <f>IF('Chart Information'!U37="","",'Chart Information'!U37)</f>
        <v>Ø1220mm, 37kW, 4-Pole Standard and Attenuated (Single Stage)</v>
      </c>
    </row>
    <row r="24" spans="1:39" ht="15" customHeight="1">
      <c r="A24" s="19"/>
      <c r="F24" s="14"/>
      <c r="G24" s="14"/>
      <c r="H24" s="14"/>
      <c r="Q24" s="174"/>
      <c r="R24" s="3216">
        <f>IF(Z40="","",Z40)</f>
        <v>0</v>
      </c>
      <c r="S24" s="180"/>
      <c r="T24" s="3228"/>
      <c r="U24" s="3228"/>
      <c r="V24" s="3228"/>
      <c r="W24" s="3228"/>
      <c r="X24" s="3228"/>
      <c r="Y24" s="3221">
        <f>IF(T24="",0,VLOOKUP(T24,AI4:AJ17,2,FALSE)*IF($H$10="",1.2,$H$10)/1.2)</f>
        <v>0</v>
      </c>
      <c r="Z24" s="3221"/>
      <c r="AA24" s="85"/>
      <c r="AB24" s="19"/>
      <c r="AC24" s="43">
        <f t="shared" si="0"/>
        <v>47.8</v>
      </c>
      <c r="AD24" s="43">
        <f>ROUNDUP(AD23+0.1,1)</f>
        <v>82.2</v>
      </c>
      <c r="AF24" s="17" t="s">
        <v>22</v>
      </c>
      <c r="AG24" s="47">
        <v>36.838702990540796</v>
      </c>
      <c r="AL24" s="44">
        <f>IF('Chart Information'!V38="","",'Chart Information'!V38)</f>
        <v>22</v>
      </c>
      <c r="AM24" s="44" t="str">
        <f>IF('Chart Information'!U38="","",'Chart Information'!U38)</f>
        <v>Ø1220mm, 75kW, 4-Pole Standard and Attenuated (Single Stage)</v>
      </c>
    </row>
    <row r="25" spans="1:39" ht="15" customHeight="1">
      <c r="A25" s="19"/>
      <c r="B25" s="3147" t="s">
        <v>247</v>
      </c>
      <c r="C25" s="3147"/>
      <c r="D25" s="3147"/>
      <c r="E25" s="3147"/>
      <c r="F25" s="3147"/>
      <c r="G25" s="3147"/>
      <c r="H25" s="3147"/>
      <c r="I25" s="89"/>
      <c r="J25" s="3147" t="s">
        <v>234</v>
      </c>
      <c r="K25" s="3147"/>
      <c r="L25" s="3147"/>
      <c r="M25" s="3147"/>
      <c r="N25" s="3147"/>
      <c r="O25" s="3147"/>
      <c r="P25" s="3147"/>
      <c r="Q25" s="174"/>
      <c r="R25" s="3216"/>
      <c r="S25" s="181"/>
      <c r="T25" s="21"/>
      <c r="U25" s="21"/>
      <c r="V25" s="21"/>
      <c r="W25" s="21"/>
      <c r="X25" s="21"/>
      <c r="Y25" s="21"/>
      <c r="Z25" s="21"/>
      <c r="AA25" s="85"/>
      <c r="AB25" s="19"/>
      <c r="AC25" s="43">
        <f t="shared" si="0"/>
        <v>47.7</v>
      </c>
      <c r="AD25" s="43">
        <f t="shared" si="1"/>
        <v>82.3</v>
      </c>
      <c r="AF25" s="17" t="s">
        <v>23</v>
      </c>
      <c r="AG25" s="47">
        <v>39.672449374428545</v>
      </c>
    </row>
    <row r="26" spans="1:39" ht="15" customHeight="1" thickBot="1">
      <c r="A26" s="19"/>
      <c r="B26" s="3147"/>
      <c r="C26" s="3147"/>
      <c r="D26" s="3147"/>
      <c r="E26" s="3147"/>
      <c r="F26" s="3147"/>
      <c r="G26" s="3147"/>
      <c r="H26" s="3147"/>
      <c r="I26" s="89"/>
      <c r="J26" s="3147"/>
      <c r="K26" s="3147"/>
      <c r="L26" s="3147"/>
      <c r="M26" s="3147"/>
      <c r="N26" s="3147"/>
      <c r="O26" s="3147"/>
      <c r="P26" s="3147"/>
      <c r="Q26" s="174"/>
      <c r="R26" s="3216"/>
      <c r="S26" s="3225" t="str">
        <f>IF(COUNTA(W35:W39)=0,"Stream 2",IF(SUM(W35:W39)=1,SUM(X35:X39)&amp; " Installed Component in Stream 2",SUM(X35:X39)&amp; " Installed Components in Stream 2"))</f>
        <v>Stream 2</v>
      </c>
      <c r="T26" s="3226"/>
      <c r="U26" s="3226"/>
      <c r="V26" s="3226"/>
      <c r="W26" s="3226"/>
      <c r="X26" s="3226"/>
      <c r="Y26" s="3226"/>
      <c r="Z26" s="3227"/>
      <c r="AA26" s="85"/>
      <c r="AB26" s="19"/>
      <c r="AC26" s="43">
        <f t="shared" si="0"/>
        <v>47.6</v>
      </c>
      <c r="AD26" s="43">
        <f t="shared" si="1"/>
        <v>82.4</v>
      </c>
      <c r="AF26" s="17" t="s">
        <v>24</v>
      </c>
      <c r="AG26" s="47">
        <v>42.506195758316295</v>
      </c>
    </row>
    <row r="27" spans="1:39" ht="15" customHeight="1" thickBot="1">
      <c r="A27" s="19"/>
      <c r="B27" s="3188" t="s">
        <v>231</v>
      </c>
      <c r="C27" s="3188"/>
      <c r="D27" s="3188"/>
      <c r="E27" s="3167" t="s">
        <v>193</v>
      </c>
      <c r="F27" s="3167"/>
      <c r="G27" s="3149" t="s">
        <v>237</v>
      </c>
      <c r="H27" s="3149" t="s">
        <v>252</v>
      </c>
      <c r="I27" s="89"/>
      <c r="J27" s="3218" t="s">
        <v>235</v>
      </c>
      <c r="K27" s="3218"/>
      <c r="L27" s="3218"/>
      <c r="M27" s="3218"/>
      <c r="N27" s="3218"/>
      <c r="O27" s="121" t="s">
        <v>220</v>
      </c>
      <c r="P27" s="122" t="str">
        <f>IF('Chart Information'!W10="","",'Chart Information'!W10)</f>
        <v/>
      </c>
      <c r="Q27" s="174"/>
      <c r="R27" s="3217"/>
      <c r="S27" s="3208">
        <f>IF(Z40="","",Z40)</f>
        <v>0</v>
      </c>
      <c r="T27" s="3208"/>
      <c r="U27" s="3208"/>
      <c r="V27" s="3208"/>
      <c r="W27" s="3208"/>
      <c r="X27" s="3208"/>
      <c r="Y27" s="3208"/>
      <c r="Z27" s="3208"/>
      <c r="AA27" s="85"/>
      <c r="AB27" s="19"/>
      <c r="AC27" s="43">
        <f t="shared" si="0"/>
        <v>47.5</v>
      </c>
      <c r="AD27" s="43">
        <f t="shared" si="1"/>
        <v>82.5</v>
      </c>
      <c r="AF27" s="17" t="s">
        <v>25</v>
      </c>
      <c r="AG27" s="47">
        <v>45.339942142204059</v>
      </c>
    </row>
    <row r="28" spans="1:39" ht="15" customHeight="1">
      <c r="A28" s="19"/>
      <c r="B28" s="3188"/>
      <c r="C28" s="3188"/>
      <c r="D28" s="3188"/>
      <c r="E28" s="3167"/>
      <c r="F28" s="3167"/>
      <c r="G28" s="3149"/>
      <c r="H28" s="3149"/>
      <c r="I28" s="89"/>
      <c r="J28" s="3218" t="s">
        <v>236</v>
      </c>
      <c r="K28" s="3218"/>
      <c r="L28" s="3218"/>
      <c r="M28" s="3218"/>
      <c r="N28" s="3218"/>
      <c r="O28" s="121" t="s">
        <v>342</v>
      </c>
      <c r="P28" s="122" t="str">
        <f>IF('Chart Information'!W11="","",'Chart Information'!W11)</f>
        <v/>
      </c>
      <c r="Q28" s="25"/>
      <c r="R28" s="24"/>
      <c r="S28" s="24"/>
      <c r="T28" s="3178" t="str">
        <f>IF(T24="",IF(COUNT(W35:W39)=0&gt;0,"No split in column detected!",""),"")</f>
        <v>No split in column detected!</v>
      </c>
      <c r="U28" s="3179"/>
      <c r="V28" s="3179"/>
      <c r="W28" s="3179"/>
      <c r="X28" s="3179"/>
      <c r="Y28" s="3179"/>
      <c r="Z28" s="3177"/>
      <c r="AA28" s="85"/>
      <c r="AB28" s="19"/>
      <c r="AC28" s="43">
        <f t="shared" si="0"/>
        <v>47.4</v>
      </c>
      <c r="AD28" s="43">
        <f>ROUNDUP(AD27+0.1,1)</f>
        <v>82.6</v>
      </c>
      <c r="AF28" s="17" t="s">
        <v>26</v>
      </c>
      <c r="AG28" s="47">
        <v>48.173688526091802</v>
      </c>
    </row>
    <row r="29" spans="1:39" ht="15" customHeight="1">
      <c r="A29" s="19"/>
      <c r="B29" s="3188"/>
      <c r="C29" s="3188"/>
      <c r="D29" s="3188"/>
      <c r="E29" s="3196" t="s">
        <v>233</v>
      </c>
      <c r="F29" s="3196"/>
      <c r="G29" s="170" t="s">
        <v>341</v>
      </c>
      <c r="H29" s="170" t="s">
        <v>341</v>
      </c>
      <c r="I29" s="89"/>
      <c r="J29" s="3218" t="s">
        <v>239</v>
      </c>
      <c r="K29" s="3218"/>
      <c r="L29" s="3218"/>
      <c r="M29" s="3218"/>
      <c r="N29" s="3218"/>
      <c r="O29" s="121" t="s">
        <v>264</v>
      </c>
      <c r="P29" s="184" t="str">
        <f>IF(P27="","",IF('Chart Information'!W12="","",'Chart Information'!W12))</f>
        <v/>
      </c>
      <c r="Q29" s="16"/>
      <c r="T29" s="3178"/>
      <c r="U29" s="3179"/>
      <c r="V29" s="3179"/>
      <c r="W29" s="3179"/>
      <c r="X29" s="3179"/>
      <c r="Y29" s="3179"/>
      <c r="Z29" s="3177"/>
      <c r="AA29" s="85"/>
      <c r="AB29" s="19"/>
      <c r="AC29" s="43">
        <f t="shared" si="0"/>
        <v>47.3</v>
      </c>
      <c r="AD29" s="43">
        <f t="shared" si="1"/>
        <v>82.7</v>
      </c>
      <c r="AF29" s="17" t="s">
        <v>27</v>
      </c>
      <c r="AG29" s="47">
        <v>51.007434909979551</v>
      </c>
    </row>
    <row r="30" spans="1:39" ht="15" customHeight="1">
      <c r="A30" s="19"/>
      <c r="B30" s="3148"/>
      <c r="C30" s="3148"/>
      <c r="D30" s="3148"/>
      <c r="E30" s="128"/>
      <c r="F30" s="132" t="str">
        <f>IF(B30="","",E30)</f>
        <v/>
      </c>
      <c r="G30" s="183" t="str">
        <f t="shared" ref="G30:G39" si="5">IF(B30="","",VLOOKUP(B30,$AF$4:$AG$219,2,FALSE)*IF($H$10="",1.2,$H$10)/1.2)</f>
        <v/>
      </c>
      <c r="H30" s="183" t="str">
        <f>IF(G30="","",G30*E30)</f>
        <v/>
      </c>
      <c r="I30" s="16"/>
      <c r="J30" s="24"/>
      <c r="K30" s="24"/>
      <c r="L30" s="24"/>
      <c r="M30" s="24"/>
      <c r="N30" s="24"/>
      <c r="O30" s="24"/>
      <c r="P30" s="92"/>
      <c r="S30" s="19"/>
      <c r="T30" s="3147" t="s">
        <v>250</v>
      </c>
      <c r="U30" s="3147"/>
      <c r="V30" s="3147"/>
      <c r="W30" s="3147"/>
      <c r="X30" s="3147"/>
      <c r="Y30" s="3147"/>
      <c r="Z30" s="3147"/>
      <c r="AA30" s="85"/>
      <c r="AB30" s="19"/>
      <c r="AC30" s="43">
        <f t="shared" si="0"/>
        <v>47.2</v>
      </c>
      <c r="AD30" s="43">
        <f t="shared" si="1"/>
        <v>82.8</v>
      </c>
      <c r="AF30" s="17" t="s">
        <v>30</v>
      </c>
      <c r="AG30" s="47">
        <v>4.3709567510378227</v>
      </c>
    </row>
    <row r="31" spans="1:39" ht="15" customHeight="1">
      <c r="A31" s="19"/>
      <c r="B31" s="3148"/>
      <c r="C31" s="3148"/>
      <c r="D31" s="3148"/>
      <c r="E31" s="128"/>
      <c r="F31" s="132" t="str">
        <f>IF(B31="","",E31)</f>
        <v/>
      </c>
      <c r="G31" s="183" t="str">
        <f t="shared" si="5"/>
        <v/>
      </c>
      <c r="H31" s="183" t="str">
        <f>IF(G31="","",G31*E31)</f>
        <v/>
      </c>
      <c r="I31" s="89"/>
      <c r="J31" s="3150" t="s">
        <v>253</v>
      </c>
      <c r="K31" s="3150"/>
      <c r="L31" s="3150"/>
      <c r="M31" s="3150"/>
      <c r="N31" s="3150"/>
      <c r="O31" s="170" t="s">
        <v>341</v>
      </c>
      <c r="P31" s="184" t="str">
        <f>IF(IF(H40="",0,H40)+IF(P19="",0,P19)+IF(Z42="",0,Z42)+IF(Z24="",0,Z24)=0,"",IF(H40="",0,H40)+IF(P19="",0,P19)+IF(Z42="",0,Z42)+IF(Z24="",0,Z24))</f>
        <v/>
      </c>
      <c r="Q31" s="16"/>
      <c r="S31" s="19"/>
      <c r="T31" s="3147"/>
      <c r="U31" s="3147"/>
      <c r="V31" s="3147"/>
      <c r="W31" s="3147"/>
      <c r="X31" s="3147"/>
      <c r="Y31" s="3147"/>
      <c r="Z31" s="3147"/>
      <c r="AA31" s="85"/>
      <c r="AB31" s="19"/>
      <c r="AC31" s="43">
        <f t="shared" si="0"/>
        <v>47.1</v>
      </c>
      <c r="AD31" s="43">
        <f t="shared" si="1"/>
        <v>82.9</v>
      </c>
      <c r="AF31" s="17" t="s">
        <v>31</v>
      </c>
      <c r="AG31" s="47">
        <v>1.5139193009811285</v>
      </c>
    </row>
    <row r="32" spans="1:39" ht="15" customHeight="1">
      <c r="A32" s="19"/>
      <c r="B32" s="3148"/>
      <c r="C32" s="3148"/>
      <c r="D32" s="3148"/>
      <c r="E32" s="128"/>
      <c r="F32" s="132" t="str">
        <f t="shared" ref="F32:F39" si="6">IF(B32="","",E32)</f>
        <v/>
      </c>
      <c r="G32" s="183" t="str">
        <f t="shared" si="5"/>
        <v/>
      </c>
      <c r="H32" s="183" t="str">
        <f t="shared" ref="H32:H39" si="7">IF(G32="","",G32*E32)</f>
        <v/>
      </c>
      <c r="I32" s="89"/>
      <c r="J32" s="3150" t="s">
        <v>263</v>
      </c>
      <c r="K32" s="3150"/>
      <c r="L32" s="3150"/>
      <c r="M32" s="3150"/>
      <c r="N32" s="3150"/>
      <c r="O32" s="3150"/>
      <c r="P32" s="123" t="str">
        <f>IF(P31="","",IF($P$29="","",1-(P31/$P$29)))</f>
        <v/>
      </c>
      <c r="Q32" s="16"/>
      <c r="S32" s="19"/>
      <c r="T32" s="3188" t="s">
        <v>231</v>
      </c>
      <c r="U32" s="3188"/>
      <c r="V32" s="3188"/>
      <c r="W32" s="3167" t="s">
        <v>193</v>
      </c>
      <c r="X32" s="3167"/>
      <c r="Y32" s="3149" t="s">
        <v>237</v>
      </c>
      <c r="Z32" s="3149" t="s">
        <v>252</v>
      </c>
      <c r="AA32" s="85"/>
      <c r="AB32" s="19"/>
      <c r="AC32" s="43">
        <f t="shared" si="0"/>
        <v>47</v>
      </c>
      <c r="AD32" s="43">
        <f t="shared" si="1"/>
        <v>83</v>
      </c>
      <c r="AF32" s="17" t="s">
        <v>32</v>
      </c>
      <c r="AG32" s="47">
        <v>0</v>
      </c>
    </row>
    <row r="33" spans="1:84" ht="15" customHeight="1">
      <c r="A33" s="19"/>
      <c r="B33" s="3148"/>
      <c r="C33" s="3148"/>
      <c r="D33" s="3148"/>
      <c r="E33" s="128"/>
      <c r="F33" s="132" t="str">
        <f t="shared" si="6"/>
        <v/>
      </c>
      <c r="G33" s="183" t="str">
        <f t="shared" si="5"/>
        <v/>
      </c>
      <c r="H33" s="183" t="str">
        <f t="shared" si="7"/>
        <v/>
      </c>
      <c r="I33" s="89"/>
      <c r="J33" s="3215" t="str">
        <f>IF(P32&lt;0,"The fan is in the stall zone!",IF(P32&lt;0.1,"The fan is very near to the stall zone!",""))</f>
        <v/>
      </c>
      <c r="K33" s="3215"/>
      <c r="L33" s="3215"/>
      <c r="M33" s="3215"/>
      <c r="N33" s="3215"/>
      <c r="O33" s="3215"/>
      <c r="P33" s="3215"/>
      <c r="Q33" s="16"/>
      <c r="S33" s="19"/>
      <c r="T33" s="3188"/>
      <c r="U33" s="3188"/>
      <c r="V33" s="3188"/>
      <c r="W33" s="3167"/>
      <c r="X33" s="3167"/>
      <c r="Y33" s="3149"/>
      <c r="Z33" s="3149"/>
      <c r="AA33" s="85"/>
      <c r="AB33" s="19"/>
      <c r="AC33" s="43">
        <f t="shared" si="0"/>
        <v>46.9</v>
      </c>
      <c r="AD33" s="43">
        <f t="shared" si="1"/>
        <v>83.1</v>
      </c>
      <c r="AF33" s="17" t="s">
        <v>33</v>
      </c>
      <c r="AG33" s="47">
        <v>-68.339192999999995</v>
      </c>
    </row>
    <row r="34" spans="1:84" ht="15" customHeight="1">
      <c r="A34" s="19"/>
      <c r="B34" s="3148"/>
      <c r="C34" s="3148"/>
      <c r="D34" s="3148"/>
      <c r="E34" s="128"/>
      <c r="F34" s="132" t="str">
        <f t="shared" si="6"/>
        <v/>
      </c>
      <c r="G34" s="183" t="str">
        <f t="shared" si="5"/>
        <v/>
      </c>
      <c r="H34" s="183" t="str">
        <f t="shared" si="7"/>
        <v/>
      </c>
      <c r="I34" s="16"/>
      <c r="J34" s="21"/>
      <c r="K34" s="21"/>
      <c r="L34" s="21"/>
      <c r="M34" s="21"/>
      <c r="N34" s="21"/>
      <c r="O34" s="21"/>
      <c r="P34" s="21"/>
      <c r="Q34" s="16"/>
      <c r="S34" s="19"/>
      <c r="T34" s="3188"/>
      <c r="U34" s="3188"/>
      <c r="V34" s="3188"/>
      <c r="W34" s="3196" t="s">
        <v>233</v>
      </c>
      <c r="X34" s="3196"/>
      <c r="Y34" s="170" t="s">
        <v>341</v>
      </c>
      <c r="Z34" s="170" t="s">
        <v>341</v>
      </c>
      <c r="AA34" s="85"/>
      <c r="AB34" s="19"/>
      <c r="AC34" s="43">
        <f t="shared" si="0"/>
        <v>46.8</v>
      </c>
      <c r="AD34" s="43">
        <f t="shared" si="1"/>
        <v>83.2</v>
      </c>
      <c r="AF34" s="17" t="s">
        <v>34</v>
      </c>
      <c r="AG34" s="47">
        <v>-78.128501</v>
      </c>
    </row>
    <row r="35" spans="1:84" ht="15" customHeight="1">
      <c r="A35" s="19"/>
      <c r="B35" s="3148"/>
      <c r="C35" s="3148"/>
      <c r="D35" s="3148"/>
      <c r="E35" s="128"/>
      <c r="F35" s="132" t="str">
        <f t="shared" si="6"/>
        <v/>
      </c>
      <c r="G35" s="183" t="str">
        <f t="shared" si="5"/>
        <v/>
      </c>
      <c r="H35" s="183" t="str">
        <f t="shared" si="7"/>
        <v/>
      </c>
      <c r="I35" s="89"/>
      <c r="J35" s="3147" t="s">
        <v>437</v>
      </c>
      <c r="K35" s="3147"/>
      <c r="L35" s="3147"/>
      <c r="M35" s="3147"/>
      <c r="N35" s="171" t="s">
        <v>193</v>
      </c>
      <c r="O35" s="171" t="s">
        <v>216</v>
      </c>
      <c r="P35" s="171" t="s">
        <v>439</v>
      </c>
      <c r="Q35" s="16"/>
      <c r="S35" s="19"/>
      <c r="T35" s="3148"/>
      <c r="U35" s="3148"/>
      <c r="V35" s="3148"/>
      <c r="W35" s="182"/>
      <c r="X35" s="132" t="str">
        <f>IF(T35="","",W35)</f>
        <v/>
      </c>
      <c r="Y35" s="183" t="str">
        <f>IF(T35="","",VLOOKUP(T35,$AF$4:$AG$219,2,FALSE)*IF($H$10="",1.2,$H$10)/1.2)</f>
        <v/>
      </c>
      <c r="Z35" s="183" t="str">
        <f>IF(Y35="","",Y35*W35)</f>
        <v/>
      </c>
      <c r="AA35" s="85"/>
      <c r="AB35" s="19"/>
      <c r="AC35" s="43">
        <f t="shared" si="0"/>
        <v>46.7</v>
      </c>
      <c r="AD35" s="43">
        <f t="shared" si="1"/>
        <v>83.3</v>
      </c>
      <c r="AF35" s="17" t="s">
        <v>35</v>
      </c>
      <c r="AG35" s="47">
        <v>-103.52755999999999</v>
      </c>
    </row>
    <row r="36" spans="1:84" ht="15" customHeight="1">
      <c r="A36" s="19"/>
      <c r="B36" s="3148"/>
      <c r="C36" s="3148"/>
      <c r="D36" s="3148"/>
      <c r="E36" s="128"/>
      <c r="F36" s="132" t="str">
        <f t="shared" si="6"/>
        <v/>
      </c>
      <c r="G36" s="183" t="str">
        <f t="shared" si="5"/>
        <v/>
      </c>
      <c r="H36" s="183" t="str">
        <f t="shared" si="7"/>
        <v/>
      </c>
      <c r="I36" s="89"/>
      <c r="J36" s="3147"/>
      <c r="K36" s="3147"/>
      <c r="L36" s="3147"/>
      <c r="M36" s="3147"/>
      <c r="N36" s="170" t="s">
        <v>340</v>
      </c>
      <c r="O36" s="170" t="s">
        <v>466</v>
      </c>
      <c r="P36" s="170" t="s">
        <v>220</v>
      </c>
      <c r="Q36" s="16"/>
      <c r="S36" s="19"/>
      <c r="T36" s="3148"/>
      <c r="U36" s="3148"/>
      <c r="V36" s="3148"/>
      <c r="W36" s="128"/>
      <c r="X36" s="132" t="str">
        <f>IF(T36="","",W36)</f>
        <v/>
      </c>
      <c r="Y36" s="183" t="str">
        <f>IF(T36="","",VLOOKUP(T36,$AF$4:$AG$219,2,FALSE)*IF($H$10="",1.2,$H$10)/1.2)</f>
        <v/>
      </c>
      <c r="Z36" s="183" t="str">
        <f>IF(Y36="","",Y36*W36)</f>
        <v/>
      </c>
      <c r="AA36" s="85"/>
      <c r="AB36" s="19"/>
      <c r="AC36" s="43">
        <f t="shared" si="0"/>
        <v>46.6</v>
      </c>
      <c r="AD36" s="43">
        <f t="shared" si="1"/>
        <v>83.4</v>
      </c>
      <c r="AF36" s="17" t="s">
        <v>36</v>
      </c>
      <c r="AG36" s="47">
        <v>-109.566796</v>
      </c>
    </row>
    <row r="37" spans="1:84" ht="15" customHeight="1">
      <c r="A37" s="19"/>
      <c r="B37" s="3148"/>
      <c r="C37" s="3148"/>
      <c r="D37" s="3148"/>
      <c r="E37" s="128"/>
      <c r="F37" s="132" t="str">
        <f t="shared" si="6"/>
        <v/>
      </c>
      <c r="G37" s="183" t="str">
        <f t="shared" si="5"/>
        <v/>
      </c>
      <c r="H37" s="183" t="str">
        <f t="shared" si="7"/>
        <v/>
      </c>
      <c r="I37" s="89"/>
      <c r="J37" s="3150" t="s">
        <v>438</v>
      </c>
      <c r="K37" s="3150"/>
      <c r="L37" s="3150"/>
      <c r="M37" s="3150"/>
      <c r="N37" s="152" t="str">
        <f>IF(P27="","",IF(P32&lt;0,0,BA95))</f>
        <v/>
      </c>
      <c r="O37" s="152" t="str">
        <f>IF(N37="","",N37*$H$10)</f>
        <v/>
      </c>
      <c r="P37" s="153" t="str">
        <f>IF(P27="","",IF(P32&lt;0,0,BB95))</f>
        <v/>
      </c>
      <c r="Q37" s="16"/>
      <c r="S37" s="19"/>
      <c r="T37" s="3148"/>
      <c r="U37" s="3148"/>
      <c r="V37" s="3148"/>
      <c r="W37" s="128"/>
      <c r="X37" s="132" t="str">
        <f>IF(T37="","",W37)</f>
        <v/>
      </c>
      <c r="Y37" s="183" t="str">
        <f>IF(T37="","",VLOOKUP(T37,$AF$4:$AG$219,2,FALSE)*IF($H$10="",1.2,$H$10)/1.2)</f>
        <v/>
      </c>
      <c r="Z37" s="183" t="str">
        <f>IF(Y37="","",Y37*W37)</f>
        <v/>
      </c>
      <c r="AA37" s="85"/>
      <c r="AB37" s="19"/>
      <c r="AC37" s="43">
        <f t="shared" si="0"/>
        <v>46.5</v>
      </c>
      <c r="AD37" s="43">
        <f t="shared" si="1"/>
        <v>83.5</v>
      </c>
      <c r="AF37" s="17" t="s">
        <v>37</v>
      </c>
      <c r="AG37" s="47">
        <v>-111.504081</v>
      </c>
    </row>
    <row r="38" spans="1:84" ht="15" customHeight="1">
      <c r="A38" s="19"/>
      <c r="B38" s="3148"/>
      <c r="C38" s="3148"/>
      <c r="D38" s="3148"/>
      <c r="E38" s="128"/>
      <c r="F38" s="132" t="str">
        <f t="shared" si="6"/>
        <v/>
      </c>
      <c r="G38" s="183" t="str">
        <f t="shared" si="5"/>
        <v/>
      </c>
      <c r="H38" s="183" t="str">
        <f t="shared" si="7"/>
        <v/>
      </c>
      <c r="I38" s="89"/>
      <c r="J38" s="3150" t="s">
        <v>440</v>
      </c>
      <c r="K38" s="3150"/>
      <c r="L38" s="3150"/>
      <c r="M38" s="3150"/>
      <c r="N38" s="152" t="str">
        <f>IF(N37="","",IF(Z42=0,"",N37))</f>
        <v/>
      </c>
      <c r="O38" s="152" t="str">
        <f>IF(N38="","",N38*$H$10)</f>
        <v/>
      </c>
      <c r="P38" s="153" t="str">
        <f>IF(N38="","",Z42*(N37^2))</f>
        <v/>
      </c>
      <c r="Q38" s="16"/>
      <c r="S38" s="19"/>
      <c r="T38" s="3148"/>
      <c r="U38" s="3148"/>
      <c r="V38" s="3148"/>
      <c r="W38" s="128"/>
      <c r="X38" s="132" t="str">
        <f>IF(T38="","",W38)</f>
        <v/>
      </c>
      <c r="Y38" s="183" t="str">
        <f>IF(T38="","",VLOOKUP(T38,$AF$4:$AG$219,2,FALSE)*IF($H$10="",1.2,$H$10)/1.2)</f>
        <v/>
      </c>
      <c r="Z38" s="183" t="str">
        <f>IF(Y38="","",Y38*W38)</f>
        <v/>
      </c>
      <c r="AA38" s="85"/>
      <c r="AB38" s="19"/>
      <c r="AC38" s="43">
        <f t="shared" si="0"/>
        <v>46.4</v>
      </c>
      <c r="AD38" s="43">
        <f t="shared" si="1"/>
        <v>83.6</v>
      </c>
      <c r="AF38" s="17" t="s">
        <v>374</v>
      </c>
      <c r="AG38" s="47">
        <v>-111.97001999999999</v>
      </c>
    </row>
    <row r="39" spans="1:84" ht="15" customHeight="1">
      <c r="A39" s="19"/>
      <c r="B39" s="3148"/>
      <c r="C39" s="3148"/>
      <c r="D39" s="3148"/>
      <c r="E39" s="128"/>
      <c r="F39" s="132" t="str">
        <f t="shared" si="6"/>
        <v/>
      </c>
      <c r="G39" s="183" t="str">
        <f t="shared" si="5"/>
        <v/>
      </c>
      <c r="H39" s="183" t="str">
        <f t="shared" si="7"/>
        <v/>
      </c>
      <c r="I39" s="89"/>
      <c r="J39" s="3150" t="s">
        <v>276</v>
      </c>
      <c r="K39" s="3150"/>
      <c r="L39" s="3150"/>
      <c r="M39" s="3150"/>
      <c r="N39" s="152" t="str">
        <f>IF(Z14=0,"",(P39/Z14)^0.5)</f>
        <v/>
      </c>
      <c r="O39" s="152" t="str">
        <f>IF(N39="","",N39*$H$10)</f>
        <v/>
      </c>
      <c r="P39" s="153" t="str">
        <f>IF(P38="","",IF(Z14=0,"",P38))</f>
        <v/>
      </c>
      <c r="Q39" s="16"/>
      <c r="S39" s="19"/>
      <c r="T39" s="3148"/>
      <c r="U39" s="3148"/>
      <c r="V39" s="3148"/>
      <c r="W39" s="128"/>
      <c r="X39" s="132" t="str">
        <f>IF(T39="","",W39)</f>
        <v/>
      </c>
      <c r="Y39" s="183" t="str">
        <f>IF(T39="","",VLOOKUP(T39,$AF$4:$AG$219,2,FALSE)*IF($H$10="",1.2,$H$10)/1.2)</f>
        <v/>
      </c>
      <c r="Z39" s="183" t="str">
        <f>IF(Y39="","",Y39*W39)</f>
        <v/>
      </c>
      <c r="AA39" s="85"/>
      <c r="AB39" s="19"/>
      <c r="AC39" s="43">
        <f t="shared" si="0"/>
        <v>46.3</v>
      </c>
      <c r="AD39" s="43">
        <f t="shared" si="1"/>
        <v>83.7</v>
      </c>
      <c r="AF39" s="17" t="s">
        <v>442</v>
      </c>
      <c r="AG39" s="47">
        <v>73.516757999999996</v>
      </c>
    </row>
    <row r="40" spans="1:84" ht="15" customHeight="1">
      <c r="B40" s="91"/>
      <c r="C40" s="91"/>
      <c r="D40" s="91"/>
      <c r="E40" s="91"/>
      <c r="F40" s="91"/>
      <c r="G40" s="93"/>
      <c r="H40" s="184">
        <f>IF(COUNT(E30:E39)=0,0,SUM(H30:H39))</f>
        <v>0</v>
      </c>
      <c r="I40" s="89"/>
      <c r="J40" s="3150" t="s">
        <v>275</v>
      </c>
      <c r="K40" s="3150"/>
      <c r="L40" s="3150"/>
      <c r="M40" s="3150"/>
      <c r="N40" s="152" t="str">
        <f>IF(Z40=0,"",(P40/Z40)^0.5)</f>
        <v/>
      </c>
      <c r="O40" s="152" t="str">
        <f>IF(N40="","",N40*$H$10)</f>
        <v/>
      </c>
      <c r="P40" s="153" t="str">
        <f>IF(P38="","",IF(Z40=0,"",P38))</f>
        <v/>
      </c>
      <c r="Q40" s="16"/>
      <c r="T40" s="91"/>
      <c r="U40" s="91"/>
      <c r="V40" s="91"/>
      <c r="W40" s="91"/>
      <c r="X40" s="91"/>
      <c r="Y40" s="93"/>
      <c r="Z40" s="184">
        <f>IF(Y24=0,0,IF(Y24="",0,IF(COUNT(W35:W39)=0,0.000001,SUM(Z35:Z39))))</f>
        <v>0</v>
      </c>
      <c r="AA40" s="85"/>
      <c r="AB40" s="19"/>
      <c r="AC40" s="43">
        <f t="shared" si="0"/>
        <v>46.2</v>
      </c>
      <c r="AD40" s="43">
        <f t="shared" si="1"/>
        <v>83.8</v>
      </c>
      <c r="AF40" s="17" t="s">
        <v>40</v>
      </c>
      <c r="AG40" s="47">
        <v>-12.375432</v>
      </c>
    </row>
    <row r="41" spans="1:84" ht="15" customHeight="1">
      <c r="H41" s="91"/>
      <c r="I41" s="19"/>
      <c r="J41" s="3159" t="s">
        <v>441</v>
      </c>
      <c r="K41" s="3159"/>
      <c r="L41" s="3159"/>
      <c r="M41" s="3159"/>
      <c r="N41" s="3159"/>
      <c r="O41" s="3159"/>
      <c r="P41" s="3159"/>
      <c r="Q41" s="16"/>
      <c r="T41" s="23"/>
      <c r="U41" s="23"/>
      <c r="V41" s="23"/>
      <c r="W41" s="23"/>
      <c r="X41" s="23"/>
      <c r="Y41" s="90"/>
      <c r="Z41" s="92"/>
      <c r="AA41" s="84"/>
      <c r="AB41" s="19"/>
      <c r="AC41" s="43">
        <f t="shared" si="0"/>
        <v>46.1</v>
      </c>
      <c r="AD41" s="43">
        <f t="shared" si="1"/>
        <v>83.9</v>
      </c>
      <c r="AF41" s="17" t="s">
        <v>41</v>
      </c>
      <c r="AG41" s="47">
        <v>-37.774490999999998</v>
      </c>
    </row>
    <row r="42" spans="1:84" ht="15" customHeight="1">
      <c r="S42" s="19"/>
      <c r="T42" s="3150" t="s">
        <v>254</v>
      </c>
      <c r="U42" s="3150"/>
      <c r="V42" s="3150"/>
      <c r="W42" s="3150"/>
      <c r="X42" s="3150"/>
      <c r="Y42" s="170" t="s">
        <v>341</v>
      </c>
      <c r="Z42" s="184">
        <f>IF((IF(Z14=0,0,(1/(Z14^0.5)))+IF(Z40=0,0,(1/(Z40^0.5))))=0,0,1/(IF(Z14=0,0,(1/(Z14^0.5)))+IF(Z40=0,0,(1/(Z40^0.5)))))^2</f>
        <v>0</v>
      </c>
      <c r="AA42" s="85"/>
      <c r="AB42" s="19"/>
      <c r="AC42" s="43">
        <f t="shared" si="0"/>
        <v>46</v>
      </c>
      <c r="AD42" s="43">
        <f t="shared" si="1"/>
        <v>84</v>
      </c>
      <c r="AF42" s="17" t="s">
        <v>42</v>
      </c>
      <c r="AG42" s="47">
        <v>-43.813727</v>
      </c>
    </row>
    <row r="43" spans="1:84" ht="15" customHeight="1">
      <c r="B43" s="22"/>
      <c r="C43" s="22"/>
      <c r="D43" s="22"/>
      <c r="E43" s="22"/>
      <c r="F43" s="23"/>
      <c r="G43" s="23"/>
      <c r="H43" s="23"/>
      <c r="I43" s="22"/>
      <c r="J43" s="22"/>
      <c r="K43" s="22"/>
      <c r="L43" s="22"/>
      <c r="M43" s="22"/>
      <c r="N43" s="22"/>
      <c r="O43" s="22"/>
      <c r="P43" s="22"/>
      <c r="Q43" s="22"/>
      <c r="R43" s="22"/>
      <c r="S43" s="22"/>
      <c r="T43" s="24"/>
      <c r="U43" s="24"/>
      <c r="V43" s="24"/>
      <c r="W43" s="24"/>
      <c r="X43" s="24"/>
      <c r="Y43" s="24"/>
      <c r="Z43" s="130" t="s">
        <v>429</v>
      </c>
      <c r="AA43" s="84"/>
      <c r="AB43" s="19"/>
      <c r="AC43" s="43">
        <f t="shared" si="0"/>
        <v>45.9</v>
      </c>
      <c r="AD43" s="43">
        <f t="shared" si="1"/>
        <v>84.1</v>
      </c>
      <c r="AF43" s="17" t="s">
        <v>43</v>
      </c>
      <c r="AG43" s="47">
        <v>-45.751011999999996</v>
      </c>
    </row>
    <row r="44" spans="1:84" ht="15" customHeight="1">
      <c r="A44" s="19"/>
      <c r="B44" s="3155" t="s">
        <v>262</v>
      </c>
      <c r="C44" s="3155"/>
      <c r="D44" s="3155"/>
      <c r="E44" s="3151" t="str">
        <f>IF('Chart Information'!C4="","",'Chart Information'!C4)</f>
        <v/>
      </c>
      <c r="F44" s="3157" t="s">
        <v>345</v>
      </c>
      <c r="G44" s="3155" t="s">
        <v>255</v>
      </c>
      <c r="H44" s="3155"/>
      <c r="I44" s="3151">
        <f>IF('Chart Information'!L4="","",'Chart Information'!L4)</f>
        <v>1.2</v>
      </c>
      <c r="J44" s="3157" t="s">
        <v>345</v>
      </c>
      <c r="K44" s="3238" t="str">
        <f>IF(B16="","","Graphs: "&amp;B16)</f>
        <v/>
      </c>
      <c r="L44" s="3239"/>
      <c r="M44" s="3239"/>
      <c r="N44" s="3239"/>
      <c r="O44" s="3239"/>
      <c r="P44" s="3239"/>
      <c r="Q44" s="3239"/>
      <c r="R44" s="3239"/>
      <c r="S44" s="3239"/>
      <c r="T44" s="3239"/>
      <c r="U44" s="3239"/>
      <c r="V44" s="3239"/>
      <c r="W44" s="3239"/>
      <c r="X44" s="3239"/>
      <c r="Y44" s="3239"/>
      <c r="Z44" s="3240"/>
      <c r="AA44" s="85"/>
      <c r="AB44" s="19"/>
      <c r="AC44" s="43">
        <f t="shared" si="0"/>
        <v>45.8</v>
      </c>
      <c r="AD44" s="43">
        <f>ROUNDUP(AD43+0.1,1)</f>
        <v>84.2</v>
      </c>
      <c r="AF44" s="17" t="s">
        <v>375</v>
      </c>
      <c r="AG44" s="47">
        <v>-46.216950999999995</v>
      </c>
    </row>
    <row r="45" spans="1:84" ht="15" customHeight="1">
      <c r="A45" s="19"/>
      <c r="B45" s="3156"/>
      <c r="C45" s="3156"/>
      <c r="D45" s="3156"/>
      <c r="E45" s="3152"/>
      <c r="F45" s="3158"/>
      <c r="G45" s="3156"/>
      <c r="H45" s="3156"/>
      <c r="I45" s="3152"/>
      <c r="J45" s="3158"/>
      <c r="K45" s="137"/>
      <c r="L45" s="138"/>
      <c r="M45" s="138"/>
      <c r="N45" s="138"/>
      <c r="O45" s="138"/>
      <c r="P45" s="138"/>
      <c r="Q45" s="138"/>
      <c r="R45" s="138"/>
      <c r="S45" s="138"/>
      <c r="T45" s="138"/>
      <c r="U45" s="138"/>
      <c r="V45" s="138"/>
      <c r="W45" s="138"/>
      <c r="X45" s="138"/>
      <c r="Y45" s="138"/>
      <c r="Z45" s="139"/>
      <c r="AA45" s="85"/>
      <c r="AB45" s="19"/>
      <c r="AC45" s="43">
        <f t="shared" si="0"/>
        <v>45.7</v>
      </c>
      <c r="AD45" s="43">
        <f t="shared" si="1"/>
        <v>84.3</v>
      </c>
      <c r="AF45" s="17" t="s">
        <v>44</v>
      </c>
      <c r="AG45" s="47">
        <v>0.94029082722520219</v>
      </c>
    </row>
    <row r="46" spans="1:84" ht="17.25" customHeight="1">
      <c r="A46" s="19"/>
      <c r="B46" s="3231" t="s">
        <v>261</v>
      </c>
      <c r="C46" s="3231" t="s">
        <v>258</v>
      </c>
      <c r="D46" s="3231" t="str">
        <f>"Original Fan Curve (ω= "&amp;TEXT(E44,"0.000")&amp;" kg/m³)"</f>
        <v>Original Fan Curve (ω=  kg/m³)</v>
      </c>
      <c r="E46" s="3231" t="str">
        <f>"Fan Curve (ω= "&amp;TEXT(I44,"0.000")&amp;" kg/m³)"</f>
        <v>Fan Curve (ω= 1.200 kg/m³)</v>
      </c>
      <c r="F46" s="3231" t="str">
        <f>+'Chart Information'!P1</f>
        <v>System Resistance =  Ns²/m⁸</v>
      </c>
      <c r="G46" s="3231" t="s">
        <v>259</v>
      </c>
      <c r="H46" s="3232" t="s">
        <v>430</v>
      </c>
      <c r="I46" s="3231" t="s">
        <v>260</v>
      </c>
      <c r="J46" s="3231" t="s">
        <v>431</v>
      </c>
      <c r="K46" s="3233"/>
      <c r="L46" s="3234"/>
      <c r="M46" s="3234"/>
      <c r="N46" s="3234"/>
      <c r="O46" s="3234"/>
      <c r="P46" s="3234"/>
      <c r="Q46" s="3234"/>
      <c r="R46" s="3234"/>
      <c r="S46" s="3234"/>
      <c r="T46" s="3234"/>
      <c r="U46" s="3234"/>
      <c r="V46" s="3234"/>
      <c r="W46" s="3234"/>
      <c r="X46" s="3234"/>
      <c r="Y46" s="3234"/>
      <c r="Z46" s="3235"/>
      <c r="AA46" s="85"/>
      <c r="AB46" s="64"/>
      <c r="AC46" s="43">
        <f t="shared" si="0"/>
        <v>45.6</v>
      </c>
      <c r="AD46" s="43">
        <f t="shared" si="1"/>
        <v>84.4</v>
      </c>
      <c r="AF46" s="17" t="s">
        <v>45</v>
      </c>
      <c r="AG46" s="47">
        <v>1.8805816544504044</v>
      </c>
      <c r="BD46" s="3168" t="s">
        <v>458</v>
      </c>
      <c r="BS46" s="3168" t="s">
        <v>459</v>
      </c>
    </row>
    <row r="47" spans="1:84" ht="17.25" customHeight="1">
      <c r="A47" s="19"/>
      <c r="B47" s="3231"/>
      <c r="C47" s="3231"/>
      <c r="D47" s="3231"/>
      <c r="E47" s="3231"/>
      <c r="F47" s="3231"/>
      <c r="G47" s="3231"/>
      <c r="H47" s="3232"/>
      <c r="I47" s="3231"/>
      <c r="J47" s="3231"/>
      <c r="K47" s="141"/>
      <c r="L47" s="142"/>
      <c r="M47" s="142"/>
      <c r="N47" s="142"/>
      <c r="O47" s="143"/>
      <c r="P47" s="3236"/>
      <c r="Q47" s="3237"/>
      <c r="R47" s="142"/>
      <c r="S47" s="142"/>
      <c r="T47" s="142" t="s">
        <v>445</v>
      </c>
      <c r="U47" s="144">
        <f>MAX(E50:E94)</f>
        <v>0</v>
      </c>
      <c r="V47" s="143" t="s">
        <v>331</v>
      </c>
      <c r="W47" s="143" t="s">
        <v>332</v>
      </c>
      <c r="X47" s="143" t="str">
        <f>+'Chart Information'!W6</f>
        <v/>
      </c>
      <c r="Y47" s="142"/>
      <c r="Z47" s="145"/>
      <c r="AA47" s="85"/>
      <c r="AB47" s="64"/>
      <c r="AC47" s="43">
        <f t="shared" si="0"/>
        <v>45.5</v>
      </c>
      <c r="AD47" s="43">
        <f t="shared" si="1"/>
        <v>84.5</v>
      </c>
      <c r="AF47" s="17" t="s">
        <v>46</v>
      </c>
      <c r="AG47" s="47">
        <v>2.8208724816756066</v>
      </c>
      <c r="BD47" s="3169"/>
      <c r="BS47" s="3169"/>
    </row>
    <row r="48" spans="1:84" ht="17.25" customHeight="1">
      <c r="A48" s="19"/>
      <c r="B48" s="3231"/>
      <c r="C48" s="116" t="s">
        <v>194</v>
      </c>
      <c r="D48" s="3231"/>
      <c r="E48" s="3231"/>
      <c r="F48" s="3231"/>
      <c r="G48" s="3231"/>
      <c r="H48" s="3232"/>
      <c r="I48" s="3231"/>
      <c r="J48" s="3231"/>
      <c r="K48" s="141"/>
      <c r="L48" s="142"/>
      <c r="M48" s="142"/>
      <c r="N48" s="142"/>
      <c r="O48" s="142"/>
      <c r="P48" s="142"/>
      <c r="Q48" s="142"/>
      <c r="R48" s="142"/>
      <c r="S48" s="142"/>
      <c r="T48" s="142"/>
      <c r="U48" s="144">
        <f>+U47*1.3</f>
        <v>0</v>
      </c>
      <c r="V48" s="142"/>
      <c r="W48" s="143" t="s">
        <v>333</v>
      </c>
      <c r="X48" s="143" t="str">
        <f>+'Chart Information'!W11</f>
        <v/>
      </c>
      <c r="Y48" s="142"/>
      <c r="Z48" s="145"/>
      <c r="AA48" s="85"/>
      <c r="AB48" s="64"/>
      <c r="AC48" s="43">
        <f t="shared" si="0"/>
        <v>45.4</v>
      </c>
      <c r="AD48" s="43">
        <f t="shared" si="1"/>
        <v>84.6</v>
      </c>
      <c r="AF48" s="17" t="s">
        <v>47</v>
      </c>
      <c r="AG48" s="47">
        <v>3.7611633089008087</v>
      </c>
      <c r="AP48" s="133"/>
      <c r="AQ48" s="3164" t="s">
        <v>228</v>
      </c>
      <c r="AR48" s="3164"/>
      <c r="AS48" s="3164"/>
      <c r="AT48" s="3164"/>
      <c r="AU48" s="3164" t="s">
        <v>432</v>
      </c>
      <c r="AV48" s="3164"/>
      <c r="AW48" s="3164"/>
      <c r="AX48" s="3164" t="s">
        <v>447</v>
      </c>
      <c r="AY48" s="3164"/>
      <c r="AZ48" s="3164"/>
      <c r="BA48" s="3164" t="s">
        <v>436</v>
      </c>
      <c r="BB48" s="3164"/>
      <c r="BD48" s="3169"/>
      <c r="BE48" s="133"/>
      <c r="BF48" s="3164" t="s">
        <v>228</v>
      </c>
      <c r="BG48" s="3164"/>
      <c r="BH48" s="3164"/>
      <c r="BI48" s="3164"/>
      <c r="BJ48" s="3164" t="s">
        <v>432</v>
      </c>
      <c r="BK48" s="3164"/>
      <c r="BL48" s="3164"/>
      <c r="BM48" s="3164" t="s">
        <v>447</v>
      </c>
      <c r="BN48" s="3164"/>
      <c r="BO48" s="3164"/>
      <c r="BP48" s="3164" t="s">
        <v>436</v>
      </c>
      <c r="BQ48" s="3164"/>
      <c r="BR48" s="162"/>
      <c r="BS48" s="3169"/>
      <c r="BT48" s="133"/>
      <c r="BU48" s="3164" t="s">
        <v>228</v>
      </c>
      <c r="BV48" s="3164"/>
      <c r="BW48" s="3164"/>
      <c r="BX48" s="3164"/>
      <c r="BY48" s="3164" t="s">
        <v>432</v>
      </c>
      <c r="BZ48" s="3164"/>
      <c r="CA48" s="3164"/>
      <c r="CB48" s="3164" t="s">
        <v>447</v>
      </c>
      <c r="CC48" s="3164"/>
      <c r="CD48" s="3164"/>
      <c r="CE48" s="3164" t="s">
        <v>436</v>
      </c>
      <c r="CF48" s="3164"/>
    </row>
    <row r="49" spans="1:85" s="38" customFormat="1" ht="13.5" customHeight="1">
      <c r="A49" s="19"/>
      <c r="B49" s="3231"/>
      <c r="C49" s="116" t="s">
        <v>343</v>
      </c>
      <c r="D49" s="116" t="s">
        <v>220</v>
      </c>
      <c r="E49" s="116" t="s">
        <v>220</v>
      </c>
      <c r="F49" s="3231"/>
      <c r="G49" s="168" t="s">
        <v>218</v>
      </c>
      <c r="H49" s="116" t="s">
        <v>218</v>
      </c>
      <c r="I49" s="168" t="s">
        <v>218</v>
      </c>
      <c r="J49" s="117" t="s">
        <v>211</v>
      </c>
      <c r="K49" s="141"/>
      <c r="L49" s="142"/>
      <c r="M49" s="142"/>
      <c r="N49" s="142"/>
      <c r="O49" s="143">
        <f>IF(F49&gt;$U$48,1/0,F49)</f>
        <v>0</v>
      </c>
      <c r="P49" s="142"/>
      <c r="Q49" s="142"/>
      <c r="R49" s="142"/>
      <c r="S49" s="142"/>
      <c r="T49" s="142"/>
      <c r="U49" s="142"/>
      <c r="V49" s="142"/>
      <c r="W49" s="142"/>
      <c r="X49" s="143" t="e">
        <f>IF(C49="",1/0,IF(W49&gt;1,E49,1/0))</f>
        <v>#DIV/0!</v>
      </c>
      <c r="Y49" s="142"/>
      <c r="Z49" s="145"/>
      <c r="AA49" s="85"/>
      <c r="AB49" s="65"/>
      <c r="AC49" s="43">
        <f t="shared" si="0"/>
        <v>45.3</v>
      </c>
      <c r="AD49" s="43">
        <f t="shared" si="1"/>
        <v>84.7</v>
      </c>
      <c r="AE49" s="15"/>
      <c r="AF49" s="17" t="s">
        <v>48</v>
      </c>
      <c r="AG49" s="47">
        <v>4.7014541361260118</v>
      </c>
      <c r="AH49" s="15"/>
      <c r="AI49" s="15"/>
      <c r="AJ49" s="15"/>
      <c r="AK49" s="15"/>
      <c r="AL49" s="15"/>
      <c r="AM49" s="15"/>
      <c r="AN49" s="15"/>
      <c r="AO49" s="15"/>
      <c r="AP49" s="133"/>
      <c r="AQ49" s="134" t="s">
        <v>194</v>
      </c>
      <c r="AR49" s="134" t="s">
        <v>191</v>
      </c>
      <c r="AS49" s="134" t="s">
        <v>217</v>
      </c>
      <c r="AT49" s="134" t="s">
        <v>433</v>
      </c>
      <c r="AU49" s="134" t="s">
        <v>191</v>
      </c>
      <c r="AV49" s="134" t="s">
        <v>217</v>
      </c>
      <c r="AW49" s="134" t="s">
        <v>433</v>
      </c>
      <c r="AX49" s="134" t="s">
        <v>446</v>
      </c>
      <c r="AY49" s="134" t="s">
        <v>217</v>
      </c>
      <c r="AZ49" s="134" t="s">
        <v>433</v>
      </c>
      <c r="BA49" s="134" t="s">
        <v>434</v>
      </c>
      <c r="BB49" s="134" t="s">
        <v>435</v>
      </c>
      <c r="BC49" s="15"/>
      <c r="BD49" s="3170"/>
      <c r="BE49" s="133"/>
      <c r="BF49" s="134" t="s">
        <v>194</v>
      </c>
      <c r="BG49" s="134" t="s">
        <v>191</v>
      </c>
      <c r="BH49" s="134" t="s">
        <v>217</v>
      </c>
      <c r="BI49" s="134" t="s">
        <v>433</v>
      </c>
      <c r="BJ49" s="134" t="s">
        <v>191</v>
      </c>
      <c r="BK49" s="134" t="s">
        <v>217</v>
      </c>
      <c r="BL49" s="134" t="s">
        <v>433</v>
      </c>
      <c r="BM49" s="134" t="s">
        <v>446</v>
      </c>
      <c r="BN49" s="134" t="s">
        <v>217</v>
      </c>
      <c r="BO49" s="134" t="s">
        <v>433</v>
      </c>
      <c r="BP49" s="134" t="s">
        <v>434</v>
      </c>
      <c r="BQ49" s="134" t="s">
        <v>435</v>
      </c>
      <c r="BR49" s="163"/>
      <c r="BS49" s="3170"/>
      <c r="BT49" s="133"/>
      <c r="BU49" s="134" t="s">
        <v>194</v>
      </c>
      <c r="BV49" s="134" t="s">
        <v>191</v>
      </c>
      <c r="BW49" s="134" t="s">
        <v>217</v>
      </c>
      <c r="BX49" s="134" t="s">
        <v>433</v>
      </c>
      <c r="BY49" s="134" t="s">
        <v>191</v>
      </c>
      <c r="BZ49" s="134" t="s">
        <v>217</v>
      </c>
      <c r="CA49" s="134" t="s">
        <v>433</v>
      </c>
      <c r="CB49" s="134" t="s">
        <v>446</v>
      </c>
      <c r="CC49" s="134" t="s">
        <v>217</v>
      </c>
      <c r="CD49" s="134" t="s">
        <v>433</v>
      </c>
      <c r="CE49" s="134" t="s">
        <v>434</v>
      </c>
      <c r="CF49" s="134" t="s">
        <v>435</v>
      </c>
    </row>
    <row r="50" spans="1:85" s="38" customFormat="1" ht="13.5" customHeight="1">
      <c r="A50" s="19"/>
      <c r="B50" s="118">
        <v>1</v>
      </c>
      <c r="C50" s="119" t="str">
        <f>IF('Chart Information'!D4="","",'Chart Information'!D4)</f>
        <v/>
      </c>
      <c r="D50" s="120" t="str">
        <f>IF('Chart Information'!E4="","",'Chart Information'!E4)</f>
        <v/>
      </c>
      <c r="E50" s="120" t="str">
        <f>IF('Chart Information'!M4="","",'Chart Information'!M4)</f>
        <v/>
      </c>
      <c r="F50" s="120" t="str">
        <f>IF('Chart Information'!P4="","",'Chart Information'!P4)</f>
        <v/>
      </c>
      <c r="G50" s="120" t="str">
        <f>IF('Chart Information'!F4="","",'Chart Information'!F4)</f>
        <v/>
      </c>
      <c r="H50" s="120" t="str">
        <f>IF('Chart Information'!O4="","",'Chart Information'!O4)</f>
        <v/>
      </c>
      <c r="I50" s="120" t="str">
        <f t="shared" ref="I50:I94" si="8">IF(C50="","",E50*C50/1000)</f>
        <v/>
      </c>
      <c r="J50" s="120" t="str">
        <f t="shared" ref="J50:J70" si="9">IF(H50="","",IF(ROUND(I50/H50*100,1)&gt;100,100,ROUND(I50/H50*100,1)))</f>
        <v/>
      </c>
      <c r="K50" s="141"/>
      <c r="L50" s="142"/>
      <c r="M50" s="142"/>
      <c r="N50" s="146"/>
      <c r="O50" s="143" t="e">
        <f>IF(F50&gt;$U$48,1/0,F50)</f>
        <v>#DIV/0!</v>
      </c>
      <c r="P50" s="142"/>
      <c r="Q50" s="142"/>
      <c r="R50" s="142"/>
      <c r="S50" s="142"/>
      <c r="T50" s="142"/>
      <c r="U50" s="142"/>
      <c r="V50" s="142"/>
      <c r="W50" s="142">
        <f t="shared" ref="W50:W94" si="10">IF(C50&gt;$X$47,1,0)+IF(C50=$X$47,1,0)+IF(C50&lt;$X$48,1,0)+IF(C50=$X$48,1,0)</f>
        <v>2</v>
      </c>
      <c r="X50" s="143"/>
      <c r="Y50" s="142"/>
      <c r="Z50" s="145"/>
      <c r="AA50" s="115" t="e">
        <f t="shared" ref="AA50:AA94" si="11">IF((D50-0.0001)&lt;$P$28,F50,0)</f>
        <v>#VALUE!</v>
      </c>
      <c r="AB50" s="186">
        <f t="shared" ref="AB50:AB94" si="12">IF(C50="",1,"")</f>
        <v>1</v>
      </c>
      <c r="AC50" s="43">
        <f t="shared" si="0"/>
        <v>45.2</v>
      </c>
      <c r="AD50" s="43">
        <f t="shared" si="1"/>
        <v>84.8</v>
      </c>
      <c r="AE50" s="15"/>
      <c r="AF50" s="17" t="s">
        <v>49</v>
      </c>
      <c r="AG50" s="47">
        <v>5.6417449633512131</v>
      </c>
      <c r="AH50" s="15"/>
      <c r="AI50" s="15"/>
      <c r="AJ50" s="15"/>
      <c r="AK50" s="15"/>
      <c r="AL50" s="15"/>
      <c r="AM50" s="15"/>
      <c r="AN50" s="15"/>
      <c r="AO50" s="15"/>
      <c r="AP50" s="133">
        <f t="shared" ref="AP50:AP94" si="13">IF(F50&gt;E50,AP49+1,0)</f>
        <v>0</v>
      </c>
      <c r="AQ50" s="135" t="str">
        <f t="shared" ref="AQ50:AQ94" si="14">IF($AP50=1,$C50,IF($AP50=2,$C50,""))</f>
        <v/>
      </c>
      <c r="AR50" s="135" t="str">
        <f t="shared" ref="AR50:AR94" si="15">IF($AP50=1,$E50,IF($AP50=2,$E50,""))</f>
        <v/>
      </c>
      <c r="AS50" s="135" t="str">
        <f t="shared" ref="AS50:AS94" si="16">IF(AR50="","",IF(AR51="","",(AR51-AR50)/(AQ51-AQ50)))</f>
        <v/>
      </c>
      <c r="AT50" s="135" t="str">
        <f t="shared" ref="AT50:AT94" si="17">IF(AS50="","",AR50-(AS50*AQ50))</f>
        <v/>
      </c>
      <c r="AU50" s="135" t="str">
        <f t="shared" ref="AU50:AU94" si="18">IF($AP50=1,$F50,IF($AP50=2,$F50,""))</f>
        <v/>
      </c>
      <c r="AV50" s="135" t="str">
        <f t="shared" ref="AV50:AV94" si="19">IF(AU50="","",IF(AU51="","",(AU51-AU50)/(AQ51-AQ50)))</f>
        <v/>
      </c>
      <c r="AW50" s="135" t="str">
        <f t="shared" ref="AW50:AW94" si="20">IF(AV50="","",AU50-(AV50*AQ50))</f>
        <v/>
      </c>
      <c r="AX50" s="135" t="str">
        <f t="shared" ref="AX50:AX55" si="21">IF($AP50=1,$H50,IF($AP50=2,$H50,""))</f>
        <v/>
      </c>
      <c r="AY50" s="135" t="str">
        <f t="shared" ref="AY50:AY55" si="22">IF(AX50="","",IF(AX51="","",(AX51-AX50)/(AQ51-AQ50)))</f>
        <v/>
      </c>
      <c r="AZ50" s="135" t="str">
        <f t="shared" ref="AZ50:AZ57" si="23">IF(AY50="","",AX50-(AY50*AQ50))</f>
        <v/>
      </c>
      <c r="BA50" s="135" t="str">
        <f t="shared" ref="BA50:BA94" si="24">IF(AW50="","",(AW50-AT50)/(AS50-AV50))</f>
        <v/>
      </c>
      <c r="BB50" s="135" t="str">
        <f t="shared" ref="BB50:BB94" si="25">IF(BA50="","",(AV50*BA50)+AW50)</f>
        <v/>
      </c>
      <c r="BC50" s="135" t="str">
        <f t="shared" ref="BC50:BC57" si="26">IF(BA50="","",(AY50*BA50)+AZ50)</f>
        <v/>
      </c>
      <c r="BD50" s="120" t="str">
        <f t="shared" ref="BD50:BD94" si="27">IF(F50="","",F50*0.00364/0.00305)</f>
        <v/>
      </c>
      <c r="BE50" s="133">
        <f t="shared" ref="BE50:BE55" si="28">IF(BD50&gt;E50,BE49+1,0)</f>
        <v>0</v>
      </c>
      <c r="BF50" s="135" t="str">
        <f t="shared" ref="BF50:BF55" si="29">IF($BE50=1,$C50,IF($BE50=2,$C50,""))</f>
        <v/>
      </c>
      <c r="BG50" s="135" t="str">
        <f t="shared" ref="BG50:BG55" si="30">IF($BE50=1,$E50,IF($BE50=2,$E50,""))</f>
        <v/>
      </c>
      <c r="BH50" s="135" t="str">
        <f t="shared" ref="BH50:BH55" si="31">IF(BG50="","",IF(BG51="","",(BG51-BG50)/(BF51-BF50)))</f>
        <v/>
      </c>
      <c r="BI50" s="135" t="str">
        <f t="shared" ref="BI50:BI55" si="32">IF(BH50="","",BG50-(BH50*BF50))</f>
        <v/>
      </c>
      <c r="BJ50" s="135" t="str">
        <f t="shared" ref="BJ50:BJ55" si="33">IF($BE50=1,$BD50,IF($BE50=2,$BD50,""))</f>
        <v/>
      </c>
      <c r="BK50" s="135" t="str">
        <f t="shared" ref="BK50:BK55" si="34">IF(BJ50="","",IF(BJ51="","",(BJ51-BJ50)/(BF51-BF50)))</f>
        <v/>
      </c>
      <c r="BL50" s="135" t="str">
        <f t="shared" ref="BL50:BL55" si="35">IF(BK50="","",BJ50-(BK50*BF50))</f>
        <v/>
      </c>
      <c r="BM50" s="135" t="str">
        <f t="shared" ref="BM50:BM55" si="36">IF($BE50=1,$H50,IF($BE50=2,$H50,""))</f>
        <v/>
      </c>
      <c r="BN50" s="135" t="str">
        <f t="shared" ref="BN50:BN55" si="37">IF(BM50="","",IF(BM51="","",(BM51-BM50)/(BF51-BF50)))</f>
        <v/>
      </c>
      <c r="BO50" s="135" t="str">
        <f t="shared" ref="BO50:BO56" si="38">IF(BN50="","",BM50-(BN50*BF50))</f>
        <v/>
      </c>
      <c r="BP50" s="135" t="str">
        <f t="shared" ref="BP50:BP55" si="39">IF(BL50="","",(BL50-BI50)/(BH50-BK50))</f>
        <v/>
      </c>
      <c r="BQ50" s="135" t="str">
        <f t="shared" ref="BQ50:BQ55" si="40">IF(BP50="","",(BK50*BP50)+BL50)</f>
        <v/>
      </c>
      <c r="BR50" s="135" t="str">
        <f t="shared" ref="BR50:BR94" si="41">IF(BP50="","",(BN50*BP50)+BO50)</f>
        <v/>
      </c>
      <c r="BS50" s="120" t="str">
        <f>IF(F50="","",F50*0.00409/0.00305)</f>
        <v/>
      </c>
      <c r="BT50" s="133">
        <f t="shared" ref="BT50:BT55" si="42">IF(BS50&gt;E50,BT49+1,0)</f>
        <v>0</v>
      </c>
      <c r="BU50" s="135" t="str">
        <f t="shared" ref="BU50:BU55" si="43">IF($BT50=1,$C50,IF($BT50=2,$C50,""))</f>
        <v/>
      </c>
      <c r="BV50" s="135" t="str">
        <f t="shared" ref="BV50:BV55" si="44">IF($BT50=1,$E50,IF($BT50=2,$E50,""))</f>
        <v/>
      </c>
      <c r="BW50" s="135" t="str">
        <f t="shared" ref="BW50:BW94" si="45">IF(BV50="","",IF(BV51="","",(BV51-BV50)/(BU51-BU50)))</f>
        <v/>
      </c>
      <c r="BX50" s="135" t="str">
        <f t="shared" ref="BX50:BX94" si="46">IF(BW50="","",BV50-(BW50*BU50))</f>
        <v/>
      </c>
      <c r="BY50" s="135" t="str">
        <f t="shared" ref="BY50:BY55" si="47">IF($BT50=1,$BS50,IF($BT50=2,$BS50,""))</f>
        <v/>
      </c>
      <c r="BZ50" s="135" t="str">
        <f t="shared" ref="BZ50:BZ94" si="48">IF(BY50="","",IF(BY51="","",(BY51-BY50)/(BU51-BU50)))</f>
        <v/>
      </c>
      <c r="CA50" s="135" t="str">
        <f t="shared" ref="CA50:CA94" si="49">IF(BZ50="","",BY50-(BZ50*BU50))</f>
        <v/>
      </c>
      <c r="CB50" s="135" t="str">
        <f t="shared" ref="CB50:CB55" si="50">IF($BT50=1,$H50,IF($BT50=2,$H50,""))</f>
        <v/>
      </c>
      <c r="CC50" s="135" t="str">
        <f t="shared" ref="CC50:CC94" si="51">IF(CB50="","",IF(CB51="","",(CB51-CB50)/(BU51-BU50)))</f>
        <v/>
      </c>
      <c r="CD50" s="135" t="str">
        <f t="shared" ref="CD50:CD94" si="52">IF(CC50="","",CB50-(CC50*BU50))</f>
        <v/>
      </c>
      <c r="CE50" s="135" t="str">
        <f t="shared" ref="CE50:CE94" si="53">IF(CA50="","",(CA50-BX50)/(BW50-BZ50))</f>
        <v/>
      </c>
      <c r="CF50" s="135" t="str">
        <f t="shared" ref="CF50:CF94" si="54">IF(CE50="","",(BZ50*CE50)+CA50)</f>
        <v/>
      </c>
      <c r="CG50" s="135" t="str">
        <f t="shared" ref="CG50:CG94" si="55">IF(CE50="","",(CC50*CE50)+CD50)</f>
        <v/>
      </c>
    </row>
    <row r="51" spans="1:85" s="38" customFormat="1" ht="13.5" customHeight="1">
      <c r="A51" s="19"/>
      <c r="B51" s="118">
        <f>+B50+1</f>
        <v>2</v>
      </c>
      <c r="C51" s="119" t="str">
        <f>IF('Chart Information'!D5="","",'Chart Information'!D5)</f>
        <v/>
      </c>
      <c r="D51" s="120" t="str">
        <f>IF('Chart Information'!E5="","",'Chart Information'!E5)</f>
        <v/>
      </c>
      <c r="E51" s="120" t="str">
        <f>IF('Chart Information'!M5="","",'Chart Information'!M5)</f>
        <v/>
      </c>
      <c r="F51" s="120" t="str">
        <f>IF('Chart Information'!P5="","",'Chart Information'!P5)</f>
        <v/>
      </c>
      <c r="G51" s="120" t="str">
        <f>IF('Chart Information'!F5="","",'Chart Information'!F5)</f>
        <v/>
      </c>
      <c r="H51" s="120" t="str">
        <f>IF('Chart Information'!O5="","",'Chart Information'!O5)</f>
        <v/>
      </c>
      <c r="I51" s="120" t="str">
        <f t="shared" si="8"/>
        <v/>
      </c>
      <c r="J51" s="120" t="str">
        <f t="shared" si="9"/>
        <v/>
      </c>
      <c r="K51" s="141"/>
      <c r="L51" s="142"/>
      <c r="M51" s="142"/>
      <c r="N51" s="146"/>
      <c r="O51" s="143"/>
      <c r="P51" s="142"/>
      <c r="Q51" s="142"/>
      <c r="R51" s="142"/>
      <c r="S51" s="142"/>
      <c r="T51" s="142"/>
      <c r="U51" s="142"/>
      <c r="V51" s="142"/>
      <c r="W51" s="142">
        <f t="shared" si="10"/>
        <v>2</v>
      </c>
      <c r="X51" s="143"/>
      <c r="Y51" s="142"/>
      <c r="Z51" s="145"/>
      <c r="AA51" s="115" t="e">
        <f t="shared" si="11"/>
        <v>#VALUE!</v>
      </c>
      <c r="AB51" s="186">
        <f t="shared" si="12"/>
        <v>1</v>
      </c>
      <c r="AC51" s="43">
        <f t="shared" si="0"/>
        <v>45.1</v>
      </c>
      <c r="AD51" s="43">
        <f t="shared" si="1"/>
        <v>84.9</v>
      </c>
      <c r="AE51" s="15"/>
      <c r="AF51" s="17" t="s">
        <v>376</v>
      </c>
      <c r="AG51" s="47">
        <v>6.5820357905764153</v>
      </c>
      <c r="AH51" s="15"/>
      <c r="AI51" s="15"/>
      <c r="AJ51" s="15"/>
      <c r="AK51" s="15"/>
      <c r="AL51" s="15"/>
      <c r="AM51" s="15"/>
      <c r="AN51" s="15"/>
      <c r="AO51" s="15"/>
      <c r="AP51" s="133">
        <f t="shared" si="13"/>
        <v>0</v>
      </c>
      <c r="AQ51" s="135" t="str">
        <f t="shared" si="14"/>
        <v/>
      </c>
      <c r="AR51" s="135" t="str">
        <f t="shared" si="15"/>
        <v/>
      </c>
      <c r="AS51" s="135" t="str">
        <f t="shared" si="16"/>
        <v/>
      </c>
      <c r="AT51" s="135" t="str">
        <f t="shared" si="17"/>
        <v/>
      </c>
      <c r="AU51" s="135" t="str">
        <f t="shared" si="18"/>
        <v/>
      </c>
      <c r="AV51" s="135" t="str">
        <f t="shared" si="19"/>
        <v/>
      </c>
      <c r="AW51" s="135" t="str">
        <f t="shared" si="20"/>
        <v/>
      </c>
      <c r="AX51" s="135" t="str">
        <f t="shared" si="21"/>
        <v/>
      </c>
      <c r="AY51" s="135" t="str">
        <f t="shared" si="22"/>
        <v/>
      </c>
      <c r="AZ51" s="135" t="str">
        <f t="shared" si="23"/>
        <v/>
      </c>
      <c r="BA51" s="135" t="str">
        <f t="shared" si="24"/>
        <v/>
      </c>
      <c r="BB51" s="135" t="str">
        <f t="shared" si="25"/>
        <v/>
      </c>
      <c r="BC51" s="135" t="str">
        <f t="shared" si="26"/>
        <v/>
      </c>
      <c r="BD51" s="120" t="str">
        <f t="shared" si="27"/>
        <v/>
      </c>
      <c r="BE51" s="133">
        <f t="shared" si="28"/>
        <v>0</v>
      </c>
      <c r="BF51" s="135" t="str">
        <f t="shared" si="29"/>
        <v/>
      </c>
      <c r="BG51" s="135" t="str">
        <f t="shared" si="30"/>
        <v/>
      </c>
      <c r="BH51" s="135" t="str">
        <f t="shared" si="31"/>
        <v/>
      </c>
      <c r="BI51" s="135" t="str">
        <f t="shared" si="32"/>
        <v/>
      </c>
      <c r="BJ51" s="135" t="str">
        <f t="shared" si="33"/>
        <v/>
      </c>
      <c r="BK51" s="135" t="str">
        <f t="shared" si="34"/>
        <v/>
      </c>
      <c r="BL51" s="135" t="str">
        <f t="shared" si="35"/>
        <v/>
      </c>
      <c r="BM51" s="135" t="str">
        <f t="shared" si="36"/>
        <v/>
      </c>
      <c r="BN51" s="135" t="str">
        <f t="shared" si="37"/>
        <v/>
      </c>
      <c r="BO51" s="135" t="str">
        <f t="shared" si="38"/>
        <v/>
      </c>
      <c r="BP51" s="135" t="str">
        <f t="shared" si="39"/>
        <v/>
      </c>
      <c r="BQ51" s="135" t="str">
        <f t="shared" si="40"/>
        <v/>
      </c>
      <c r="BR51" s="135" t="str">
        <f t="shared" si="41"/>
        <v/>
      </c>
      <c r="BS51" s="120" t="str">
        <f t="shared" ref="BS51:BS94" si="56">IF(F51="","",F51*0.00409/0.00305)</f>
        <v/>
      </c>
      <c r="BT51" s="133">
        <f t="shared" si="42"/>
        <v>0</v>
      </c>
      <c r="BU51" s="135" t="str">
        <f t="shared" si="43"/>
        <v/>
      </c>
      <c r="BV51" s="135" t="str">
        <f t="shared" si="44"/>
        <v/>
      </c>
      <c r="BW51" s="135" t="str">
        <f t="shared" si="45"/>
        <v/>
      </c>
      <c r="BX51" s="135" t="str">
        <f t="shared" si="46"/>
        <v/>
      </c>
      <c r="BY51" s="135" t="str">
        <f t="shared" si="47"/>
        <v/>
      </c>
      <c r="BZ51" s="135" t="str">
        <f t="shared" si="48"/>
        <v/>
      </c>
      <c r="CA51" s="135" t="str">
        <f t="shared" si="49"/>
        <v/>
      </c>
      <c r="CB51" s="135" t="str">
        <f t="shared" si="50"/>
        <v/>
      </c>
      <c r="CC51" s="135" t="str">
        <f t="shared" si="51"/>
        <v/>
      </c>
      <c r="CD51" s="135" t="str">
        <f t="shared" si="52"/>
        <v/>
      </c>
      <c r="CE51" s="135" t="str">
        <f t="shared" si="53"/>
        <v/>
      </c>
      <c r="CF51" s="135" t="str">
        <f t="shared" si="54"/>
        <v/>
      </c>
      <c r="CG51" s="135" t="str">
        <f t="shared" si="55"/>
        <v/>
      </c>
    </row>
    <row r="52" spans="1:85" s="38" customFormat="1" ht="13.5" customHeight="1">
      <c r="A52" s="19"/>
      <c r="B52" s="118">
        <f t="shared" ref="B52:B94" si="57">+B51+1</f>
        <v>3</v>
      </c>
      <c r="C52" s="119" t="str">
        <f>IF('Chart Information'!D6="","",'Chart Information'!D6)</f>
        <v/>
      </c>
      <c r="D52" s="120" t="str">
        <f>IF('Chart Information'!E6="","",'Chart Information'!E6)</f>
        <v/>
      </c>
      <c r="E52" s="120" t="str">
        <f>IF('Chart Information'!M6="","",'Chart Information'!M6)</f>
        <v/>
      </c>
      <c r="F52" s="120" t="str">
        <f>IF('Chart Information'!P6="","",'Chart Information'!P6)</f>
        <v/>
      </c>
      <c r="G52" s="120" t="str">
        <f>IF('Chart Information'!F6="","",'Chart Information'!F6)</f>
        <v/>
      </c>
      <c r="H52" s="120" t="str">
        <f>IF('Chart Information'!O6="","",'Chart Information'!O6)</f>
        <v/>
      </c>
      <c r="I52" s="120" t="str">
        <f t="shared" si="8"/>
        <v/>
      </c>
      <c r="J52" s="120" t="str">
        <f t="shared" si="9"/>
        <v/>
      </c>
      <c r="K52" s="141"/>
      <c r="L52" s="142"/>
      <c r="M52" s="142"/>
      <c r="N52" s="146"/>
      <c r="O52" s="143"/>
      <c r="P52" s="142"/>
      <c r="Q52" s="142"/>
      <c r="R52" s="142"/>
      <c r="S52" s="142"/>
      <c r="T52" s="142"/>
      <c r="U52" s="142"/>
      <c r="V52" s="142"/>
      <c r="W52" s="142">
        <f t="shared" si="10"/>
        <v>2</v>
      </c>
      <c r="X52" s="143"/>
      <c r="Y52" s="142"/>
      <c r="Z52" s="145"/>
      <c r="AA52" s="115" t="e">
        <f t="shared" si="11"/>
        <v>#VALUE!</v>
      </c>
      <c r="AB52" s="186">
        <f t="shared" si="12"/>
        <v>1</v>
      </c>
      <c r="AC52" s="43">
        <f t="shared" si="0"/>
        <v>45</v>
      </c>
      <c r="AD52" s="43">
        <f t="shared" si="1"/>
        <v>85</v>
      </c>
      <c r="AE52" s="15"/>
      <c r="AF52" s="17" t="s">
        <v>377</v>
      </c>
      <c r="AG52" s="47">
        <v>7.5223266178016175</v>
      </c>
      <c r="AH52" s="15"/>
      <c r="AI52" s="15"/>
      <c r="AJ52" s="15"/>
      <c r="AK52" s="15"/>
      <c r="AL52" s="15"/>
      <c r="AM52" s="15"/>
      <c r="AN52" s="15"/>
      <c r="AO52" s="15"/>
      <c r="AP52" s="133">
        <f t="shared" si="13"/>
        <v>0</v>
      </c>
      <c r="AQ52" s="135" t="str">
        <f t="shared" si="14"/>
        <v/>
      </c>
      <c r="AR52" s="135" t="str">
        <f t="shared" si="15"/>
        <v/>
      </c>
      <c r="AS52" s="135" t="str">
        <f t="shared" si="16"/>
        <v/>
      </c>
      <c r="AT52" s="135" t="str">
        <f t="shared" si="17"/>
        <v/>
      </c>
      <c r="AU52" s="135" t="str">
        <f t="shared" si="18"/>
        <v/>
      </c>
      <c r="AV52" s="135" t="str">
        <f t="shared" si="19"/>
        <v/>
      </c>
      <c r="AW52" s="135" t="str">
        <f t="shared" si="20"/>
        <v/>
      </c>
      <c r="AX52" s="135" t="str">
        <f t="shared" si="21"/>
        <v/>
      </c>
      <c r="AY52" s="135" t="str">
        <f t="shared" si="22"/>
        <v/>
      </c>
      <c r="AZ52" s="135" t="str">
        <f t="shared" si="23"/>
        <v/>
      </c>
      <c r="BA52" s="135" t="str">
        <f t="shared" si="24"/>
        <v/>
      </c>
      <c r="BB52" s="135" t="str">
        <f t="shared" si="25"/>
        <v/>
      </c>
      <c r="BC52" s="135" t="str">
        <f t="shared" si="26"/>
        <v/>
      </c>
      <c r="BD52" s="120" t="str">
        <f t="shared" si="27"/>
        <v/>
      </c>
      <c r="BE52" s="133">
        <f t="shared" si="28"/>
        <v>0</v>
      </c>
      <c r="BF52" s="135" t="str">
        <f t="shared" si="29"/>
        <v/>
      </c>
      <c r="BG52" s="135" t="str">
        <f t="shared" si="30"/>
        <v/>
      </c>
      <c r="BH52" s="135" t="str">
        <f t="shared" si="31"/>
        <v/>
      </c>
      <c r="BI52" s="135" t="str">
        <f t="shared" si="32"/>
        <v/>
      </c>
      <c r="BJ52" s="135" t="str">
        <f t="shared" si="33"/>
        <v/>
      </c>
      <c r="BK52" s="135" t="str">
        <f t="shared" si="34"/>
        <v/>
      </c>
      <c r="BL52" s="135" t="str">
        <f t="shared" si="35"/>
        <v/>
      </c>
      <c r="BM52" s="135" t="str">
        <f t="shared" si="36"/>
        <v/>
      </c>
      <c r="BN52" s="135" t="str">
        <f t="shared" si="37"/>
        <v/>
      </c>
      <c r="BO52" s="135" t="str">
        <f t="shared" si="38"/>
        <v/>
      </c>
      <c r="BP52" s="135" t="str">
        <f t="shared" si="39"/>
        <v/>
      </c>
      <c r="BQ52" s="135" t="str">
        <f t="shared" si="40"/>
        <v/>
      </c>
      <c r="BR52" s="135" t="str">
        <f t="shared" si="41"/>
        <v/>
      </c>
      <c r="BS52" s="120" t="str">
        <f t="shared" si="56"/>
        <v/>
      </c>
      <c r="BT52" s="133">
        <f t="shared" si="42"/>
        <v>0</v>
      </c>
      <c r="BU52" s="135" t="str">
        <f t="shared" si="43"/>
        <v/>
      </c>
      <c r="BV52" s="135" t="str">
        <f t="shared" si="44"/>
        <v/>
      </c>
      <c r="BW52" s="135" t="str">
        <f t="shared" si="45"/>
        <v/>
      </c>
      <c r="BX52" s="135" t="str">
        <f t="shared" si="46"/>
        <v/>
      </c>
      <c r="BY52" s="135" t="str">
        <f t="shared" si="47"/>
        <v/>
      </c>
      <c r="BZ52" s="135" t="str">
        <f t="shared" si="48"/>
        <v/>
      </c>
      <c r="CA52" s="135" t="str">
        <f t="shared" si="49"/>
        <v/>
      </c>
      <c r="CB52" s="135" t="str">
        <f t="shared" si="50"/>
        <v/>
      </c>
      <c r="CC52" s="135" t="str">
        <f t="shared" si="51"/>
        <v/>
      </c>
      <c r="CD52" s="135" t="str">
        <f t="shared" si="52"/>
        <v/>
      </c>
      <c r="CE52" s="135" t="str">
        <f t="shared" si="53"/>
        <v/>
      </c>
      <c r="CF52" s="135" t="str">
        <f t="shared" si="54"/>
        <v/>
      </c>
      <c r="CG52" s="135" t="str">
        <f t="shared" si="55"/>
        <v/>
      </c>
    </row>
    <row r="53" spans="1:85" s="38" customFormat="1" ht="13.5" customHeight="1">
      <c r="A53" s="19"/>
      <c r="B53" s="118">
        <f t="shared" si="57"/>
        <v>4</v>
      </c>
      <c r="C53" s="119" t="str">
        <f>IF('Chart Information'!D7="","",'Chart Information'!D7)</f>
        <v/>
      </c>
      <c r="D53" s="120" t="str">
        <f>IF('Chart Information'!E7="","",'Chart Information'!E7)</f>
        <v/>
      </c>
      <c r="E53" s="120" t="str">
        <f>IF('Chart Information'!M7="","",'Chart Information'!M7)</f>
        <v/>
      </c>
      <c r="F53" s="120" t="str">
        <f>IF('Chart Information'!P7="","",'Chart Information'!P7)</f>
        <v/>
      </c>
      <c r="G53" s="120" t="str">
        <f>IF('Chart Information'!F7="","",'Chart Information'!F7)</f>
        <v/>
      </c>
      <c r="H53" s="120" t="str">
        <f>IF('Chart Information'!O7="","",'Chart Information'!O7)</f>
        <v/>
      </c>
      <c r="I53" s="120" t="str">
        <f t="shared" si="8"/>
        <v/>
      </c>
      <c r="J53" s="120" t="str">
        <f t="shared" si="9"/>
        <v/>
      </c>
      <c r="K53" s="141"/>
      <c r="L53" s="142"/>
      <c r="M53" s="142"/>
      <c r="N53" s="146"/>
      <c r="O53" s="143"/>
      <c r="P53" s="142"/>
      <c r="Q53" s="142"/>
      <c r="R53" s="142"/>
      <c r="S53" s="142"/>
      <c r="T53" s="142"/>
      <c r="U53" s="142"/>
      <c r="V53" s="142"/>
      <c r="W53" s="142">
        <f t="shared" si="10"/>
        <v>2</v>
      </c>
      <c r="X53" s="143"/>
      <c r="Y53" s="142"/>
      <c r="Z53" s="145"/>
      <c r="AA53" s="115" t="e">
        <f t="shared" si="11"/>
        <v>#VALUE!</v>
      </c>
      <c r="AB53" s="186">
        <f t="shared" si="12"/>
        <v>1</v>
      </c>
      <c r="AC53" s="43">
        <f t="shared" si="0"/>
        <v>44.9</v>
      </c>
      <c r="AD53" s="43">
        <f t="shared" si="1"/>
        <v>85.1</v>
      </c>
      <c r="AE53" s="15"/>
      <c r="AF53" s="17" t="s">
        <v>50</v>
      </c>
      <c r="AG53" s="47">
        <v>0.68641230387439767</v>
      </c>
      <c r="AH53" s="15"/>
      <c r="AI53" s="15"/>
      <c r="AJ53" s="15"/>
      <c r="AK53" s="15"/>
      <c r="AL53" s="15"/>
      <c r="AM53" s="15"/>
      <c r="AN53" s="15"/>
      <c r="AO53" s="15"/>
      <c r="AP53" s="133">
        <f t="shared" si="13"/>
        <v>0</v>
      </c>
      <c r="AQ53" s="135" t="str">
        <f t="shared" si="14"/>
        <v/>
      </c>
      <c r="AR53" s="135" t="str">
        <f t="shared" si="15"/>
        <v/>
      </c>
      <c r="AS53" s="135" t="str">
        <f t="shared" si="16"/>
        <v/>
      </c>
      <c r="AT53" s="135" t="str">
        <f t="shared" si="17"/>
        <v/>
      </c>
      <c r="AU53" s="135" t="str">
        <f t="shared" si="18"/>
        <v/>
      </c>
      <c r="AV53" s="135" t="str">
        <f t="shared" si="19"/>
        <v/>
      </c>
      <c r="AW53" s="135" t="str">
        <f t="shared" si="20"/>
        <v/>
      </c>
      <c r="AX53" s="135" t="str">
        <f t="shared" si="21"/>
        <v/>
      </c>
      <c r="AY53" s="135" t="str">
        <f t="shared" si="22"/>
        <v/>
      </c>
      <c r="AZ53" s="135" t="str">
        <f t="shared" si="23"/>
        <v/>
      </c>
      <c r="BA53" s="135" t="str">
        <f t="shared" si="24"/>
        <v/>
      </c>
      <c r="BB53" s="135" t="str">
        <f t="shared" si="25"/>
        <v/>
      </c>
      <c r="BC53" s="135" t="str">
        <f t="shared" si="26"/>
        <v/>
      </c>
      <c r="BD53" s="120" t="str">
        <f t="shared" si="27"/>
        <v/>
      </c>
      <c r="BE53" s="133">
        <f t="shared" si="28"/>
        <v>0</v>
      </c>
      <c r="BF53" s="135" t="str">
        <f t="shared" si="29"/>
        <v/>
      </c>
      <c r="BG53" s="135" t="str">
        <f t="shared" si="30"/>
        <v/>
      </c>
      <c r="BH53" s="135" t="str">
        <f t="shared" si="31"/>
        <v/>
      </c>
      <c r="BI53" s="135" t="str">
        <f t="shared" si="32"/>
        <v/>
      </c>
      <c r="BJ53" s="135" t="str">
        <f t="shared" si="33"/>
        <v/>
      </c>
      <c r="BK53" s="135" t="str">
        <f t="shared" si="34"/>
        <v/>
      </c>
      <c r="BL53" s="135" t="str">
        <f t="shared" si="35"/>
        <v/>
      </c>
      <c r="BM53" s="135" t="str">
        <f t="shared" si="36"/>
        <v/>
      </c>
      <c r="BN53" s="135" t="str">
        <f t="shared" si="37"/>
        <v/>
      </c>
      <c r="BO53" s="135" t="str">
        <f t="shared" si="38"/>
        <v/>
      </c>
      <c r="BP53" s="135" t="str">
        <f t="shared" si="39"/>
        <v/>
      </c>
      <c r="BQ53" s="135" t="str">
        <f t="shared" si="40"/>
        <v/>
      </c>
      <c r="BR53" s="135" t="str">
        <f t="shared" si="41"/>
        <v/>
      </c>
      <c r="BS53" s="120" t="str">
        <f t="shared" si="56"/>
        <v/>
      </c>
      <c r="BT53" s="133">
        <f t="shared" si="42"/>
        <v>0</v>
      </c>
      <c r="BU53" s="135" t="str">
        <f t="shared" si="43"/>
        <v/>
      </c>
      <c r="BV53" s="135" t="str">
        <f t="shared" si="44"/>
        <v/>
      </c>
      <c r="BW53" s="135" t="str">
        <f t="shared" si="45"/>
        <v/>
      </c>
      <c r="BX53" s="135" t="str">
        <f t="shared" si="46"/>
        <v/>
      </c>
      <c r="BY53" s="135" t="str">
        <f t="shared" si="47"/>
        <v/>
      </c>
      <c r="BZ53" s="135" t="str">
        <f t="shared" si="48"/>
        <v/>
      </c>
      <c r="CA53" s="135" t="str">
        <f t="shared" si="49"/>
        <v/>
      </c>
      <c r="CB53" s="135" t="str">
        <f t="shared" si="50"/>
        <v/>
      </c>
      <c r="CC53" s="135" t="str">
        <f t="shared" si="51"/>
        <v/>
      </c>
      <c r="CD53" s="135" t="str">
        <f t="shared" si="52"/>
        <v/>
      </c>
      <c r="CE53" s="135" t="str">
        <f t="shared" si="53"/>
        <v/>
      </c>
      <c r="CF53" s="135" t="str">
        <f t="shared" si="54"/>
        <v/>
      </c>
      <c r="CG53" s="135" t="str">
        <f t="shared" si="55"/>
        <v/>
      </c>
    </row>
    <row r="54" spans="1:85" s="38" customFormat="1" ht="13.5" customHeight="1">
      <c r="A54" s="19"/>
      <c r="B54" s="118">
        <f t="shared" si="57"/>
        <v>5</v>
      </c>
      <c r="C54" s="119" t="str">
        <f>IF('Chart Information'!D8="","",'Chart Information'!D8)</f>
        <v/>
      </c>
      <c r="D54" s="120" t="str">
        <f>IF('Chart Information'!E8="","",'Chart Information'!E8)</f>
        <v/>
      </c>
      <c r="E54" s="120" t="str">
        <f>IF('Chart Information'!M8="","",'Chart Information'!M8)</f>
        <v/>
      </c>
      <c r="F54" s="120" t="str">
        <f>IF('Chart Information'!P8="","",'Chart Information'!P8)</f>
        <v/>
      </c>
      <c r="G54" s="120" t="str">
        <f>IF('Chart Information'!F8="","",'Chart Information'!F8)</f>
        <v/>
      </c>
      <c r="H54" s="120" t="str">
        <f>IF('Chart Information'!O8="","",'Chart Information'!O8)</f>
        <v/>
      </c>
      <c r="I54" s="120" t="str">
        <f t="shared" si="8"/>
        <v/>
      </c>
      <c r="J54" s="120" t="str">
        <f t="shared" si="9"/>
        <v/>
      </c>
      <c r="K54" s="141"/>
      <c r="L54" s="142"/>
      <c r="M54" s="142"/>
      <c r="N54" s="146"/>
      <c r="O54" s="143"/>
      <c r="P54" s="142"/>
      <c r="Q54" s="142"/>
      <c r="R54" s="142"/>
      <c r="S54" s="142"/>
      <c r="T54" s="142"/>
      <c r="U54" s="142"/>
      <c r="V54" s="142"/>
      <c r="W54" s="142">
        <f t="shared" si="10"/>
        <v>2</v>
      </c>
      <c r="X54" s="143"/>
      <c r="Y54" s="142"/>
      <c r="Z54" s="145"/>
      <c r="AA54" s="115" t="e">
        <f t="shared" si="11"/>
        <v>#VALUE!</v>
      </c>
      <c r="AB54" s="186">
        <f t="shared" si="12"/>
        <v>1</v>
      </c>
      <c r="AC54" s="43">
        <f t="shared" si="0"/>
        <v>44.8</v>
      </c>
      <c r="AD54" s="43">
        <f t="shared" si="1"/>
        <v>85.2</v>
      </c>
      <c r="AE54" s="15"/>
      <c r="AF54" s="17" t="s">
        <v>51</v>
      </c>
      <c r="AG54" s="47">
        <v>1.3728246077487953</v>
      </c>
      <c r="AH54" s="15"/>
      <c r="AI54" s="15"/>
      <c r="AJ54" s="15"/>
      <c r="AK54" s="15"/>
      <c r="AL54" s="15"/>
      <c r="AM54" s="15"/>
      <c r="AN54" s="15"/>
      <c r="AO54" s="15"/>
      <c r="AP54" s="133">
        <f t="shared" si="13"/>
        <v>0</v>
      </c>
      <c r="AQ54" s="135" t="str">
        <f t="shared" si="14"/>
        <v/>
      </c>
      <c r="AR54" s="135" t="str">
        <f t="shared" si="15"/>
        <v/>
      </c>
      <c r="AS54" s="135" t="str">
        <f t="shared" si="16"/>
        <v/>
      </c>
      <c r="AT54" s="135" t="str">
        <f t="shared" si="17"/>
        <v/>
      </c>
      <c r="AU54" s="135" t="str">
        <f t="shared" si="18"/>
        <v/>
      </c>
      <c r="AV54" s="135" t="str">
        <f t="shared" si="19"/>
        <v/>
      </c>
      <c r="AW54" s="135" t="str">
        <f t="shared" si="20"/>
        <v/>
      </c>
      <c r="AX54" s="135" t="str">
        <f t="shared" si="21"/>
        <v/>
      </c>
      <c r="AY54" s="135" t="str">
        <f t="shared" si="22"/>
        <v/>
      </c>
      <c r="AZ54" s="135" t="str">
        <f t="shared" si="23"/>
        <v/>
      </c>
      <c r="BA54" s="135" t="str">
        <f t="shared" si="24"/>
        <v/>
      </c>
      <c r="BB54" s="135" t="str">
        <f t="shared" si="25"/>
        <v/>
      </c>
      <c r="BC54" s="135" t="str">
        <f t="shared" si="26"/>
        <v/>
      </c>
      <c r="BD54" s="120" t="str">
        <f t="shared" si="27"/>
        <v/>
      </c>
      <c r="BE54" s="133">
        <f t="shared" si="28"/>
        <v>0</v>
      </c>
      <c r="BF54" s="135" t="str">
        <f t="shared" si="29"/>
        <v/>
      </c>
      <c r="BG54" s="135" t="str">
        <f t="shared" si="30"/>
        <v/>
      </c>
      <c r="BH54" s="135" t="str">
        <f t="shared" si="31"/>
        <v/>
      </c>
      <c r="BI54" s="135" t="str">
        <f t="shared" si="32"/>
        <v/>
      </c>
      <c r="BJ54" s="135" t="str">
        <f t="shared" si="33"/>
        <v/>
      </c>
      <c r="BK54" s="135" t="str">
        <f t="shared" si="34"/>
        <v/>
      </c>
      <c r="BL54" s="135" t="str">
        <f t="shared" si="35"/>
        <v/>
      </c>
      <c r="BM54" s="135" t="str">
        <f t="shared" si="36"/>
        <v/>
      </c>
      <c r="BN54" s="135" t="str">
        <f t="shared" si="37"/>
        <v/>
      </c>
      <c r="BO54" s="135" t="str">
        <f t="shared" si="38"/>
        <v/>
      </c>
      <c r="BP54" s="135" t="str">
        <f t="shared" si="39"/>
        <v/>
      </c>
      <c r="BQ54" s="135" t="str">
        <f t="shared" si="40"/>
        <v/>
      </c>
      <c r="BR54" s="135" t="str">
        <f t="shared" si="41"/>
        <v/>
      </c>
      <c r="BS54" s="120" t="str">
        <f t="shared" si="56"/>
        <v/>
      </c>
      <c r="BT54" s="133">
        <f t="shared" si="42"/>
        <v>0</v>
      </c>
      <c r="BU54" s="135" t="str">
        <f t="shared" si="43"/>
        <v/>
      </c>
      <c r="BV54" s="135" t="str">
        <f t="shared" si="44"/>
        <v/>
      </c>
      <c r="BW54" s="135" t="str">
        <f t="shared" si="45"/>
        <v/>
      </c>
      <c r="BX54" s="135" t="str">
        <f t="shared" si="46"/>
        <v/>
      </c>
      <c r="BY54" s="135" t="str">
        <f t="shared" si="47"/>
        <v/>
      </c>
      <c r="BZ54" s="135" t="str">
        <f t="shared" si="48"/>
        <v/>
      </c>
      <c r="CA54" s="135" t="str">
        <f t="shared" si="49"/>
        <v/>
      </c>
      <c r="CB54" s="135" t="str">
        <f t="shared" si="50"/>
        <v/>
      </c>
      <c r="CC54" s="135" t="str">
        <f t="shared" si="51"/>
        <v/>
      </c>
      <c r="CD54" s="135" t="str">
        <f t="shared" si="52"/>
        <v/>
      </c>
      <c r="CE54" s="135" t="str">
        <f t="shared" si="53"/>
        <v/>
      </c>
      <c r="CF54" s="135" t="str">
        <f t="shared" si="54"/>
        <v/>
      </c>
      <c r="CG54" s="135" t="str">
        <f t="shared" si="55"/>
        <v/>
      </c>
    </row>
    <row r="55" spans="1:85" s="38" customFormat="1" ht="13.5" customHeight="1">
      <c r="A55" s="19"/>
      <c r="B55" s="118">
        <f t="shared" si="57"/>
        <v>6</v>
      </c>
      <c r="C55" s="119" t="str">
        <f>IF('Chart Information'!D9="","",'Chart Information'!D9)</f>
        <v/>
      </c>
      <c r="D55" s="120" t="str">
        <f>IF('Chart Information'!E9="","",'Chart Information'!E9)</f>
        <v/>
      </c>
      <c r="E55" s="120" t="str">
        <f>IF('Chart Information'!M9="","",'Chart Information'!M9)</f>
        <v/>
      </c>
      <c r="F55" s="120" t="str">
        <f>IF('Chart Information'!P9="","",'Chart Information'!P9)</f>
        <v/>
      </c>
      <c r="G55" s="120" t="str">
        <f>IF('Chart Information'!F9="","",'Chart Information'!F9)</f>
        <v/>
      </c>
      <c r="H55" s="120" t="str">
        <f>IF('Chart Information'!O9="","",'Chart Information'!O9)</f>
        <v/>
      </c>
      <c r="I55" s="120" t="str">
        <f t="shared" si="8"/>
        <v/>
      </c>
      <c r="J55" s="120" t="str">
        <f t="shared" si="9"/>
        <v/>
      </c>
      <c r="K55" s="141"/>
      <c r="L55" s="142"/>
      <c r="M55" s="142"/>
      <c r="N55" s="146"/>
      <c r="O55" s="143"/>
      <c r="P55" s="142"/>
      <c r="Q55" s="142"/>
      <c r="R55" s="142"/>
      <c r="S55" s="142"/>
      <c r="T55" s="142"/>
      <c r="U55" s="142"/>
      <c r="V55" s="142"/>
      <c r="W55" s="142">
        <f t="shared" si="10"/>
        <v>2</v>
      </c>
      <c r="X55" s="143"/>
      <c r="Y55" s="142"/>
      <c r="Z55" s="145"/>
      <c r="AA55" s="115" t="e">
        <f t="shared" si="11"/>
        <v>#VALUE!</v>
      </c>
      <c r="AB55" s="186">
        <f t="shared" si="12"/>
        <v>1</v>
      </c>
      <c r="AC55" s="43">
        <f t="shared" si="0"/>
        <v>44.7</v>
      </c>
      <c r="AD55" s="43">
        <f t="shared" si="1"/>
        <v>85.3</v>
      </c>
      <c r="AE55" s="15"/>
      <c r="AF55" s="17" t="s">
        <v>52</v>
      </c>
      <c r="AG55" s="47">
        <v>2.0592369116231928</v>
      </c>
      <c r="AH55" s="15"/>
      <c r="AI55" s="15"/>
      <c r="AJ55" s="15"/>
      <c r="AK55" s="15"/>
      <c r="AL55" s="15"/>
      <c r="AM55" s="15"/>
      <c r="AN55" s="15"/>
      <c r="AO55" s="15"/>
      <c r="AP55" s="133">
        <f t="shared" si="13"/>
        <v>0</v>
      </c>
      <c r="AQ55" s="135" t="str">
        <f t="shared" si="14"/>
        <v/>
      </c>
      <c r="AR55" s="135" t="str">
        <f t="shared" si="15"/>
        <v/>
      </c>
      <c r="AS55" s="135" t="str">
        <f t="shared" si="16"/>
        <v/>
      </c>
      <c r="AT55" s="135" t="str">
        <f t="shared" si="17"/>
        <v/>
      </c>
      <c r="AU55" s="135" t="str">
        <f t="shared" si="18"/>
        <v/>
      </c>
      <c r="AV55" s="135" t="str">
        <f t="shared" si="19"/>
        <v/>
      </c>
      <c r="AW55" s="135" t="str">
        <f t="shared" si="20"/>
        <v/>
      </c>
      <c r="AX55" s="135" t="str">
        <f t="shared" si="21"/>
        <v/>
      </c>
      <c r="AY55" s="135" t="str">
        <f t="shared" si="22"/>
        <v/>
      </c>
      <c r="AZ55" s="135" t="str">
        <f t="shared" si="23"/>
        <v/>
      </c>
      <c r="BA55" s="135" t="str">
        <f t="shared" si="24"/>
        <v/>
      </c>
      <c r="BB55" s="135" t="str">
        <f t="shared" si="25"/>
        <v/>
      </c>
      <c r="BC55" s="135" t="str">
        <f t="shared" si="26"/>
        <v/>
      </c>
      <c r="BD55" s="120" t="str">
        <f t="shared" si="27"/>
        <v/>
      </c>
      <c r="BE55" s="133">
        <f t="shared" si="28"/>
        <v>0</v>
      </c>
      <c r="BF55" s="135" t="str">
        <f t="shared" si="29"/>
        <v/>
      </c>
      <c r="BG55" s="135" t="str">
        <f t="shared" si="30"/>
        <v/>
      </c>
      <c r="BH55" s="135" t="str">
        <f t="shared" si="31"/>
        <v/>
      </c>
      <c r="BI55" s="135" t="str">
        <f t="shared" si="32"/>
        <v/>
      </c>
      <c r="BJ55" s="135" t="str">
        <f t="shared" si="33"/>
        <v/>
      </c>
      <c r="BK55" s="135" t="str">
        <f t="shared" si="34"/>
        <v/>
      </c>
      <c r="BL55" s="135" t="str">
        <f t="shared" si="35"/>
        <v/>
      </c>
      <c r="BM55" s="135" t="str">
        <f t="shared" si="36"/>
        <v/>
      </c>
      <c r="BN55" s="135" t="str">
        <f t="shared" si="37"/>
        <v/>
      </c>
      <c r="BO55" s="135" t="str">
        <f t="shared" si="38"/>
        <v/>
      </c>
      <c r="BP55" s="135" t="str">
        <f t="shared" si="39"/>
        <v/>
      </c>
      <c r="BQ55" s="135" t="str">
        <f t="shared" si="40"/>
        <v/>
      </c>
      <c r="BR55" s="135" t="str">
        <f t="shared" si="41"/>
        <v/>
      </c>
      <c r="BS55" s="120" t="str">
        <f t="shared" si="56"/>
        <v/>
      </c>
      <c r="BT55" s="133">
        <f t="shared" si="42"/>
        <v>0</v>
      </c>
      <c r="BU55" s="135" t="str">
        <f t="shared" si="43"/>
        <v/>
      </c>
      <c r="BV55" s="135" t="str">
        <f t="shared" si="44"/>
        <v/>
      </c>
      <c r="BW55" s="135" t="str">
        <f t="shared" si="45"/>
        <v/>
      </c>
      <c r="BX55" s="135" t="str">
        <f t="shared" si="46"/>
        <v/>
      </c>
      <c r="BY55" s="135" t="str">
        <f t="shared" si="47"/>
        <v/>
      </c>
      <c r="BZ55" s="135" t="str">
        <f t="shared" si="48"/>
        <v/>
      </c>
      <c r="CA55" s="135" t="str">
        <f t="shared" si="49"/>
        <v/>
      </c>
      <c r="CB55" s="135" t="str">
        <f t="shared" si="50"/>
        <v/>
      </c>
      <c r="CC55" s="135" t="str">
        <f t="shared" si="51"/>
        <v/>
      </c>
      <c r="CD55" s="135" t="str">
        <f t="shared" si="52"/>
        <v/>
      </c>
      <c r="CE55" s="135" t="str">
        <f t="shared" si="53"/>
        <v/>
      </c>
      <c r="CF55" s="135" t="str">
        <f t="shared" si="54"/>
        <v/>
      </c>
      <c r="CG55" s="135" t="str">
        <f t="shared" si="55"/>
        <v/>
      </c>
    </row>
    <row r="56" spans="1:85" s="38" customFormat="1" ht="13.5" customHeight="1">
      <c r="A56" s="19"/>
      <c r="B56" s="118">
        <f t="shared" si="57"/>
        <v>7</v>
      </c>
      <c r="C56" s="119" t="str">
        <f>IF('Chart Information'!D10="","",'Chart Information'!D10)</f>
        <v/>
      </c>
      <c r="D56" s="120" t="str">
        <f>IF('Chart Information'!E10="","",'Chart Information'!E10)</f>
        <v/>
      </c>
      <c r="E56" s="120" t="str">
        <f>IF('Chart Information'!M10="","",'Chart Information'!M10)</f>
        <v/>
      </c>
      <c r="F56" s="120" t="str">
        <f>IF('Chart Information'!P10="","",'Chart Information'!P10)</f>
        <v/>
      </c>
      <c r="G56" s="120" t="str">
        <f>IF('Chart Information'!F10="","",'Chart Information'!F10)</f>
        <v/>
      </c>
      <c r="H56" s="120" t="str">
        <f>IF('Chart Information'!O10="","",'Chart Information'!O10)</f>
        <v/>
      </c>
      <c r="I56" s="120" t="str">
        <f t="shared" si="8"/>
        <v/>
      </c>
      <c r="J56" s="120" t="str">
        <f t="shared" si="9"/>
        <v/>
      </c>
      <c r="K56" s="141"/>
      <c r="L56" s="142"/>
      <c r="M56" s="142"/>
      <c r="N56" s="146"/>
      <c r="O56" s="143"/>
      <c r="P56" s="142"/>
      <c r="Q56" s="142"/>
      <c r="R56" s="142"/>
      <c r="S56" s="142"/>
      <c r="T56" s="142"/>
      <c r="U56" s="142"/>
      <c r="V56" s="142"/>
      <c r="W56" s="142">
        <f t="shared" si="10"/>
        <v>2</v>
      </c>
      <c r="X56" s="143"/>
      <c r="Y56" s="142"/>
      <c r="Z56" s="145"/>
      <c r="AA56" s="115" t="e">
        <f t="shared" si="11"/>
        <v>#VALUE!</v>
      </c>
      <c r="AB56" s="186">
        <f t="shared" si="12"/>
        <v>1</v>
      </c>
      <c r="AC56" s="43">
        <f t="shared" si="0"/>
        <v>44.6</v>
      </c>
      <c r="AD56" s="43">
        <f t="shared" si="1"/>
        <v>85.4</v>
      </c>
      <c r="AE56" s="15"/>
      <c r="AF56" s="17" t="s">
        <v>53</v>
      </c>
      <c r="AG56" s="47">
        <v>2.7456492154975907</v>
      </c>
      <c r="AH56" s="15"/>
      <c r="AI56" s="15"/>
      <c r="AJ56" s="15"/>
      <c r="AK56" s="15"/>
      <c r="AL56" s="15"/>
      <c r="AM56" s="15"/>
      <c r="AN56" s="15"/>
      <c r="AO56" s="15"/>
      <c r="AP56" s="133">
        <f t="shared" si="13"/>
        <v>0</v>
      </c>
      <c r="AQ56" s="135" t="str">
        <f t="shared" si="14"/>
        <v/>
      </c>
      <c r="AR56" s="135" t="str">
        <f t="shared" si="15"/>
        <v/>
      </c>
      <c r="AS56" s="135" t="str">
        <f t="shared" si="16"/>
        <v/>
      </c>
      <c r="AT56" s="135" t="str">
        <f t="shared" si="17"/>
        <v/>
      </c>
      <c r="AU56" s="135" t="str">
        <f t="shared" si="18"/>
        <v/>
      </c>
      <c r="AV56" s="135" t="str">
        <f t="shared" si="19"/>
        <v/>
      </c>
      <c r="AW56" s="135" t="str">
        <f t="shared" si="20"/>
        <v/>
      </c>
      <c r="AX56" s="135" t="str">
        <f t="shared" ref="AX56:AX94" si="58">IF($AP56=1,$H56,IF($AP56=2,$H56,""))</f>
        <v/>
      </c>
      <c r="AY56" s="135" t="str">
        <f t="shared" ref="AY56:AY94" si="59">IF(AX56="","",IF(AX57="","",(AX57-AX56)/(AQ57-AQ56)))</f>
        <v/>
      </c>
      <c r="AZ56" s="135" t="str">
        <f t="shared" si="23"/>
        <v/>
      </c>
      <c r="BA56" s="135" t="str">
        <f t="shared" si="24"/>
        <v/>
      </c>
      <c r="BB56" s="135" t="str">
        <f t="shared" si="25"/>
        <v/>
      </c>
      <c r="BC56" s="135" t="str">
        <f t="shared" si="26"/>
        <v/>
      </c>
      <c r="BD56" s="120" t="str">
        <f t="shared" si="27"/>
        <v/>
      </c>
      <c r="BE56" s="133">
        <f t="shared" ref="BE56:BE94" si="60">IF(BD56&gt;E56,BE55+1,0)</f>
        <v>0</v>
      </c>
      <c r="BF56" s="135" t="str">
        <f t="shared" ref="BF56:BF94" si="61">IF($BE56=1,$C56,IF($BE56=2,$C56,""))</f>
        <v/>
      </c>
      <c r="BG56" s="135" t="str">
        <f t="shared" ref="BG56:BG94" si="62">IF($BE56=1,$E56,IF($BE56=2,$E56,""))</f>
        <v/>
      </c>
      <c r="BH56" s="135" t="str">
        <f t="shared" ref="BH56:BH94" si="63">IF(BG56="","",IF(BG57="","",(BG57-BG56)/(BF57-BF56)))</f>
        <v/>
      </c>
      <c r="BI56" s="135" t="str">
        <f t="shared" ref="BI56:BI94" si="64">IF(BH56="","",BG56-(BH56*BF56))</f>
        <v/>
      </c>
      <c r="BJ56" s="135" t="str">
        <f t="shared" ref="BJ56:BJ94" si="65">IF($BE56=1,$BD56,IF($BE56=2,$BD56,""))</f>
        <v/>
      </c>
      <c r="BK56" s="135" t="str">
        <f t="shared" ref="BK56:BK94" si="66">IF(BJ56="","",IF(BJ57="","",(BJ57-BJ56)/(BF57-BF56)))</f>
        <v/>
      </c>
      <c r="BL56" s="135" t="str">
        <f t="shared" ref="BL56:BL94" si="67">IF(BK56="","",BJ56-(BK56*BF56))</f>
        <v/>
      </c>
      <c r="BM56" s="135" t="str">
        <f t="shared" ref="BM56:BM94" si="68">IF($BE56=1,$H56,IF($BE56=2,$H56,""))</f>
        <v/>
      </c>
      <c r="BN56" s="135" t="str">
        <f t="shared" ref="BN56:BN94" si="69">IF(BM56="","",IF(BM57="","",(BM57-BM56)/(BF57-BF56)))</f>
        <v/>
      </c>
      <c r="BO56" s="135" t="str">
        <f t="shared" si="38"/>
        <v/>
      </c>
      <c r="BP56" s="135" t="str">
        <f t="shared" ref="BP56:BP94" si="70">IF(BL56="","",(BL56-BI56)/(BH56-BK56))</f>
        <v/>
      </c>
      <c r="BQ56" s="135" t="str">
        <f t="shared" ref="BQ56:BQ94" si="71">IF(BP56="","",(BK56*BP56)+BL56)</f>
        <v/>
      </c>
      <c r="BR56" s="135" t="str">
        <f t="shared" si="41"/>
        <v/>
      </c>
      <c r="BS56" s="120" t="str">
        <f t="shared" si="56"/>
        <v/>
      </c>
      <c r="BT56" s="133">
        <f t="shared" ref="BT56:BT94" si="72">IF(BS56&gt;E56,BT55+1,0)</f>
        <v>0</v>
      </c>
      <c r="BU56" s="135" t="str">
        <f t="shared" ref="BU56:BU94" si="73">IF($BT56=1,$C56,IF($BT56=2,$C56,""))</f>
        <v/>
      </c>
      <c r="BV56" s="135" t="str">
        <f t="shared" ref="BV56:BV94" si="74">IF($BT56=1,$E56,IF($BT56=2,$E56,""))</f>
        <v/>
      </c>
      <c r="BW56" s="135" t="str">
        <f t="shared" si="45"/>
        <v/>
      </c>
      <c r="BX56" s="135" t="str">
        <f t="shared" si="46"/>
        <v/>
      </c>
      <c r="BY56" s="135" t="str">
        <f t="shared" ref="BY56:BY94" si="75">IF($BT56=1,$BS56,IF($BT56=2,$BS56,""))</f>
        <v/>
      </c>
      <c r="BZ56" s="135" t="str">
        <f t="shared" si="48"/>
        <v/>
      </c>
      <c r="CA56" s="135" t="str">
        <f t="shared" si="49"/>
        <v/>
      </c>
      <c r="CB56" s="135" t="str">
        <f t="shared" ref="CB56:CB94" si="76">IF($BT56=1,$H56,IF($BT56=2,$H56,""))</f>
        <v/>
      </c>
      <c r="CC56" s="135" t="str">
        <f t="shared" si="51"/>
        <v/>
      </c>
      <c r="CD56" s="135" t="str">
        <f>IF(CC56="","",CB56-(CC56*BU56))</f>
        <v/>
      </c>
      <c r="CE56" s="135" t="str">
        <f t="shared" si="53"/>
        <v/>
      </c>
      <c r="CF56" s="135" t="str">
        <f t="shared" si="54"/>
        <v/>
      </c>
      <c r="CG56" s="135" t="str">
        <f t="shared" si="55"/>
        <v/>
      </c>
    </row>
    <row r="57" spans="1:85" s="38" customFormat="1" ht="13.5" customHeight="1">
      <c r="A57" s="19"/>
      <c r="B57" s="118">
        <f t="shared" si="57"/>
        <v>8</v>
      </c>
      <c r="C57" s="119" t="str">
        <f>IF('Chart Information'!D11="","",'Chart Information'!D11)</f>
        <v/>
      </c>
      <c r="D57" s="120" t="str">
        <f>IF('Chart Information'!E11="","",'Chart Information'!E11)</f>
        <v/>
      </c>
      <c r="E57" s="120" t="str">
        <f>IF('Chart Information'!M11="","",'Chart Information'!M11)</f>
        <v/>
      </c>
      <c r="F57" s="120" t="str">
        <f>IF('Chart Information'!P11="","",'Chart Information'!P11)</f>
        <v/>
      </c>
      <c r="G57" s="120" t="str">
        <f>IF('Chart Information'!F11="","",'Chart Information'!F11)</f>
        <v/>
      </c>
      <c r="H57" s="120" t="str">
        <f>IF('Chart Information'!O11="","",'Chart Information'!O11)</f>
        <v/>
      </c>
      <c r="I57" s="120" t="str">
        <f t="shared" si="8"/>
        <v/>
      </c>
      <c r="J57" s="120" t="str">
        <f t="shared" si="9"/>
        <v/>
      </c>
      <c r="K57" s="141"/>
      <c r="L57" s="142"/>
      <c r="M57" s="142"/>
      <c r="N57" s="146"/>
      <c r="O57" s="143"/>
      <c r="P57" s="142"/>
      <c r="Q57" s="142"/>
      <c r="R57" s="142"/>
      <c r="S57" s="142"/>
      <c r="T57" s="142"/>
      <c r="U57" s="142"/>
      <c r="V57" s="142"/>
      <c r="W57" s="142">
        <f t="shared" si="10"/>
        <v>2</v>
      </c>
      <c r="X57" s="143" t="e">
        <f t="shared" ref="X57:X69" si="77">IF(C57="",1/0,IF(W57&gt;1,E57,1/0))</f>
        <v>#DIV/0!</v>
      </c>
      <c r="Y57" s="142"/>
      <c r="Z57" s="145"/>
      <c r="AA57" s="115" t="e">
        <f t="shared" si="11"/>
        <v>#VALUE!</v>
      </c>
      <c r="AB57" s="186">
        <f t="shared" si="12"/>
        <v>1</v>
      </c>
      <c r="AC57" s="43">
        <f t="shared" si="0"/>
        <v>44.5</v>
      </c>
      <c r="AD57" s="43">
        <f t="shared" si="1"/>
        <v>85.5</v>
      </c>
      <c r="AE57" s="15"/>
      <c r="AF57" s="17" t="s">
        <v>54</v>
      </c>
      <c r="AG57" s="47">
        <v>3.4320615193719881</v>
      </c>
      <c r="AH57" s="15"/>
      <c r="AI57" s="15"/>
      <c r="AJ57" s="15"/>
      <c r="AK57" s="15"/>
      <c r="AL57" s="15"/>
      <c r="AM57" s="15"/>
      <c r="AN57" s="15"/>
      <c r="AO57" s="15"/>
      <c r="AP57" s="133">
        <f t="shared" si="13"/>
        <v>0</v>
      </c>
      <c r="AQ57" s="135" t="str">
        <f t="shared" si="14"/>
        <v/>
      </c>
      <c r="AR57" s="135" t="str">
        <f t="shared" si="15"/>
        <v/>
      </c>
      <c r="AS57" s="135" t="str">
        <f t="shared" si="16"/>
        <v/>
      </c>
      <c r="AT57" s="135" t="str">
        <f t="shared" si="17"/>
        <v/>
      </c>
      <c r="AU57" s="135" t="str">
        <f t="shared" si="18"/>
        <v/>
      </c>
      <c r="AV57" s="135" t="str">
        <f t="shared" si="19"/>
        <v/>
      </c>
      <c r="AW57" s="135" t="str">
        <f t="shared" si="20"/>
        <v/>
      </c>
      <c r="AX57" s="135" t="str">
        <f t="shared" si="58"/>
        <v/>
      </c>
      <c r="AY57" s="135" t="str">
        <f t="shared" si="59"/>
        <v/>
      </c>
      <c r="AZ57" s="135" t="str">
        <f t="shared" si="23"/>
        <v/>
      </c>
      <c r="BA57" s="135" t="str">
        <f t="shared" si="24"/>
        <v/>
      </c>
      <c r="BB57" s="135" t="str">
        <f t="shared" si="25"/>
        <v/>
      </c>
      <c r="BC57" s="135" t="str">
        <f t="shared" si="26"/>
        <v/>
      </c>
      <c r="BD57" s="120" t="str">
        <f t="shared" si="27"/>
        <v/>
      </c>
      <c r="BE57" s="133">
        <f t="shared" si="60"/>
        <v>0</v>
      </c>
      <c r="BF57" s="135" t="str">
        <f t="shared" si="61"/>
        <v/>
      </c>
      <c r="BG57" s="135" t="str">
        <f t="shared" si="62"/>
        <v/>
      </c>
      <c r="BH57" s="135" t="str">
        <f t="shared" si="63"/>
        <v/>
      </c>
      <c r="BI57" s="135" t="str">
        <f t="shared" si="64"/>
        <v/>
      </c>
      <c r="BJ57" s="135" t="str">
        <f t="shared" si="65"/>
        <v/>
      </c>
      <c r="BK57" s="135" t="str">
        <f t="shared" si="66"/>
        <v/>
      </c>
      <c r="BL57" s="135" t="str">
        <f t="shared" si="67"/>
        <v/>
      </c>
      <c r="BM57" s="135" t="str">
        <f t="shared" si="68"/>
        <v/>
      </c>
      <c r="BN57" s="135" t="str">
        <f t="shared" si="69"/>
        <v/>
      </c>
      <c r="BO57" s="135" t="str">
        <f>IF(BN57="","",BM57-(BN57*BF57))</f>
        <v/>
      </c>
      <c r="BP57" s="135" t="str">
        <f t="shared" si="70"/>
        <v/>
      </c>
      <c r="BQ57" s="135" t="str">
        <f t="shared" si="71"/>
        <v/>
      </c>
      <c r="BR57" s="135" t="str">
        <f t="shared" si="41"/>
        <v/>
      </c>
      <c r="BS57" s="120" t="str">
        <f t="shared" si="56"/>
        <v/>
      </c>
      <c r="BT57" s="133">
        <f t="shared" si="72"/>
        <v>0</v>
      </c>
      <c r="BU57" s="135" t="str">
        <f t="shared" si="73"/>
        <v/>
      </c>
      <c r="BV57" s="135" t="str">
        <f t="shared" si="74"/>
        <v/>
      </c>
      <c r="BW57" s="135" t="str">
        <f t="shared" si="45"/>
        <v/>
      </c>
      <c r="BX57" s="135" t="str">
        <f t="shared" si="46"/>
        <v/>
      </c>
      <c r="BY57" s="135" t="str">
        <f t="shared" si="75"/>
        <v/>
      </c>
      <c r="BZ57" s="135" t="str">
        <f t="shared" si="48"/>
        <v/>
      </c>
      <c r="CA57" s="135" t="str">
        <f t="shared" si="49"/>
        <v/>
      </c>
      <c r="CB57" s="135" t="str">
        <f t="shared" si="76"/>
        <v/>
      </c>
      <c r="CC57" s="135" t="str">
        <f t="shared" si="51"/>
        <v/>
      </c>
      <c r="CD57" s="135" t="str">
        <f t="shared" si="52"/>
        <v/>
      </c>
      <c r="CE57" s="135" t="str">
        <f t="shared" si="53"/>
        <v/>
      </c>
      <c r="CF57" s="135" t="str">
        <f t="shared" si="54"/>
        <v/>
      </c>
      <c r="CG57" s="135" t="str">
        <f t="shared" si="55"/>
        <v/>
      </c>
    </row>
    <row r="58" spans="1:85" s="38" customFormat="1" ht="13.5" customHeight="1">
      <c r="A58" s="19"/>
      <c r="B58" s="118">
        <f t="shared" si="57"/>
        <v>9</v>
      </c>
      <c r="C58" s="119" t="str">
        <f>IF('Chart Information'!D12="","",'Chart Information'!D12)</f>
        <v/>
      </c>
      <c r="D58" s="120" t="str">
        <f>IF('Chart Information'!E12="","",'Chart Information'!E12)</f>
        <v/>
      </c>
      <c r="E58" s="120" t="str">
        <f>IF('Chart Information'!M12="","",'Chart Information'!M12)</f>
        <v/>
      </c>
      <c r="F58" s="120" t="str">
        <f>IF('Chart Information'!P12="","",'Chart Information'!P12)</f>
        <v/>
      </c>
      <c r="G58" s="120" t="str">
        <f>IF('Chart Information'!F12="","",'Chart Information'!F12)</f>
        <v/>
      </c>
      <c r="H58" s="120" t="str">
        <f>IF('Chart Information'!O12="","",'Chart Information'!O12)</f>
        <v/>
      </c>
      <c r="I58" s="120" t="str">
        <f t="shared" si="8"/>
        <v/>
      </c>
      <c r="J58" s="120" t="str">
        <f t="shared" si="9"/>
        <v/>
      </c>
      <c r="K58" s="141"/>
      <c r="L58" s="142"/>
      <c r="M58" s="142"/>
      <c r="N58" s="146"/>
      <c r="O58" s="143"/>
      <c r="P58" s="142"/>
      <c r="Q58" s="142"/>
      <c r="R58" s="142"/>
      <c r="S58" s="142"/>
      <c r="T58" s="142"/>
      <c r="U58" s="142"/>
      <c r="V58" s="142"/>
      <c r="W58" s="142">
        <f t="shared" si="10"/>
        <v>2</v>
      </c>
      <c r="X58" s="143" t="e">
        <f t="shared" si="77"/>
        <v>#DIV/0!</v>
      </c>
      <c r="Y58" s="142"/>
      <c r="Z58" s="145"/>
      <c r="AA58" s="115" t="e">
        <f t="shared" si="11"/>
        <v>#VALUE!</v>
      </c>
      <c r="AB58" s="186">
        <f t="shared" si="12"/>
        <v>1</v>
      </c>
      <c r="AC58" s="43">
        <f t="shared" si="0"/>
        <v>44.4</v>
      </c>
      <c r="AD58" s="43">
        <f t="shared" si="1"/>
        <v>85.6</v>
      </c>
      <c r="AE58" s="15"/>
      <c r="AF58" s="17" t="s">
        <v>55</v>
      </c>
      <c r="AG58" s="47">
        <v>4.1184738232463856</v>
      </c>
      <c r="AH58" s="15"/>
      <c r="AI58" s="15"/>
      <c r="AJ58" s="15"/>
      <c r="AK58" s="15"/>
      <c r="AL58" s="15"/>
      <c r="AM58" s="15"/>
      <c r="AN58" s="15"/>
      <c r="AO58" s="15"/>
      <c r="AP58" s="133">
        <f t="shared" si="13"/>
        <v>0</v>
      </c>
      <c r="AQ58" s="135" t="str">
        <f t="shared" si="14"/>
        <v/>
      </c>
      <c r="AR58" s="135" t="str">
        <f t="shared" si="15"/>
        <v/>
      </c>
      <c r="AS58" s="135" t="str">
        <f t="shared" si="16"/>
        <v/>
      </c>
      <c r="AT58" s="135" t="str">
        <f t="shared" si="17"/>
        <v/>
      </c>
      <c r="AU58" s="135" t="str">
        <f t="shared" si="18"/>
        <v/>
      </c>
      <c r="AV58" s="135" t="str">
        <f t="shared" si="19"/>
        <v/>
      </c>
      <c r="AW58" s="135" t="str">
        <f t="shared" si="20"/>
        <v/>
      </c>
      <c r="AX58" s="135" t="str">
        <f t="shared" si="58"/>
        <v/>
      </c>
      <c r="AY58" s="135" t="str">
        <f t="shared" si="59"/>
        <v/>
      </c>
      <c r="AZ58" s="135" t="str">
        <f>IF(AY58="","",AX58-(AY58*AQ58))</f>
        <v/>
      </c>
      <c r="BA58" s="135" t="str">
        <f t="shared" si="24"/>
        <v/>
      </c>
      <c r="BB58" s="135" t="str">
        <f t="shared" si="25"/>
        <v/>
      </c>
      <c r="BC58" s="135" t="str">
        <f>IF(BA58="","",(AY58*BA58)+AZ58)</f>
        <v/>
      </c>
      <c r="BD58" s="120" t="str">
        <f t="shared" si="27"/>
        <v/>
      </c>
      <c r="BE58" s="133">
        <f t="shared" si="60"/>
        <v>0</v>
      </c>
      <c r="BF58" s="135" t="str">
        <f t="shared" si="61"/>
        <v/>
      </c>
      <c r="BG58" s="135" t="str">
        <f t="shared" si="62"/>
        <v/>
      </c>
      <c r="BH58" s="135" t="str">
        <f t="shared" si="63"/>
        <v/>
      </c>
      <c r="BI58" s="135" t="str">
        <f t="shared" si="64"/>
        <v/>
      </c>
      <c r="BJ58" s="135" t="str">
        <f t="shared" si="65"/>
        <v/>
      </c>
      <c r="BK58" s="135" t="str">
        <f t="shared" si="66"/>
        <v/>
      </c>
      <c r="BL58" s="135" t="str">
        <f t="shared" si="67"/>
        <v/>
      </c>
      <c r="BM58" s="135" t="str">
        <f t="shared" si="68"/>
        <v/>
      </c>
      <c r="BN58" s="135" t="str">
        <f t="shared" si="69"/>
        <v/>
      </c>
      <c r="BO58" s="135" t="str">
        <f t="shared" ref="BO58:BO94" si="78">IF(BN58="","",BM58-(BN58*BF58))</f>
        <v/>
      </c>
      <c r="BP58" s="135" t="str">
        <f t="shared" si="70"/>
        <v/>
      </c>
      <c r="BQ58" s="135" t="str">
        <f t="shared" si="71"/>
        <v/>
      </c>
      <c r="BR58" s="135" t="str">
        <f t="shared" si="41"/>
        <v/>
      </c>
      <c r="BS58" s="120" t="str">
        <f t="shared" si="56"/>
        <v/>
      </c>
      <c r="BT58" s="133">
        <f t="shared" si="72"/>
        <v>0</v>
      </c>
      <c r="BU58" s="135" t="str">
        <f t="shared" si="73"/>
        <v/>
      </c>
      <c r="BV58" s="135" t="str">
        <f t="shared" si="74"/>
        <v/>
      </c>
      <c r="BW58" s="135" t="str">
        <f t="shared" si="45"/>
        <v/>
      </c>
      <c r="BX58" s="135" t="str">
        <f t="shared" si="46"/>
        <v/>
      </c>
      <c r="BY58" s="135" t="str">
        <f t="shared" si="75"/>
        <v/>
      </c>
      <c r="BZ58" s="135" t="str">
        <f t="shared" si="48"/>
        <v/>
      </c>
      <c r="CA58" s="135" t="str">
        <f t="shared" si="49"/>
        <v/>
      </c>
      <c r="CB58" s="135" t="str">
        <f t="shared" si="76"/>
        <v/>
      </c>
      <c r="CC58" s="135" t="str">
        <f t="shared" si="51"/>
        <v/>
      </c>
      <c r="CD58" s="135" t="str">
        <f t="shared" si="52"/>
        <v/>
      </c>
      <c r="CE58" s="135" t="str">
        <f t="shared" si="53"/>
        <v/>
      </c>
      <c r="CF58" s="135" t="str">
        <f t="shared" si="54"/>
        <v/>
      </c>
      <c r="CG58" s="135" t="str">
        <f t="shared" si="55"/>
        <v/>
      </c>
    </row>
    <row r="59" spans="1:85" s="38" customFormat="1" ht="13.5" customHeight="1">
      <c r="A59" s="19"/>
      <c r="B59" s="118">
        <f t="shared" si="57"/>
        <v>10</v>
      </c>
      <c r="C59" s="119" t="str">
        <f>IF('Chart Information'!D13="","",'Chart Information'!D13)</f>
        <v/>
      </c>
      <c r="D59" s="120" t="str">
        <f>IF('Chart Information'!E13="","",'Chart Information'!E13)</f>
        <v/>
      </c>
      <c r="E59" s="120" t="str">
        <f>IF('Chart Information'!M13="","",'Chart Information'!M13)</f>
        <v/>
      </c>
      <c r="F59" s="120" t="str">
        <f>IF('Chart Information'!P13="","",'Chart Information'!P13)</f>
        <v/>
      </c>
      <c r="G59" s="120" t="str">
        <f>IF('Chart Information'!F13="","",'Chart Information'!F13)</f>
        <v/>
      </c>
      <c r="H59" s="120" t="str">
        <f>IF('Chart Information'!O13="","",'Chart Information'!O13)</f>
        <v/>
      </c>
      <c r="I59" s="120" t="str">
        <f t="shared" si="8"/>
        <v/>
      </c>
      <c r="J59" s="120" t="str">
        <f t="shared" si="9"/>
        <v/>
      </c>
      <c r="K59" s="141"/>
      <c r="L59" s="142"/>
      <c r="M59" s="142"/>
      <c r="N59" s="146"/>
      <c r="O59" s="143"/>
      <c r="P59" s="142"/>
      <c r="Q59" s="142"/>
      <c r="R59" s="142"/>
      <c r="S59" s="142"/>
      <c r="T59" s="142"/>
      <c r="U59" s="142"/>
      <c r="V59" s="142"/>
      <c r="W59" s="142">
        <f t="shared" si="10"/>
        <v>2</v>
      </c>
      <c r="X59" s="143" t="e">
        <f t="shared" si="77"/>
        <v>#DIV/0!</v>
      </c>
      <c r="Y59" s="142"/>
      <c r="Z59" s="145"/>
      <c r="AA59" s="115" t="e">
        <f t="shared" si="11"/>
        <v>#VALUE!</v>
      </c>
      <c r="AB59" s="186">
        <f t="shared" si="12"/>
        <v>1</v>
      </c>
      <c r="AC59" s="43">
        <f t="shared" si="0"/>
        <v>44.3</v>
      </c>
      <c r="AD59" s="43">
        <f t="shared" si="1"/>
        <v>85.7</v>
      </c>
      <c r="AE59" s="15"/>
      <c r="AF59" s="17" t="s">
        <v>56</v>
      </c>
      <c r="AG59" s="47">
        <v>4.8048861271207821</v>
      </c>
      <c r="AH59" s="15"/>
      <c r="AI59" s="15"/>
      <c r="AJ59" s="15"/>
      <c r="AK59" s="15"/>
      <c r="AL59" s="15"/>
      <c r="AM59" s="15"/>
      <c r="AN59" s="15"/>
      <c r="AO59" s="15"/>
      <c r="AP59" s="133">
        <f t="shared" si="13"/>
        <v>0</v>
      </c>
      <c r="AQ59" s="135" t="str">
        <f t="shared" si="14"/>
        <v/>
      </c>
      <c r="AR59" s="135" t="str">
        <f t="shared" si="15"/>
        <v/>
      </c>
      <c r="AS59" s="135" t="str">
        <f t="shared" si="16"/>
        <v/>
      </c>
      <c r="AT59" s="135" t="str">
        <f t="shared" si="17"/>
        <v/>
      </c>
      <c r="AU59" s="135" t="str">
        <f t="shared" si="18"/>
        <v/>
      </c>
      <c r="AV59" s="135" t="str">
        <f t="shared" si="19"/>
        <v/>
      </c>
      <c r="AW59" s="135" t="str">
        <f t="shared" si="20"/>
        <v/>
      </c>
      <c r="AX59" s="135" t="str">
        <f t="shared" si="58"/>
        <v/>
      </c>
      <c r="AY59" s="135" t="str">
        <f t="shared" si="59"/>
        <v/>
      </c>
      <c r="AZ59" s="135" t="str">
        <f t="shared" ref="AZ59:AZ94" si="79">IF(AY59="","",AX59-(AY59*AQ59))</f>
        <v/>
      </c>
      <c r="BA59" s="135" t="str">
        <f t="shared" si="24"/>
        <v/>
      </c>
      <c r="BB59" s="135" t="str">
        <f t="shared" si="25"/>
        <v/>
      </c>
      <c r="BC59" s="135" t="str">
        <f t="shared" ref="BC59:BC94" si="80">IF(BA59="","",(AY59*BA59)+AZ59)</f>
        <v/>
      </c>
      <c r="BD59" s="120" t="str">
        <f t="shared" si="27"/>
        <v/>
      </c>
      <c r="BE59" s="133">
        <f t="shared" si="60"/>
        <v>0</v>
      </c>
      <c r="BF59" s="135" t="str">
        <f t="shared" si="61"/>
        <v/>
      </c>
      <c r="BG59" s="135" t="str">
        <f t="shared" si="62"/>
        <v/>
      </c>
      <c r="BH59" s="135" t="str">
        <f t="shared" si="63"/>
        <v/>
      </c>
      <c r="BI59" s="135" t="str">
        <f t="shared" si="64"/>
        <v/>
      </c>
      <c r="BJ59" s="135" t="str">
        <f t="shared" si="65"/>
        <v/>
      </c>
      <c r="BK59" s="135" t="str">
        <f t="shared" si="66"/>
        <v/>
      </c>
      <c r="BL59" s="135" t="str">
        <f t="shared" si="67"/>
        <v/>
      </c>
      <c r="BM59" s="135" t="str">
        <f t="shared" si="68"/>
        <v/>
      </c>
      <c r="BN59" s="135" t="str">
        <f t="shared" si="69"/>
        <v/>
      </c>
      <c r="BO59" s="135" t="str">
        <f t="shared" si="78"/>
        <v/>
      </c>
      <c r="BP59" s="135" t="str">
        <f t="shared" si="70"/>
        <v/>
      </c>
      <c r="BQ59" s="135" t="str">
        <f t="shared" si="71"/>
        <v/>
      </c>
      <c r="BR59" s="135" t="str">
        <f t="shared" si="41"/>
        <v/>
      </c>
      <c r="BS59" s="120" t="str">
        <f t="shared" si="56"/>
        <v/>
      </c>
      <c r="BT59" s="133">
        <f t="shared" si="72"/>
        <v>0</v>
      </c>
      <c r="BU59" s="135" t="str">
        <f t="shared" si="73"/>
        <v/>
      </c>
      <c r="BV59" s="135" t="str">
        <f t="shared" si="74"/>
        <v/>
      </c>
      <c r="BW59" s="135" t="str">
        <f t="shared" si="45"/>
        <v/>
      </c>
      <c r="BX59" s="135" t="str">
        <f t="shared" si="46"/>
        <v/>
      </c>
      <c r="BY59" s="135" t="str">
        <f t="shared" si="75"/>
        <v/>
      </c>
      <c r="BZ59" s="135" t="str">
        <f t="shared" si="48"/>
        <v/>
      </c>
      <c r="CA59" s="135" t="str">
        <f t="shared" si="49"/>
        <v/>
      </c>
      <c r="CB59" s="135" t="str">
        <f t="shared" si="76"/>
        <v/>
      </c>
      <c r="CC59" s="135" t="str">
        <f t="shared" si="51"/>
        <v/>
      </c>
      <c r="CD59" s="135" t="str">
        <f t="shared" si="52"/>
        <v/>
      </c>
      <c r="CE59" s="135" t="str">
        <f t="shared" si="53"/>
        <v/>
      </c>
      <c r="CF59" s="135" t="str">
        <f t="shared" si="54"/>
        <v/>
      </c>
      <c r="CG59" s="135" t="str">
        <f t="shared" si="55"/>
        <v/>
      </c>
    </row>
    <row r="60" spans="1:85" s="38" customFormat="1" ht="13.5" customHeight="1">
      <c r="A60" s="19"/>
      <c r="B60" s="118">
        <f t="shared" si="57"/>
        <v>11</v>
      </c>
      <c r="C60" s="119" t="str">
        <f>IF('Chart Information'!D14="","",'Chart Information'!D14)</f>
        <v/>
      </c>
      <c r="D60" s="120" t="str">
        <f>IF('Chart Information'!E14="","",'Chart Information'!E14)</f>
        <v/>
      </c>
      <c r="E60" s="120" t="str">
        <f>IF('Chart Information'!M14="","",'Chart Information'!M14)</f>
        <v/>
      </c>
      <c r="F60" s="120" t="str">
        <f>IF('Chart Information'!P14="","",'Chart Information'!P14)</f>
        <v/>
      </c>
      <c r="G60" s="120" t="str">
        <f>IF('Chart Information'!F14="","",'Chart Information'!F14)</f>
        <v/>
      </c>
      <c r="H60" s="120" t="str">
        <f>IF('Chart Information'!O14="","",'Chart Information'!O14)</f>
        <v/>
      </c>
      <c r="I60" s="120" t="str">
        <f t="shared" si="8"/>
        <v/>
      </c>
      <c r="J60" s="120" t="str">
        <f t="shared" si="9"/>
        <v/>
      </c>
      <c r="K60" s="141"/>
      <c r="L60" s="142"/>
      <c r="M60" s="142"/>
      <c r="N60" s="146"/>
      <c r="O60" s="143"/>
      <c r="P60" s="142"/>
      <c r="Q60" s="142"/>
      <c r="R60" s="142"/>
      <c r="S60" s="142"/>
      <c r="T60" s="142"/>
      <c r="U60" s="142"/>
      <c r="V60" s="142"/>
      <c r="W60" s="142">
        <f t="shared" si="10"/>
        <v>2</v>
      </c>
      <c r="X60" s="143" t="e">
        <f t="shared" si="77"/>
        <v>#DIV/0!</v>
      </c>
      <c r="Y60" s="142"/>
      <c r="Z60" s="145"/>
      <c r="AA60" s="115" t="e">
        <f t="shared" si="11"/>
        <v>#VALUE!</v>
      </c>
      <c r="AB60" s="186">
        <f t="shared" si="12"/>
        <v>1</v>
      </c>
      <c r="AC60" s="43">
        <f t="shared" si="0"/>
        <v>44.2</v>
      </c>
      <c r="AD60" s="43">
        <f t="shared" si="1"/>
        <v>85.8</v>
      </c>
      <c r="AE60" s="15"/>
      <c r="AF60" s="17" t="s">
        <v>57</v>
      </c>
      <c r="AG60" s="47">
        <v>5.4912984309951813</v>
      </c>
      <c r="AH60" s="15"/>
      <c r="AI60" s="15"/>
      <c r="AJ60" s="15"/>
      <c r="AK60" s="15"/>
      <c r="AL60" s="15"/>
      <c r="AM60" s="15"/>
      <c r="AN60" s="15"/>
      <c r="AO60" s="15"/>
      <c r="AP60" s="133">
        <f t="shared" si="13"/>
        <v>0</v>
      </c>
      <c r="AQ60" s="135" t="str">
        <f t="shared" si="14"/>
        <v/>
      </c>
      <c r="AR60" s="135" t="str">
        <f t="shared" si="15"/>
        <v/>
      </c>
      <c r="AS60" s="135" t="str">
        <f t="shared" si="16"/>
        <v/>
      </c>
      <c r="AT60" s="135" t="str">
        <f t="shared" si="17"/>
        <v/>
      </c>
      <c r="AU60" s="135" t="str">
        <f t="shared" si="18"/>
        <v/>
      </c>
      <c r="AV60" s="135" t="str">
        <f t="shared" si="19"/>
        <v/>
      </c>
      <c r="AW60" s="135" t="str">
        <f t="shared" si="20"/>
        <v/>
      </c>
      <c r="AX60" s="135" t="str">
        <f t="shared" si="58"/>
        <v/>
      </c>
      <c r="AY60" s="135" t="str">
        <f t="shared" si="59"/>
        <v/>
      </c>
      <c r="AZ60" s="135" t="str">
        <f t="shared" si="79"/>
        <v/>
      </c>
      <c r="BA60" s="135" t="str">
        <f t="shared" si="24"/>
        <v/>
      </c>
      <c r="BB60" s="135" t="str">
        <f t="shared" si="25"/>
        <v/>
      </c>
      <c r="BC60" s="135" t="str">
        <f t="shared" si="80"/>
        <v/>
      </c>
      <c r="BD60" s="120" t="str">
        <f t="shared" si="27"/>
        <v/>
      </c>
      <c r="BE60" s="133">
        <f t="shared" si="60"/>
        <v>0</v>
      </c>
      <c r="BF60" s="135" t="str">
        <f t="shared" si="61"/>
        <v/>
      </c>
      <c r="BG60" s="135" t="str">
        <f t="shared" si="62"/>
        <v/>
      </c>
      <c r="BH60" s="135" t="str">
        <f t="shared" si="63"/>
        <v/>
      </c>
      <c r="BI60" s="135" t="str">
        <f t="shared" si="64"/>
        <v/>
      </c>
      <c r="BJ60" s="135" t="str">
        <f t="shared" si="65"/>
        <v/>
      </c>
      <c r="BK60" s="135" t="str">
        <f t="shared" si="66"/>
        <v/>
      </c>
      <c r="BL60" s="135" t="str">
        <f t="shared" si="67"/>
        <v/>
      </c>
      <c r="BM60" s="135" t="str">
        <f t="shared" si="68"/>
        <v/>
      </c>
      <c r="BN60" s="135" t="str">
        <f t="shared" si="69"/>
        <v/>
      </c>
      <c r="BO60" s="135" t="str">
        <f t="shared" si="78"/>
        <v/>
      </c>
      <c r="BP60" s="135" t="str">
        <f t="shared" si="70"/>
        <v/>
      </c>
      <c r="BQ60" s="135" t="str">
        <f t="shared" si="71"/>
        <v/>
      </c>
      <c r="BR60" s="135" t="str">
        <f t="shared" si="41"/>
        <v/>
      </c>
      <c r="BS60" s="120" t="str">
        <f t="shared" si="56"/>
        <v/>
      </c>
      <c r="BT60" s="133">
        <f t="shared" si="72"/>
        <v>0</v>
      </c>
      <c r="BU60" s="135" t="str">
        <f t="shared" si="73"/>
        <v/>
      </c>
      <c r="BV60" s="135" t="str">
        <f t="shared" si="74"/>
        <v/>
      </c>
      <c r="BW60" s="135" t="str">
        <f t="shared" si="45"/>
        <v/>
      </c>
      <c r="BX60" s="135" t="str">
        <f t="shared" si="46"/>
        <v/>
      </c>
      <c r="BY60" s="135" t="str">
        <f t="shared" si="75"/>
        <v/>
      </c>
      <c r="BZ60" s="135" t="str">
        <f t="shared" si="48"/>
        <v/>
      </c>
      <c r="CA60" s="135" t="str">
        <f t="shared" si="49"/>
        <v/>
      </c>
      <c r="CB60" s="135" t="str">
        <f t="shared" si="76"/>
        <v/>
      </c>
      <c r="CC60" s="135" t="str">
        <f t="shared" si="51"/>
        <v/>
      </c>
      <c r="CD60" s="135" t="str">
        <f t="shared" si="52"/>
        <v/>
      </c>
      <c r="CE60" s="135" t="str">
        <f t="shared" si="53"/>
        <v/>
      </c>
      <c r="CF60" s="135" t="str">
        <f t="shared" si="54"/>
        <v/>
      </c>
      <c r="CG60" s="135" t="str">
        <f t="shared" si="55"/>
        <v/>
      </c>
    </row>
    <row r="61" spans="1:85" s="38" customFormat="1" ht="13.5" customHeight="1">
      <c r="A61" s="19"/>
      <c r="B61" s="118">
        <f t="shared" si="57"/>
        <v>12</v>
      </c>
      <c r="C61" s="119" t="str">
        <f>IF('Chart Information'!D15="","",'Chart Information'!D15)</f>
        <v/>
      </c>
      <c r="D61" s="120" t="str">
        <f>IF('Chart Information'!E15="","",'Chart Information'!E15)</f>
        <v/>
      </c>
      <c r="E61" s="120" t="str">
        <f>IF('Chart Information'!M15="","",'Chart Information'!M15)</f>
        <v/>
      </c>
      <c r="F61" s="120" t="str">
        <f>IF('Chart Information'!P15="","",'Chart Information'!P15)</f>
        <v/>
      </c>
      <c r="G61" s="120" t="str">
        <f>IF('Chart Information'!F15="","",'Chart Information'!F15)</f>
        <v/>
      </c>
      <c r="H61" s="120" t="str">
        <f>IF('Chart Information'!O15="","",'Chart Information'!O15)</f>
        <v/>
      </c>
      <c r="I61" s="120" t="str">
        <f t="shared" si="8"/>
        <v/>
      </c>
      <c r="J61" s="120" t="str">
        <f t="shared" si="9"/>
        <v/>
      </c>
      <c r="K61" s="141"/>
      <c r="L61" s="142"/>
      <c r="M61" s="142"/>
      <c r="N61" s="146"/>
      <c r="O61" s="143"/>
      <c r="P61" s="142"/>
      <c r="Q61" s="142"/>
      <c r="R61" s="142"/>
      <c r="S61" s="142"/>
      <c r="T61" s="142"/>
      <c r="U61" s="142"/>
      <c r="V61" s="142"/>
      <c r="W61" s="142">
        <f t="shared" si="10"/>
        <v>2</v>
      </c>
      <c r="X61" s="143" t="e">
        <f t="shared" si="77"/>
        <v>#DIV/0!</v>
      </c>
      <c r="Y61" s="142"/>
      <c r="Z61" s="145"/>
      <c r="AA61" s="115" t="e">
        <f t="shared" si="11"/>
        <v>#VALUE!</v>
      </c>
      <c r="AB61" s="186">
        <f t="shared" si="12"/>
        <v>1</v>
      </c>
      <c r="AC61" s="43">
        <f t="shared" si="0"/>
        <v>44.1</v>
      </c>
      <c r="AD61" s="43">
        <f t="shared" si="1"/>
        <v>85.9</v>
      </c>
      <c r="AE61" s="15"/>
      <c r="AF61" s="17" t="s">
        <v>58</v>
      </c>
      <c r="AG61" s="47">
        <v>6.1777107348695779</v>
      </c>
      <c r="AH61" s="15"/>
      <c r="AI61" s="15"/>
      <c r="AJ61" s="15"/>
      <c r="AK61" s="15"/>
      <c r="AL61" s="15"/>
      <c r="AM61" s="15"/>
      <c r="AN61" s="15"/>
      <c r="AO61" s="15"/>
      <c r="AP61" s="133">
        <f t="shared" si="13"/>
        <v>0</v>
      </c>
      <c r="AQ61" s="135" t="str">
        <f t="shared" si="14"/>
        <v/>
      </c>
      <c r="AR61" s="135" t="str">
        <f t="shared" si="15"/>
        <v/>
      </c>
      <c r="AS61" s="135" t="str">
        <f t="shared" si="16"/>
        <v/>
      </c>
      <c r="AT61" s="135" t="str">
        <f t="shared" si="17"/>
        <v/>
      </c>
      <c r="AU61" s="135" t="str">
        <f t="shared" si="18"/>
        <v/>
      </c>
      <c r="AV61" s="135" t="str">
        <f t="shared" si="19"/>
        <v/>
      </c>
      <c r="AW61" s="135" t="str">
        <f t="shared" si="20"/>
        <v/>
      </c>
      <c r="AX61" s="135" t="str">
        <f t="shared" si="58"/>
        <v/>
      </c>
      <c r="AY61" s="135" t="str">
        <f t="shared" si="59"/>
        <v/>
      </c>
      <c r="AZ61" s="135" t="str">
        <f t="shared" si="79"/>
        <v/>
      </c>
      <c r="BA61" s="135" t="str">
        <f t="shared" si="24"/>
        <v/>
      </c>
      <c r="BB61" s="135" t="str">
        <f t="shared" si="25"/>
        <v/>
      </c>
      <c r="BC61" s="135" t="str">
        <f t="shared" si="80"/>
        <v/>
      </c>
      <c r="BD61" s="120" t="str">
        <f t="shared" si="27"/>
        <v/>
      </c>
      <c r="BE61" s="133">
        <f t="shared" si="60"/>
        <v>0</v>
      </c>
      <c r="BF61" s="135" t="str">
        <f t="shared" si="61"/>
        <v/>
      </c>
      <c r="BG61" s="135" t="str">
        <f t="shared" si="62"/>
        <v/>
      </c>
      <c r="BH61" s="135" t="str">
        <f t="shared" si="63"/>
        <v/>
      </c>
      <c r="BI61" s="135" t="str">
        <f t="shared" si="64"/>
        <v/>
      </c>
      <c r="BJ61" s="135" t="str">
        <f t="shared" si="65"/>
        <v/>
      </c>
      <c r="BK61" s="135" t="str">
        <f t="shared" si="66"/>
        <v/>
      </c>
      <c r="BL61" s="135" t="str">
        <f t="shared" si="67"/>
        <v/>
      </c>
      <c r="BM61" s="135" t="str">
        <f t="shared" si="68"/>
        <v/>
      </c>
      <c r="BN61" s="135" t="str">
        <f t="shared" si="69"/>
        <v/>
      </c>
      <c r="BO61" s="135" t="str">
        <f t="shared" si="78"/>
        <v/>
      </c>
      <c r="BP61" s="135" t="str">
        <f t="shared" si="70"/>
        <v/>
      </c>
      <c r="BQ61" s="135" t="str">
        <f t="shared" si="71"/>
        <v/>
      </c>
      <c r="BR61" s="135" t="str">
        <f t="shared" si="41"/>
        <v/>
      </c>
      <c r="BS61" s="120" t="str">
        <f t="shared" si="56"/>
        <v/>
      </c>
      <c r="BT61" s="133">
        <f t="shared" si="72"/>
        <v>0</v>
      </c>
      <c r="BU61" s="135" t="str">
        <f t="shared" si="73"/>
        <v/>
      </c>
      <c r="BV61" s="135" t="str">
        <f t="shared" si="74"/>
        <v/>
      </c>
      <c r="BW61" s="135" t="str">
        <f t="shared" si="45"/>
        <v/>
      </c>
      <c r="BX61" s="135" t="str">
        <f t="shared" si="46"/>
        <v/>
      </c>
      <c r="BY61" s="135" t="str">
        <f t="shared" si="75"/>
        <v/>
      </c>
      <c r="BZ61" s="135" t="str">
        <f t="shared" si="48"/>
        <v/>
      </c>
      <c r="CA61" s="135" t="str">
        <f t="shared" si="49"/>
        <v/>
      </c>
      <c r="CB61" s="135" t="str">
        <f t="shared" si="76"/>
        <v/>
      </c>
      <c r="CC61" s="135" t="str">
        <f t="shared" si="51"/>
        <v/>
      </c>
      <c r="CD61" s="135" t="str">
        <f t="shared" si="52"/>
        <v/>
      </c>
      <c r="CE61" s="135" t="str">
        <f t="shared" si="53"/>
        <v/>
      </c>
      <c r="CF61" s="135" t="str">
        <f t="shared" si="54"/>
        <v/>
      </c>
      <c r="CG61" s="135" t="str">
        <f t="shared" si="55"/>
        <v/>
      </c>
    </row>
    <row r="62" spans="1:85" s="38" customFormat="1" ht="13.5" customHeight="1">
      <c r="A62" s="19"/>
      <c r="B62" s="118">
        <f t="shared" si="57"/>
        <v>13</v>
      </c>
      <c r="C62" s="119" t="str">
        <f>IF('Chart Information'!D16="","",'Chart Information'!D16)</f>
        <v/>
      </c>
      <c r="D62" s="120" t="str">
        <f>IF('Chart Information'!E16="","",'Chart Information'!E16)</f>
        <v/>
      </c>
      <c r="E62" s="120" t="str">
        <f>IF('Chart Information'!M16="","",'Chart Information'!M16)</f>
        <v/>
      </c>
      <c r="F62" s="120" t="str">
        <f>IF('Chart Information'!P16="","",'Chart Information'!P16)</f>
        <v/>
      </c>
      <c r="G62" s="120" t="str">
        <f>IF('Chart Information'!F16="","",'Chart Information'!F16)</f>
        <v/>
      </c>
      <c r="H62" s="120" t="str">
        <f>IF('Chart Information'!O16="","",'Chart Information'!O16)</f>
        <v/>
      </c>
      <c r="I62" s="120" t="str">
        <f t="shared" si="8"/>
        <v/>
      </c>
      <c r="J62" s="120" t="str">
        <f t="shared" si="9"/>
        <v/>
      </c>
      <c r="K62" s="141"/>
      <c r="L62" s="142"/>
      <c r="M62" s="142"/>
      <c r="N62" s="146"/>
      <c r="O62" s="143"/>
      <c r="P62" s="142"/>
      <c r="Q62" s="142"/>
      <c r="R62" s="142"/>
      <c r="S62" s="142"/>
      <c r="T62" s="142"/>
      <c r="U62" s="142"/>
      <c r="V62" s="142"/>
      <c r="W62" s="142">
        <f t="shared" si="10"/>
        <v>2</v>
      </c>
      <c r="X62" s="143" t="e">
        <f t="shared" si="77"/>
        <v>#DIV/0!</v>
      </c>
      <c r="Y62" s="142"/>
      <c r="Z62" s="145"/>
      <c r="AA62" s="115" t="e">
        <f t="shared" si="11"/>
        <v>#VALUE!</v>
      </c>
      <c r="AB62" s="186">
        <f t="shared" si="12"/>
        <v>1</v>
      </c>
      <c r="AC62" s="43">
        <f t="shared" si="0"/>
        <v>44</v>
      </c>
      <c r="AD62" s="43">
        <f t="shared" si="1"/>
        <v>86</v>
      </c>
      <c r="AE62" s="15"/>
      <c r="AF62" s="17" t="s">
        <v>59</v>
      </c>
      <c r="AG62" s="47">
        <v>6.8641230387439762</v>
      </c>
      <c r="AH62" s="15"/>
      <c r="AI62" s="15"/>
      <c r="AJ62" s="15"/>
      <c r="AK62" s="15"/>
      <c r="AL62" s="15"/>
      <c r="AM62" s="15"/>
      <c r="AN62" s="15"/>
      <c r="AO62" s="15"/>
      <c r="AP62" s="133">
        <f t="shared" si="13"/>
        <v>0</v>
      </c>
      <c r="AQ62" s="135" t="str">
        <f t="shared" si="14"/>
        <v/>
      </c>
      <c r="AR62" s="135" t="str">
        <f t="shared" si="15"/>
        <v/>
      </c>
      <c r="AS62" s="135" t="str">
        <f t="shared" si="16"/>
        <v/>
      </c>
      <c r="AT62" s="135" t="str">
        <f t="shared" si="17"/>
        <v/>
      </c>
      <c r="AU62" s="135" t="str">
        <f t="shared" si="18"/>
        <v/>
      </c>
      <c r="AV62" s="135" t="str">
        <f t="shared" si="19"/>
        <v/>
      </c>
      <c r="AW62" s="135" t="str">
        <f t="shared" si="20"/>
        <v/>
      </c>
      <c r="AX62" s="135" t="str">
        <f t="shared" si="58"/>
        <v/>
      </c>
      <c r="AY62" s="135" t="str">
        <f t="shared" si="59"/>
        <v/>
      </c>
      <c r="AZ62" s="135" t="str">
        <f t="shared" si="79"/>
        <v/>
      </c>
      <c r="BA62" s="135" t="str">
        <f t="shared" si="24"/>
        <v/>
      </c>
      <c r="BB62" s="135" t="str">
        <f t="shared" si="25"/>
        <v/>
      </c>
      <c r="BC62" s="135" t="str">
        <f t="shared" si="80"/>
        <v/>
      </c>
      <c r="BD62" s="120" t="str">
        <f t="shared" si="27"/>
        <v/>
      </c>
      <c r="BE62" s="133">
        <f t="shared" si="60"/>
        <v>0</v>
      </c>
      <c r="BF62" s="135" t="str">
        <f t="shared" si="61"/>
        <v/>
      </c>
      <c r="BG62" s="135" t="str">
        <f t="shared" si="62"/>
        <v/>
      </c>
      <c r="BH62" s="135" t="str">
        <f t="shared" si="63"/>
        <v/>
      </c>
      <c r="BI62" s="135" t="str">
        <f t="shared" si="64"/>
        <v/>
      </c>
      <c r="BJ62" s="135" t="str">
        <f t="shared" si="65"/>
        <v/>
      </c>
      <c r="BK62" s="135" t="str">
        <f t="shared" si="66"/>
        <v/>
      </c>
      <c r="BL62" s="135" t="str">
        <f t="shared" si="67"/>
        <v/>
      </c>
      <c r="BM62" s="135" t="str">
        <f t="shared" si="68"/>
        <v/>
      </c>
      <c r="BN62" s="135" t="str">
        <f t="shared" si="69"/>
        <v/>
      </c>
      <c r="BO62" s="135" t="str">
        <f t="shared" si="78"/>
        <v/>
      </c>
      <c r="BP62" s="135" t="str">
        <f t="shared" si="70"/>
        <v/>
      </c>
      <c r="BQ62" s="135" t="str">
        <f t="shared" si="71"/>
        <v/>
      </c>
      <c r="BR62" s="135" t="str">
        <f t="shared" si="41"/>
        <v/>
      </c>
      <c r="BS62" s="120" t="str">
        <f t="shared" si="56"/>
        <v/>
      </c>
      <c r="BT62" s="133">
        <f t="shared" si="72"/>
        <v>0</v>
      </c>
      <c r="BU62" s="135" t="str">
        <f t="shared" si="73"/>
        <v/>
      </c>
      <c r="BV62" s="135" t="str">
        <f t="shared" si="74"/>
        <v/>
      </c>
      <c r="BW62" s="135" t="str">
        <f t="shared" si="45"/>
        <v/>
      </c>
      <c r="BX62" s="135" t="str">
        <f t="shared" si="46"/>
        <v/>
      </c>
      <c r="BY62" s="135" t="str">
        <f t="shared" si="75"/>
        <v/>
      </c>
      <c r="BZ62" s="135" t="str">
        <f t="shared" si="48"/>
        <v/>
      </c>
      <c r="CA62" s="135" t="str">
        <f t="shared" si="49"/>
        <v/>
      </c>
      <c r="CB62" s="135" t="str">
        <f t="shared" si="76"/>
        <v/>
      </c>
      <c r="CC62" s="135" t="str">
        <f t="shared" si="51"/>
        <v/>
      </c>
      <c r="CD62" s="135" t="str">
        <f t="shared" si="52"/>
        <v/>
      </c>
      <c r="CE62" s="135" t="str">
        <f t="shared" si="53"/>
        <v/>
      </c>
      <c r="CF62" s="135" t="str">
        <f t="shared" si="54"/>
        <v/>
      </c>
      <c r="CG62" s="135" t="str">
        <f t="shared" si="55"/>
        <v/>
      </c>
    </row>
    <row r="63" spans="1:85" s="38" customFormat="1" ht="13.5" customHeight="1">
      <c r="A63" s="19"/>
      <c r="B63" s="118">
        <f t="shared" si="57"/>
        <v>14</v>
      </c>
      <c r="C63" s="119" t="str">
        <f>IF('Chart Information'!D17="","",'Chart Information'!D17)</f>
        <v/>
      </c>
      <c r="D63" s="120" t="str">
        <f>IF('Chart Information'!E17="","",'Chart Information'!E17)</f>
        <v/>
      </c>
      <c r="E63" s="120" t="str">
        <f>IF('Chart Information'!M17="","",'Chart Information'!M17)</f>
        <v/>
      </c>
      <c r="F63" s="120" t="str">
        <f>IF('Chart Information'!P17="","",'Chart Information'!P17)</f>
        <v/>
      </c>
      <c r="G63" s="120" t="str">
        <f>IF('Chart Information'!F17="","",'Chart Information'!F17)</f>
        <v/>
      </c>
      <c r="H63" s="120" t="str">
        <f>IF('Chart Information'!O17="","",'Chart Information'!O17)</f>
        <v/>
      </c>
      <c r="I63" s="120" t="str">
        <f t="shared" si="8"/>
        <v/>
      </c>
      <c r="J63" s="120" t="str">
        <f t="shared" si="9"/>
        <v/>
      </c>
      <c r="K63" s="141"/>
      <c r="L63" s="142"/>
      <c r="M63" s="142"/>
      <c r="N63" s="146"/>
      <c r="O63" s="143"/>
      <c r="P63" s="142"/>
      <c r="Q63" s="142"/>
      <c r="R63" s="142"/>
      <c r="S63" s="142"/>
      <c r="T63" s="142"/>
      <c r="U63" s="142"/>
      <c r="V63" s="142"/>
      <c r="W63" s="142">
        <f t="shared" si="10"/>
        <v>2</v>
      </c>
      <c r="X63" s="143" t="e">
        <f t="shared" si="77"/>
        <v>#DIV/0!</v>
      </c>
      <c r="Y63" s="142"/>
      <c r="Z63" s="145"/>
      <c r="AA63" s="115" t="e">
        <f t="shared" si="11"/>
        <v>#VALUE!</v>
      </c>
      <c r="AB63" s="186">
        <f t="shared" si="12"/>
        <v>1</v>
      </c>
      <c r="AC63" s="43">
        <f t="shared" si="0"/>
        <v>43.9</v>
      </c>
      <c r="AD63" s="43">
        <f t="shared" si="1"/>
        <v>86.1</v>
      </c>
      <c r="AE63" s="15"/>
      <c r="AF63" s="17" t="s">
        <v>60</v>
      </c>
      <c r="AG63" s="47">
        <v>7.5505353426183737</v>
      </c>
      <c r="AH63" s="15"/>
      <c r="AI63" s="15"/>
      <c r="AJ63" s="15"/>
      <c r="AK63" s="15"/>
      <c r="AL63" s="15"/>
      <c r="AM63" s="15"/>
      <c r="AN63" s="15"/>
      <c r="AO63" s="15"/>
      <c r="AP63" s="133">
        <f t="shared" si="13"/>
        <v>0</v>
      </c>
      <c r="AQ63" s="135" t="str">
        <f t="shared" si="14"/>
        <v/>
      </c>
      <c r="AR63" s="135" t="str">
        <f t="shared" si="15"/>
        <v/>
      </c>
      <c r="AS63" s="135" t="str">
        <f t="shared" si="16"/>
        <v/>
      </c>
      <c r="AT63" s="135" t="str">
        <f t="shared" si="17"/>
        <v/>
      </c>
      <c r="AU63" s="135" t="str">
        <f t="shared" si="18"/>
        <v/>
      </c>
      <c r="AV63" s="135" t="str">
        <f t="shared" si="19"/>
        <v/>
      </c>
      <c r="AW63" s="135" t="str">
        <f t="shared" si="20"/>
        <v/>
      </c>
      <c r="AX63" s="135" t="str">
        <f t="shared" si="58"/>
        <v/>
      </c>
      <c r="AY63" s="135" t="str">
        <f t="shared" si="59"/>
        <v/>
      </c>
      <c r="AZ63" s="135" t="str">
        <f t="shared" si="79"/>
        <v/>
      </c>
      <c r="BA63" s="135" t="str">
        <f t="shared" si="24"/>
        <v/>
      </c>
      <c r="BB63" s="135" t="str">
        <f t="shared" si="25"/>
        <v/>
      </c>
      <c r="BC63" s="135" t="str">
        <f t="shared" si="80"/>
        <v/>
      </c>
      <c r="BD63" s="120" t="str">
        <f t="shared" si="27"/>
        <v/>
      </c>
      <c r="BE63" s="133">
        <f t="shared" si="60"/>
        <v>0</v>
      </c>
      <c r="BF63" s="135" t="str">
        <f t="shared" si="61"/>
        <v/>
      </c>
      <c r="BG63" s="135" t="str">
        <f t="shared" si="62"/>
        <v/>
      </c>
      <c r="BH63" s="135" t="str">
        <f t="shared" si="63"/>
        <v/>
      </c>
      <c r="BI63" s="135" t="str">
        <f t="shared" si="64"/>
        <v/>
      </c>
      <c r="BJ63" s="135" t="str">
        <f t="shared" si="65"/>
        <v/>
      </c>
      <c r="BK63" s="135" t="str">
        <f t="shared" si="66"/>
        <v/>
      </c>
      <c r="BL63" s="135" t="str">
        <f t="shared" si="67"/>
        <v/>
      </c>
      <c r="BM63" s="135" t="str">
        <f t="shared" si="68"/>
        <v/>
      </c>
      <c r="BN63" s="135" t="str">
        <f t="shared" si="69"/>
        <v/>
      </c>
      <c r="BO63" s="135" t="str">
        <f t="shared" si="78"/>
        <v/>
      </c>
      <c r="BP63" s="135" t="str">
        <f t="shared" si="70"/>
        <v/>
      </c>
      <c r="BQ63" s="135" t="str">
        <f t="shared" si="71"/>
        <v/>
      </c>
      <c r="BR63" s="135" t="str">
        <f t="shared" si="41"/>
        <v/>
      </c>
      <c r="BS63" s="120" t="str">
        <f t="shared" si="56"/>
        <v/>
      </c>
      <c r="BT63" s="133">
        <f t="shared" si="72"/>
        <v>0</v>
      </c>
      <c r="BU63" s="135" t="str">
        <f t="shared" si="73"/>
        <v/>
      </c>
      <c r="BV63" s="135" t="str">
        <f t="shared" si="74"/>
        <v/>
      </c>
      <c r="BW63" s="135" t="str">
        <f t="shared" si="45"/>
        <v/>
      </c>
      <c r="BX63" s="135" t="str">
        <f t="shared" si="46"/>
        <v/>
      </c>
      <c r="BY63" s="135" t="str">
        <f t="shared" si="75"/>
        <v/>
      </c>
      <c r="BZ63" s="135" t="str">
        <f t="shared" si="48"/>
        <v/>
      </c>
      <c r="CA63" s="135" t="str">
        <f t="shared" si="49"/>
        <v/>
      </c>
      <c r="CB63" s="135" t="str">
        <f t="shared" si="76"/>
        <v/>
      </c>
      <c r="CC63" s="135" t="str">
        <f t="shared" si="51"/>
        <v/>
      </c>
      <c r="CD63" s="135" t="str">
        <f t="shared" si="52"/>
        <v/>
      </c>
      <c r="CE63" s="135" t="str">
        <f t="shared" si="53"/>
        <v/>
      </c>
      <c r="CF63" s="135" t="str">
        <f t="shared" si="54"/>
        <v/>
      </c>
      <c r="CG63" s="135" t="str">
        <f t="shared" si="55"/>
        <v/>
      </c>
    </row>
    <row r="64" spans="1:85" s="38" customFormat="1" ht="13.5" customHeight="1">
      <c r="A64" s="19"/>
      <c r="B64" s="118">
        <f t="shared" si="57"/>
        <v>15</v>
      </c>
      <c r="C64" s="119" t="str">
        <f>IF('Chart Information'!D18="","",'Chart Information'!D18)</f>
        <v/>
      </c>
      <c r="D64" s="120" t="str">
        <f>IF('Chart Information'!E18="","",'Chart Information'!E18)</f>
        <v/>
      </c>
      <c r="E64" s="120" t="str">
        <f>IF('Chart Information'!M18="","",'Chart Information'!M18)</f>
        <v/>
      </c>
      <c r="F64" s="120" t="str">
        <f>IF('Chart Information'!P18="","",'Chart Information'!P18)</f>
        <v/>
      </c>
      <c r="G64" s="120" t="str">
        <f>IF('Chart Information'!F18="","",'Chart Information'!F18)</f>
        <v/>
      </c>
      <c r="H64" s="120" t="str">
        <f>IF('Chart Information'!O18="","",'Chart Information'!O18)</f>
        <v/>
      </c>
      <c r="I64" s="120" t="str">
        <f t="shared" si="8"/>
        <v/>
      </c>
      <c r="J64" s="120" t="str">
        <f t="shared" si="9"/>
        <v/>
      </c>
      <c r="K64" s="141"/>
      <c r="L64" s="142"/>
      <c r="M64" s="142"/>
      <c r="N64" s="146"/>
      <c r="O64" s="143"/>
      <c r="P64" s="142"/>
      <c r="Q64" s="142"/>
      <c r="R64" s="142"/>
      <c r="S64" s="142"/>
      <c r="T64" s="142"/>
      <c r="U64" s="142"/>
      <c r="V64" s="142"/>
      <c r="W64" s="142">
        <f t="shared" si="10"/>
        <v>2</v>
      </c>
      <c r="X64" s="143" t="e">
        <f t="shared" si="77"/>
        <v>#DIV/0!</v>
      </c>
      <c r="Y64" s="142"/>
      <c r="Z64" s="145"/>
      <c r="AA64" s="115" t="e">
        <f t="shared" si="11"/>
        <v>#VALUE!</v>
      </c>
      <c r="AB64" s="186">
        <f t="shared" si="12"/>
        <v>1</v>
      </c>
      <c r="AC64" s="43">
        <f t="shared" si="0"/>
        <v>43.8</v>
      </c>
      <c r="AD64" s="43">
        <f t="shared" si="1"/>
        <v>86.2</v>
      </c>
      <c r="AE64" s="15"/>
      <c r="AF64" s="17" t="s">
        <v>61</v>
      </c>
      <c r="AG64" s="47">
        <v>8.2369476464927711</v>
      </c>
      <c r="AH64" s="15"/>
      <c r="AI64" s="15"/>
      <c r="AJ64" s="15"/>
      <c r="AK64" s="15"/>
      <c r="AL64" s="15"/>
      <c r="AM64" s="15"/>
      <c r="AN64" s="15"/>
      <c r="AO64" s="15"/>
      <c r="AP64" s="133">
        <f t="shared" si="13"/>
        <v>0</v>
      </c>
      <c r="AQ64" s="135" t="str">
        <f t="shared" si="14"/>
        <v/>
      </c>
      <c r="AR64" s="135" t="str">
        <f t="shared" si="15"/>
        <v/>
      </c>
      <c r="AS64" s="135" t="str">
        <f t="shared" si="16"/>
        <v/>
      </c>
      <c r="AT64" s="135" t="str">
        <f t="shared" si="17"/>
        <v/>
      </c>
      <c r="AU64" s="135" t="str">
        <f t="shared" si="18"/>
        <v/>
      </c>
      <c r="AV64" s="135" t="str">
        <f t="shared" si="19"/>
        <v/>
      </c>
      <c r="AW64" s="135" t="str">
        <f t="shared" si="20"/>
        <v/>
      </c>
      <c r="AX64" s="135" t="str">
        <f t="shared" si="58"/>
        <v/>
      </c>
      <c r="AY64" s="135" t="str">
        <f t="shared" si="59"/>
        <v/>
      </c>
      <c r="AZ64" s="135" t="str">
        <f t="shared" si="79"/>
        <v/>
      </c>
      <c r="BA64" s="135" t="str">
        <f t="shared" si="24"/>
        <v/>
      </c>
      <c r="BB64" s="135" t="str">
        <f t="shared" si="25"/>
        <v/>
      </c>
      <c r="BC64" s="135" t="str">
        <f t="shared" si="80"/>
        <v/>
      </c>
      <c r="BD64" s="120" t="str">
        <f t="shared" si="27"/>
        <v/>
      </c>
      <c r="BE64" s="133">
        <f t="shared" si="60"/>
        <v>0</v>
      </c>
      <c r="BF64" s="135" t="str">
        <f t="shared" si="61"/>
        <v/>
      </c>
      <c r="BG64" s="135" t="str">
        <f t="shared" si="62"/>
        <v/>
      </c>
      <c r="BH64" s="135" t="str">
        <f t="shared" si="63"/>
        <v/>
      </c>
      <c r="BI64" s="135" t="str">
        <f t="shared" si="64"/>
        <v/>
      </c>
      <c r="BJ64" s="135" t="str">
        <f t="shared" si="65"/>
        <v/>
      </c>
      <c r="BK64" s="135" t="str">
        <f t="shared" si="66"/>
        <v/>
      </c>
      <c r="BL64" s="135" t="str">
        <f t="shared" si="67"/>
        <v/>
      </c>
      <c r="BM64" s="135" t="str">
        <f t="shared" si="68"/>
        <v/>
      </c>
      <c r="BN64" s="135" t="str">
        <f t="shared" si="69"/>
        <v/>
      </c>
      <c r="BO64" s="135" t="str">
        <f t="shared" si="78"/>
        <v/>
      </c>
      <c r="BP64" s="135" t="str">
        <f t="shared" si="70"/>
        <v/>
      </c>
      <c r="BQ64" s="135" t="str">
        <f t="shared" si="71"/>
        <v/>
      </c>
      <c r="BR64" s="135" t="str">
        <f t="shared" si="41"/>
        <v/>
      </c>
      <c r="BS64" s="120" t="str">
        <f t="shared" si="56"/>
        <v/>
      </c>
      <c r="BT64" s="133">
        <f t="shared" si="72"/>
        <v>0</v>
      </c>
      <c r="BU64" s="135" t="str">
        <f t="shared" si="73"/>
        <v/>
      </c>
      <c r="BV64" s="135" t="str">
        <f t="shared" si="74"/>
        <v/>
      </c>
      <c r="BW64" s="135" t="str">
        <f t="shared" si="45"/>
        <v/>
      </c>
      <c r="BX64" s="135" t="str">
        <f t="shared" si="46"/>
        <v/>
      </c>
      <c r="BY64" s="135" t="str">
        <f t="shared" si="75"/>
        <v/>
      </c>
      <c r="BZ64" s="135" t="str">
        <f t="shared" si="48"/>
        <v/>
      </c>
      <c r="CA64" s="135" t="str">
        <f t="shared" si="49"/>
        <v/>
      </c>
      <c r="CB64" s="135" t="str">
        <f t="shared" si="76"/>
        <v/>
      </c>
      <c r="CC64" s="135" t="str">
        <f t="shared" si="51"/>
        <v/>
      </c>
      <c r="CD64" s="135" t="str">
        <f t="shared" si="52"/>
        <v/>
      </c>
      <c r="CE64" s="135" t="str">
        <f t="shared" si="53"/>
        <v/>
      </c>
      <c r="CF64" s="135" t="str">
        <f t="shared" si="54"/>
        <v/>
      </c>
      <c r="CG64" s="135" t="str">
        <f t="shared" si="55"/>
        <v/>
      </c>
    </row>
    <row r="65" spans="1:85" s="38" customFormat="1" ht="13.5" customHeight="1">
      <c r="A65" s="19"/>
      <c r="B65" s="118">
        <f t="shared" si="57"/>
        <v>16</v>
      </c>
      <c r="C65" s="119" t="str">
        <f>IF('Chart Information'!D19="","",'Chart Information'!D19)</f>
        <v/>
      </c>
      <c r="D65" s="120" t="str">
        <f>IF('Chart Information'!E19="","",'Chart Information'!E19)</f>
        <v/>
      </c>
      <c r="E65" s="120" t="str">
        <f>IF('Chart Information'!M19="","",'Chart Information'!M19)</f>
        <v/>
      </c>
      <c r="F65" s="120" t="str">
        <f>IF('Chart Information'!P19="","",'Chart Information'!P19)</f>
        <v/>
      </c>
      <c r="G65" s="120" t="str">
        <f>IF('Chart Information'!F19="","",'Chart Information'!F19)</f>
        <v/>
      </c>
      <c r="H65" s="120" t="str">
        <f>IF('Chart Information'!O19="","",'Chart Information'!O19)</f>
        <v/>
      </c>
      <c r="I65" s="120" t="str">
        <f t="shared" si="8"/>
        <v/>
      </c>
      <c r="J65" s="120" t="str">
        <f t="shared" si="9"/>
        <v/>
      </c>
      <c r="K65" s="141"/>
      <c r="L65" s="142"/>
      <c r="M65" s="142"/>
      <c r="N65" s="146"/>
      <c r="O65" s="143"/>
      <c r="P65" s="142"/>
      <c r="Q65" s="142"/>
      <c r="R65" s="142"/>
      <c r="S65" s="142"/>
      <c r="T65" s="142"/>
      <c r="U65" s="142"/>
      <c r="V65" s="142"/>
      <c r="W65" s="142">
        <f t="shared" si="10"/>
        <v>2</v>
      </c>
      <c r="X65" s="143" t="e">
        <f t="shared" si="77"/>
        <v>#DIV/0!</v>
      </c>
      <c r="Y65" s="142"/>
      <c r="Z65" s="145"/>
      <c r="AA65" s="115" t="e">
        <f t="shared" si="11"/>
        <v>#VALUE!</v>
      </c>
      <c r="AB65" s="186">
        <f t="shared" si="12"/>
        <v>1</v>
      </c>
      <c r="AC65" s="43">
        <f t="shared" si="0"/>
        <v>43.7</v>
      </c>
      <c r="AD65" s="43">
        <f t="shared" si="1"/>
        <v>86.3</v>
      </c>
      <c r="AE65" s="15"/>
      <c r="AF65" s="17" t="s">
        <v>62</v>
      </c>
      <c r="AG65" s="47">
        <v>8.9233599503671694</v>
      </c>
      <c r="AH65" s="15"/>
      <c r="AI65" s="15"/>
      <c r="AJ65" s="15"/>
      <c r="AK65" s="15"/>
      <c r="AL65" s="15"/>
      <c r="AM65" s="15"/>
      <c r="AN65" s="15"/>
      <c r="AO65" s="15"/>
      <c r="AP65" s="133">
        <f t="shared" si="13"/>
        <v>0</v>
      </c>
      <c r="AQ65" s="135" t="str">
        <f t="shared" si="14"/>
        <v/>
      </c>
      <c r="AR65" s="135" t="str">
        <f t="shared" si="15"/>
        <v/>
      </c>
      <c r="AS65" s="135" t="str">
        <f t="shared" si="16"/>
        <v/>
      </c>
      <c r="AT65" s="135" t="str">
        <f t="shared" si="17"/>
        <v/>
      </c>
      <c r="AU65" s="135" t="str">
        <f t="shared" si="18"/>
        <v/>
      </c>
      <c r="AV65" s="135" t="str">
        <f t="shared" si="19"/>
        <v/>
      </c>
      <c r="AW65" s="135" t="str">
        <f t="shared" si="20"/>
        <v/>
      </c>
      <c r="AX65" s="135" t="str">
        <f t="shared" si="58"/>
        <v/>
      </c>
      <c r="AY65" s="135" t="str">
        <f t="shared" si="59"/>
        <v/>
      </c>
      <c r="AZ65" s="135" t="str">
        <f t="shared" si="79"/>
        <v/>
      </c>
      <c r="BA65" s="135" t="str">
        <f t="shared" si="24"/>
        <v/>
      </c>
      <c r="BB65" s="135" t="str">
        <f t="shared" si="25"/>
        <v/>
      </c>
      <c r="BC65" s="135" t="str">
        <f t="shared" si="80"/>
        <v/>
      </c>
      <c r="BD65" s="120" t="str">
        <f t="shared" si="27"/>
        <v/>
      </c>
      <c r="BE65" s="133">
        <f t="shared" si="60"/>
        <v>0</v>
      </c>
      <c r="BF65" s="135" t="str">
        <f t="shared" si="61"/>
        <v/>
      </c>
      <c r="BG65" s="135" t="str">
        <f t="shared" si="62"/>
        <v/>
      </c>
      <c r="BH65" s="135" t="str">
        <f t="shared" si="63"/>
        <v/>
      </c>
      <c r="BI65" s="135" t="str">
        <f t="shared" si="64"/>
        <v/>
      </c>
      <c r="BJ65" s="135" t="str">
        <f t="shared" si="65"/>
        <v/>
      </c>
      <c r="BK65" s="135" t="str">
        <f t="shared" si="66"/>
        <v/>
      </c>
      <c r="BL65" s="135" t="str">
        <f t="shared" si="67"/>
        <v/>
      </c>
      <c r="BM65" s="135" t="str">
        <f t="shared" si="68"/>
        <v/>
      </c>
      <c r="BN65" s="135" t="str">
        <f t="shared" si="69"/>
        <v/>
      </c>
      <c r="BO65" s="135" t="str">
        <f t="shared" si="78"/>
        <v/>
      </c>
      <c r="BP65" s="135" t="str">
        <f t="shared" si="70"/>
        <v/>
      </c>
      <c r="BQ65" s="135" t="str">
        <f t="shared" si="71"/>
        <v/>
      </c>
      <c r="BR65" s="135" t="str">
        <f t="shared" si="41"/>
        <v/>
      </c>
      <c r="BS65" s="120" t="str">
        <f t="shared" si="56"/>
        <v/>
      </c>
      <c r="BT65" s="133">
        <f t="shared" si="72"/>
        <v>0</v>
      </c>
      <c r="BU65" s="135" t="str">
        <f t="shared" si="73"/>
        <v/>
      </c>
      <c r="BV65" s="135" t="str">
        <f t="shared" si="74"/>
        <v/>
      </c>
      <c r="BW65" s="135" t="str">
        <f t="shared" si="45"/>
        <v/>
      </c>
      <c r="BX65" s="135" t="str">
        <f t="shared" si="46"/>
        <v/>
      </c>
      <c r="BY65" s="135" t="str">
        <f t="shared" si="75"/>
        <v/>
      </c>
      <c r="BZ65" s="135" t="str">
        <f t="shared" si="48"/>
        <v/>
      </c>
      <c r="CA65" s="135" t="str">
        <f t="shared" si="49"/>
        <v/>
      </c>
      <c r="CB65" s="135" t="str">
        <f t="shared" si="76"/>
        <v/>
      </c>
      <c r="CC65" s="135" t="str">
        <f t="shared" si="51"/>
        <v/>
      </c>
      <c r="CD65" s="135" t="str">
        <f t="shared" si="52"/>
        <v/>
      </c>
      <c r="CE65" s="135" t="str">
        <f t="shared" si="53"/>
        <v/>
      </c>
      <c r="CF65" s="135" t="str">
        <f t="shared" si="54"/>
        <v/>
      </c>
      <c r="CG65" s="135" t="str">
        <f t="shared" si="55"/>
        <v/>
      </c>
    </row>
    <row r="66" spans="1:85" s="38" customFormat="1" ht="13.5" customHeight="1">
      <c r="A66" s="19"/>
      <c r="B66" s="118">
        <f t="shared" si="57"/>
        <v>17</v>
      </c>
      <c r="C66" s="119" t="str">
        <f>IF('Chart Information'!D20="","",'Chart Information'!D20)</f>
        <v/>
      </c>
      <c r="D66" s="120" t="str">
        <f>IF('Chart Information'!E20="","",'Chart Information'!E20)</f>
        <v/>
      </c>
      <c r="E66" s="120" t="str">
        <f>IF('Chart Information'!M20="","",'Chart Information'!M20)</f>
        <v/>
      </c>
      <c r="F66" s="120" t="str">
        <f>IF('Chart Information'!P20="","",'Chart Information'!P20)</f>
        <v/>
      </c>
      <c r="G66" s="120" t="str">
        <f>IF('Chart Information'!F20="","",'Chart Information'!F20)</f>
        <v/>
      </c>
      <c r="H66" s="120" t="str">
        <f>IF('Chart Information'!O20="","",'Chart Information'!O20)</f>
        <v/>
      </c>
      <c r="I66" s="120" t="str">
        <f t="shared" si="8"/>
        <v/>
      </c>
      <c r="J66" s="120" t="str">
        <f t="shared" si="9"/>
        <v/>
      </c>
      <c r="K66" s="141"/>
      <c r="L66" s="142"/>
      <c r="M66" s="142"/>
      <c r="N66" s="146"/>
      <c r="O66" s="143"/>
      <c r="P66" s="142"/>
      <c r="Q66" s="142"/>
      <c r="R66" s="142"/>
      <c r="S66" s="142"/>
      <c r="T66" s="142"/>
      <c r="U66" s="142"/>
      <c r="V66" s="142"/>
      <c r="W66" s="142">
        <f t="shared" si="10"/>
        <v>2</v>
      </c>
      <c r="X66" s="143" t="e">
        <f t="shared" si="77"/>
        <v>#DIV/0!</v>
      </c>
      <c r="Y66" s="142"/>
      <c r="Z66" s="145"/>
      <c r="AA66" s="115" t="e">
        <f t="shared" si="11"/>
        <v>#VALUE!</v>
      </c>
      <c r="AB66" s="186">
        <f t="shared" si="12"/>
        <v>1</v>
      </c>
      <c r="AC66" s="43">
        <f t="shared" si="0"/>
        <v>43.6</v>
      </c>
      <c r="AD66" s="43">
        <f t="shared" si="1"/>
        <v>86.4</v>
      </c>
      <c r="AE66" s="15"/>
      <c r="AF66" s="17" t="s">
        <v>63</v>
      </c>
      <c r="AG66" s="47">
        <v>9.6097722542415642</v>
      </c>
      <c r="AH66" s="15"/>
      <c r="AI66" s="15"/>
      <c r="AJ66" s="15"/>
      <c r="AK66" s="15"/>
      <c r="AL66" s="15"/>
      <c r="AM66" s="15"/>
      <c r="AN66" s="15"/>
      <c r="AO66" s="15"/>
      <c r="AP66" s="133">
        <f t="shared" si="13"/>
        <v>0</v>
      </c>
      <c r="AQ66" s="135" t="str">
        <f t="shared" si="14"/>
        <v/>
      </c>
      <c r="AR66" s="135" t="str">
        <f t="shared" si="15"/>
        <v/>
      </c>
      <c r="AS66" s="135" t="str">
        <f t="shared" si="16"/>
        <v/>
      </c>
      <c r="AT66" s="135" t="str">
        <f t="shared" si="17"/>
        <v/>
      </c>
      <c r="AU66" s="135" t="str">
        <f t="shared" si="18"/>
        <v/>
      </c>
      <c r="AV66" s="135" t="str">
        <f t="shared" si="19"/>
        <v/>
      </c>
      <c r="AW66" s="135" t="str">
        <f t="shared" si="20"/>
        <v/>
      </c>
      <c r="AX66" s="135" t="str">
        <f t="shared" si="58"/>
        <v/>
      </c>
      <c r="AY66" s="135" t="str">
        <f t="shared" si="59"/>
        <v/>
      </c>
      <c r="AZ66" s="135" t="str">
        <f t="shared" si="79"/>
        <v/>
      </c>
      <c r="BA66" s="135" t="str">
        <f t="shared" si="24"/>
        <v/>
      </c>
      <c r="BB66" s="135" t="str">
        <f t="shared" si="25"/>
        <v/>
      </c>
      <c r="BC66" s="135" t="str">
        <f t="shared" si="80"/>
        <v/>
      </c>
      <c r="BD66" s="120" t="str">
        <f t="shared" si="27"/>
        <v/>
      </c>
      <c r="BE66" s="133">
        <f t="shared" si="60"/>
        <v>0</v>
      </c>
      <c r="BF66" s="135" t="str">
        <f t="shared" si="61"/>
        <v/>
      </c>
      <c r="BG66" s="135" t="str">
        <f t="shared" si="62"/>
        <v/>
      </c>
      <c r="BH66" s="135" t="str">
        <f t="shared" si="63"/>
        <v/>
      </c>
      <c r="BI66" s="135" t="str">
        <f t="shared" si="64"/>
        <v/>
      </c>
      <c r="BJ66" s="135" t="str">
        <f t="shared" si="65"/>
        <v/>
      </c>
      <c r="BK66" s="135" t="str">
        <f t="shared" si="66"/>
        <v/>
      </c>
      <c r="BL66" s="135" t="str">
        <f t="shared" si="67"/>
        <v/>
      </c>
      <c r="BM66" s="135" t="str">
        <f t="shared" si="68"/>
        <v/>
      </c>
      <c r="BN66" s="135" t="str">
        <f t="shared" si="69"/>
        <v/>
      </c>
      <c r="BO66" s="135" t="str">
        <f t="shared" si="78"/>
        <v/>
      </c>
      <c r="BP66" s="135" t="str">
        <f t="shared" si="70"/>
        <v/>
      </c>
      <c r="BQ66" s="135" t="str">
        <f t="shared" si="71"/>
        <v/>
      </c>
      <c r="BR66" s="135" t="str">
        <f t="shared" si="41"/>
        <v/>
      </c>
      <c r="BS66" s="120" t="str">
        <f t="shared" si="56"/>
        <v/>
      </c>
      <c r="BT66" s="133">
        <f t="shared" si="72"/>
        <v>0</v>
      </c>
      <c r="BU66" s="135" t="str">
        <f t="shared" si="73"/>
        <v/>
      </c>
      <c r="BV66" s="135" t="str">
        <f t="shared" si="74"/>
        <v/>
      </c>
      <c r="BW66" s="135" t="str">
        <f t="shared" si="45"/>
        <v/>
      </c>
      <c r="BX66" s="135" t="str">
        <f t="shared" si="46"/>
        <v/>
      </c>
      <c r="BY66" s="135" t="str">
        <f t="shared" si="75"/>
        <v/>
      </c>
      <c r="BZ66" s="135" t="str">
        <f t="shared" si="48"/>
        <v/>
      </c>
      <c r="CA66" s="135" t="str">
        <f t="shared" si="49"/>
        <v/>
      </c>
      <c r="CB66" s="135" t="str">
        <f t="shared" si="76"/>
        <v/>
      </c>
      <c r="CC66" s="135" t="str">
        <f t="shared" si="51"/>
        <v/>
      </c>
      <c r="CD66" s="135" t="str">
        <f t="shared" si="52"/>
        <v/>
      </c>
      <c r="CE66" s="135" t="str">
        <f t="shared" si="53"/>
        <v/>
      </c>
      <c r="CF66" s="135" t="str">
        <f t="shared" si="54"/>
        <v/>
      </c>
      <c r="CG66" s="135" t="str">
        <f t="shared" si="55"/>
        <v/>
      </c>
    </row>
    <row r="67" spans="1:85" s="38" customFormat="1" ht="13.5" customHeight="1">
      <c r="A67" s="19"/>
      <c r="B67" s="118">
        <f t="shared" si="57"/>
        <v>18</v>
      </c>
      <c r="C67" s="119" t="str">
        <f>IF('Chart Information'!D21="","",'Chart Information'!D21)</f>
        <v/>
      </c>
      <c r="D67" s="120" t="str">
        <f>IF('Chart Information'!E21="","",'Chart Information'!E21)</f>
        <v/>
      </c>
      <c r="E67" s="120" t="str">
        <f>IF('Chart Information'!M21="","",'Chart Information'!M21)</f>
        <v/>
      </c>
      <c r="F67" s="120" t="str">
        <f>IF('Chart Information'!P21="","",'Chart Information'!P21)</f>
        <v/>
      </c>
      <c r="G67" s="120" t="str">
        <f>IF('Chart Information'!F21="","",'Chart Information'!F21)</f>
        <v/>
      </c>
      <c r="H67" s="120" t="str">
        <f>IF('Chart Information'!O21="","",'Chart Information'!O21)</f>
        <v/>
      </c>
      <c r="I67" s="120" t="str">
        <f t="shared" si="8"/>
        <v/>
      </c>
      <c r="J67" s="120" t="str">
        <f t="shared" si="9"/>
        <v/>
      </c>
      <c r="K67" s="141"/>
      <c r="L67" s="142"/>
      <c r="M67" s="142"/>
      <c r="N67" s="146"/>
      <c r="O67" s="143"/>
      <c r="P67" s="142"/>
      <c r="Q67" s="142"/>
      <c r="R67" s="142"/>
      <c r="S67" s="142"/>
      <c r="T67" s="142"/>
      <c r="U67" s="142"/>
      <c r="V67" s="142"/>
      <c r="W67" s="142">
        <f t="shared" si="10"/>
        <v>2</v>
      </c>
      <c r="X67" s="143" t="e">
        <f t="shared" si="77"/>
        <v>#DIV/0!</v>
      </c>
      <c r="Y67" s="142"/>
      <c r="Z67" s="145"/>
      <c r="AA67" s="115" t="e">
        <f t="shared" si="11"/>
        <v>#VALUE!</v>
      </c>
      <c r="AB67" s="186">
        <f t="shared" si="12"/>
        <v>1</v>
      </c>
      <c r="AC67" s="43">
        <f t="shared" si="0"/>
        <v>43.5</v>
      </c>
      <c r="AD67" s="43">
        <f t="shared" si="1"/>
        <v>86.5</v>
      </c>
      <c r="AE67" s="15"/>
      <c r="AF67" s="17" t="s">
        <v>64</v>
      </c>
      <c r="AG67" s="47">
        <v>10.296184558115964</v>
      </c>
      <c r="AH67" s="15"/>
      <c r="AI67" s="15"/>
      <c r="AJ67" s="15"/>
      <c r="AK67" s="15"/>
      <c r="AL67" s="15"/>
      <c r="AM67" s="15"/>
      <c r="AN67" s="15"/>
      <c r="AO67" s="15"/>
      <c r="AP67" s="133">
        <f t="shared" si="13"/>
        <v>0</v>
      </c>
      <c r="AQ67" s="135" t="str">
        <f t="shared" si="14"/>
        <v/>
      </c>
      <c r="AR67" s="135" t="str">
        <f t="shared" si="15"/>
        <v/>
      </c>
      <c r="AS67" s="135" t="str">
        <f t="shared" si="16"/>
        <v/>
      </c>
      <c r="AT67" s="135" t="str">
        <f t="shared" si="17"/>
        <v/>
      </c>
      <c r="AU67" s="135" t="str">
        <f t="shared" si="18"/>
        <v/>
      </c>
      <c r="AV67" s="135" t="str">
        <f t="shared" si="19"/>
        <v/>
      </c>
      <c r="AW67" s="135" t="str">
        <f t="shared" si="20"/>
        <v/>
      </c>
      <c r="AX67" s="135" t="str">
        <f t="shared" si="58"/>
        <v/>
      </c>
      <c r="AY67" s="135" t="str">
        <f t="shared" si="59"/>
        <v/>
      </c>
      <c r="AZ67" s="135" t="str">
        <f t="shared" si="79"/>
        <v/>
      </c>
      <c r="BA67" s="135" t="str">
        <f t="shared" si="24"/>
        <v/>
      </c>
      <c r="BB67" s="135" t="str">
        <f t="shared" si="25"/>
        <v/>
      </c>
      <c r="BC67" s="135" t="str">
        <f t="shared" si="80"/>
        <v/>
      </c>
      <c r="BD67" s="120" t="str">
        <f t="shared" si="27"/>
        <v/>
      </c>
      <c r="BE67" s="133">
        <f t="shared" si="60"/>
        <v>0</v>
      </c>
      <c r="BF67" s="135" t="str">
        <f t="shared" si="61"/>
        <v/>
      </c>
      <c r="BG67" s="135" t="str">
        <f t="shared" si="62"/>
        <v/>
      </c>
      <c r="BH67" s="135" t="str">
        <f t="shared" si="63"/>
        <v/>
      </c>
      <c r="BI67" s="135" t="str">
        <f t="shared" si="64"/>
        <v/>
      </c>
      <c r="BJ67" s="135" t="str">
        <f t="shared" si="65"/>
        <v/>
      </c>
      <c r="BK67" s="135" t="str">
        <f t="shared" si="66"/>
        <v/>
      </c>
      <c r="BL67" s="135" t="str">
        <f t="shared" si="67"/>
        <v/>
      </c>
      <c r="BM67" s="135" t="str">
        <f t="shared" si="68"/>
        <v/>
      </c>
      <c r="BN67" s="135" t="str">
        <f t="shared" si="69"/>
        <v/>
      </c>
      <c r="BO67" s="135" t="str">
        <f t="shared" si="78"/>
        <v/>
      </c>
      <c r="BP67" s="135" t="str">
        <f t="shared" si="70"/>
        <v/>
      </c>
      <c r="BQ67" s="135" t="str">
        <f t="shared" si="71"/>
        <v/>
      </c>
      <c r="BR67" s="135" t="str">
        <f t="shared" si="41"/>
        <v/>
      </c>
      <c r="BS67" s="120" t="str">
        <f t="shared" si="56"/>
        <v/>
      </c>
      <c r="BT67" s="133">
        <f t="shared" si="72"/>
        <v>0</v>
      </c>
      <c r="BU67" s="135" t="str">
        <f t="shared" si="73"/>
        <v/>
      </c>
      <c r="BV67" s="135" t="str">
        <f t="shared" si="74"/>
        <v/>
      </c>
      <c r="BW67" s="135" t="str">
        <f t="shared" si="45"/>
        <v/>
      </c>
      <c r="BX67" s="135" t="str">
        <f t="shared" si="46"/>
        <v/>
      </c>
      <c r="BY67" s="135" t="str">
        <f t="shared" si="75"/>
        <v/>
      </c>
      <c r="BZ67" s="135" t="str">
        <f t="shared" si="48"/>
        <v/>
      </c>
      <c r="CA67" s="135" t="str">
        <f t="shared" si="49"/>
        <v/>
      </c>
      <c r="CB67" s="135" t="str">
        <f t="shared" si="76"/>
        <v/>
      </c>
      <c r="CC67" s="135" t="str">
        <f t="shared" si="51"/>
        <v/>
      </c>
      <c r="CD67" s="135" t="str">
        <f t="shared" si="52"/>
        <v/>
      </c>
      <c r="CE67" s="135" t="str">
        <f t="shared" si="53"/>
        <v/>
      </c>
      <c r="CF67" s="135" t="str">
        <f t="shared" si="54"/>
        <v/>
      </c>
      <c r="CG67" s="135" t="str">
        <f t="shared" si="55"/>
        <v/>
      </c>
    </row>
    <row r="68" spans="1:85" s="38" customFormat="1" ht="13.5" customHeight="1">
      <c r="A68" s="19"/>
      <c r="B68" s="118">
        <f t="shared" si="57"/>
        <v>19</v>
      </c>
      <c r="C68" s="119" t="str">
        <f>IF('Chart Information'!D22="","",'Chart Information'!D22)</f>
        <v/>
      </c>
      <c r="D68" s="120" t="str">
        <f>IF('Chart Information'!E22="","",'Chart Information'!E22)</f>
        <v/>
      </c>
      <c r="E68" s="120" t="str">
        <f>IF('Chart Information'!M22="","",'Chart Information'!M22)</f>
        <v/>
      </c>
      <c r="F68" s="120" t="str">
        <f>IF('Chart Information'!P22="","",'Chart Information'!P22)</f>
        <v/>
      </c>
      <c r="G68" s="120" t="str">
        <f>IF('Chart Information'!F22="","",'Chart Information'!F22)</f>
        <v/>
      </c>
      <c r="H68" s="120" t="str">
        <f>IF('Chart Information'!O22="","",'Chart Information'!O22)</f>
        <v/>
      </c>
      <c r="I68" s="120" t="str">
        <f t="shared" si="8"/>
        <v/>
      </c>
      <c r="J68" s="120" t="str">
        <f t="shared" si="9"/>
        <v/>
      </c>
      <c r="K68" s="141"/>
      <c r="L68" s="142"/>
      <c r="M68" s="142"/>
      <c r="N68" s="146"/>
      <c r="O68" s="143"/>
      <c r="P68" s="142"/>
      <c r="Q68" s="142"/>
      <c r="R68" s="142"/>
      <c r="S68" s="142"/>
      <c r="T68" s="142"/>
      <c r="U68" s="142"/>
      <c r="V68" s="142"/>
      <c r="W68" s="142">
        <f t="shared" si="10"/>
        <v>2</v>
      </c>
      <c r="X68" s="143" t="e">
        <f t="shared" si="77"/>
        <v>#DIV/0!</v>
      </c>
      <c r="Y68" s="142"/>
      <c r="Z68" s="145"/>
      <c r="AA68" s="115" t="e">
        <f t="shared" si="11"/>
        <v>#VALUE!</v>
      </c>
      <c r="AB68" s="186">
        <f t="shared" si="12"/>
        <v>1</v>
      </c>
      <c r="AC68" s="43">
        <f t="shared" ref="AC68:AC131" si="81">ROUNDUP(AC67-0.1,1)</f>
        <v>43.4</v>
      </c>
      <c r="AD68" s="43">
        <f t="shared" ref="AD68:AD131" si="82">ROUNDUP(AD67+0.1,1)</f>
        <v>86.6</v>
      </c>
      <c r="AE68" s="15"/>
      <c r="AF68" s="17" t="s">
        <v>65</v>
      </c>
      <c r="AG68" s="47">
        <v>10.982596861990363</v>
      </c>
      <c r="AH68" s="15"/>
      <c r="AI68" s="15"/>
      <c r="AJ68" s="15"/>
      <c r="AK68" s="15"/>
      <c r="AL68" s="15"/>
      <c r="AM68" s="15"/>
      <c r="AN68" s="15"/>
      <c r="AO68" s="15"/>
      <c r="AP68" s="133">
        <f t="shared" si="13"/>
        <v>0</v>
      </c>
      <c r="AQ68" s="135" t="str">
        <f t="shared" si="14"/>
        <v/>
      </c>
      <c r="AR68" s="135" t="str">
        <f t="shared" si="15"/>
        <v/>
      </c>
      <c r="AS68" s="135" t="str">
        <f t="shared" si="16"/>
        <v/>
      </c>
      <c r="AT68" s="135" t="str">
        <f t="shared" si="17"/>
        <v/>
      </c>
      <c r="AU68" s="135" t="str">
        <f t="shared" si="18"/>
        <v/>
      </c>
      <c r="AV68" s="135" t="str">
        <f t="shared" si="19"/>
        <v/>
      </c>
      <c r="AW68" s="135" t="str">
        <f t="shared" si="20"/>
        <v/>
      </c>
      <c r="AX68" s="135" t="str">
        <f t="shared" si="58"/>
        <v/>
      </c>
      <c r="AY68" s="135" t="str">
        <f t="shared" si="59"/>
        <v/>
      </c>
      <c r="AZ68" s="135" t="str">
        <f t="shared" si="79"/>
        <v/>
      </c>
      <c r="BA68" s="135" t="str">
        <f t="shared" si="24"/>
        <v/>
      </c>
      <c r="BB68" s="135" t="str">
        <f t="shared" si="25"/>
        <v/>
      </c>
      <c r="BC68" s="135" t="str">
        <f t="shared" si="80"/>
        <v/>
      </c>
      <c r="BD68" s="120" t="str">
        <f t="shared" si="27"/>
        <v/>
      </c>
      <c r="BE68" s="133">
        <f t="shared" si="60"/>
        <v>0</v>
      </c>
      <c r="BF68" s="135" t="str">
        <f t="shared" si="61"/>
        <v/>
      </c>
      <c r="BG68" s="135" t="str">
        <f t="shared" si="62"/>
        <v/>
      </c>
      <c r="BH68" s="135" t="str">
        <f t="shared" si="63"/>
        <v/>
      </c>
      <c r="BI68" s="135" t="str">
        <f t="shared" si="64"/>
        <v/>
      </c>
      <c r="BJ68" s="135" t="str">
        <f t="shared" si="65"/>
        <v/>
      </c>
      <c r="BK68" s="135" t="str">
        <f t="shared" si="66"/>
        <v/>
      </c>
      <c r="BL68" s="135" t="str">
        <f t="shared" si="67"/>
        <v/>
      </c>
      <c r="BM68" s="135" t="str">
        <f t="shared" si="68"/>
        <v/>
      </c>
      <c r="BN68" s="135" t="str">
        <f t="shared" si="69"/>
        <v/>
      </c>
      <c r="BO68" s="135" t="str">
        <f t="shared" si="78"/>
        <v/>
      </c>
      <c r="BP68" s="135" t="str">
        <f t="shared" si="70"/>
        <v/>
      </c>
      <c r="BQ68" s="135" t="str">
        <f t="shared" si="71"/>
        <v/>
      </c>
      <c r="BR68" s="135" t="str">
        <f t="shared" si="41"/>
        <v/>
      </c>
      <c r="BS68" s="120" t="str">
        <f t="shared" si="56"/>
        <v/>
      </c>
      <c r="BT68" s="133">
        <f t="shared" si="72"/>
        <v>0</v>
      </c>
      <c r="BU68" s="135" t="str">
        <f t="shared" si="73"/>
        <v/>
      </c>
      <c r="BV68" s="135" t="str">
        <f t="shared" si="74"/>
        <v/>
      </c>
      <c r="BW68" s="135" t="str">
        <f t="shared" si="45"/>
        <v/>
      </c>
      <c r="BX68" s="135" t="str">
        <f t="shared" si="46"/>
        <v/>
      </c>
      <c r="BY68" s="135" t="str">
        <f t="shared" si="75"/>
        <v/>
      </c>
      <c r="BZ68" s="135" t="str">
        <f t="shared" si="48"/>
        <v/>
      </c>
      <c r="CA68" s="135" t="str">
        <f t="shared" si="49"/>
        <v/>
      </c>
      <c r="CB68" s="135" t="str">
        <f t="shared" si="76"/>
        <v/>
      </c>
      <c r="CC68" s="135" t="str">
        <f t="shared" si="51"/>
        <v/>
      </c>
      <c r="CD68" s="135" t="str">
        <f t="shared" si="52"/>
        <v/>
      </c>
      <c r="CE68" s="135" t="str">
        <f t="shared" si="53"/>
        <v/>
      </c>
      <c r="CF68" s="135" t="str">
        <f t="shared" si="54"/>
        <v/>
      </c>
      <c r="CG68" s="135" t="str">
        <f t="shared" si="55"/>
        <v/>
      </c>
    </row>
    <row r="69" spans="1:85" s="38" customFormat="1" ht="13.5" customHeight="1">
      <c r="A69" s="19"/>
      <c r="B69" s="118">
        <f t="shared" si="57"/>
        <v>20</v>
      </c>
      <c r="C69" s="119" t="str">
        <f>IF('Chart Information'!D23="","",'Chart Information'!D23)</f>
        <v/>
      </c>
      <c r="D69" s="120" t="str">
        <f>IF('Chart Information'!E23="","",'Chart Information'!E23)</f>
        <v/>
      </c>
      <c r="E69" s="120" t="str">
        <f>IF('Chart Information'!M23="","",'Chart Information'!M23)</f>
        <v/>
      </c>
      <c r="F69" s="120" t="str">
        <f>IF('Chart Information'!P23="","",'Chart Information'!P23)</f>
        <v/>
      </c>
      <c r="G69" s="120" t="str">
        <f>IF('Chart Information'!F23="","",'Chart Information'!F23)</f>
        <v/>
      </c>
      <c r="H69" s="120" t="str">
        <f>IF('Chart Information'!O23="","",'Chart Information'!O23)</f>
        <v/>
      </c>
      <c r="I69" s="120" t="str">
        <f t="shared" si="8"/>
        <v/>
      </c>
      <c r="J69" s="120" t="str">
        <f t="shared" si="9"/>
        <v/>
      </c>
      <c r="K69" s="141"/>
      <c r="L69" s="142"/>
      <c r="M69" s="142"/>
      <c r="N69" s="146"/>
      <c r="O69" s="143"/>
      <c r="P69" s="142"/>
      <c r="Q69" s="142"/>
      <c r="R69" s="142"/>
      <c r="S69" s="142"/>
      <c r="T69" s="142"/>
      <c r="U69" s="142"/>
      <c r="V69" s="142"/>
      <c r="W69" s="142">
        <f t="shared" si="10"/>
        <v>2</v>
      </c>
      <c r="X69" s="143" t="e">
        <f t="shared" si="77"/>
        <v>#DIV/0!</v>
      </c>
      <c r="Y69" s="142"/>
      <c r="Z69" s="145"/>
      <c r="AA69" s="115" t="e">
        <f t="shared" si="11"/>
        <v>#VALUE!</v>
      </c>
      <c r="AB69" s="186">
        <f t="shared" si="12"/>
        <v>1</v>
      </c>
      <c r="AC69" s="43">
        <f t="shared" si="81"/>
        <v>43.3</v>
      </c>
      <c r="AD69" s="43">
        <f t="shared" si="82"/>
        <v>86.7</v>
      </c>
      <c r="AE69" s="15"/>
      <c r="AF69" s="17" t="s">
        <v>66</v>
      </c>
      <c r="AG69" s="47">
        <v>11.669009165864757</v>
      </c>
      <c r="AH69" s="15"/>
      <c r="AI69" s="15"/>
      <c r="AJ69" s="15"/>
      <c r="AK69" s="15"/>
      <c r="AL69" s="15"/>
      <c r="AM69" s="15"/>
      <c r="AN69" s="15"/>
      <c r="AO69" s="15"/>
      <c r="AP69" s="133">
        <f t="shared" si="13"/>
        <v>0</v>
      </c>
      <c r="AQ69" s="135" t="str">
        <f t="shared" si="14"/>
        <v/>
      </c>
      <c r="AR69" s="135" t="str">
        <f t="shared" si="15"/>
        <v/>
      </c>
      <c r="AS69" s="135" t="str">
        <f t="shared" si="16"/>
        <v/>
      </c>
      <c r="AT69" s="135" t="str">
        <f t="shared" si="17"/>
        <v/>
      </c>
      <c r="AU69" s="135" t="str">
        <f t="shared" si="18"/>
        <v/>
      </c>
      <c r="AV69" s="135" t="str">
        <f t="shared" si="19"/>
        <v/>
      </c>
      <c r="AW69" s="135" t="str">
        <f t="shared" si="20"/>
        <v/>
      </c>
      <c r="AX69" s="135" t="str">
        <f t="shared" si="58"/>
        <v/>
      </c>
      <c r="AY69" s="135" t="str">
        <f t="shared" si="59"/>
        <v/>
      </c>
      <c r="AZ69" s="135" t="str">
        <f t="shared" si="79"/>
        <v/>
      </c>
      <c r="BA69" s="135" t="str">
        <f t="shared" si="24"/>
        <v/>
      </c>
      <c r="BB69" s="135" t="str">
        <f t="shared" si="25"/>
        <v/>
      </c>
      <c r="BC69" s="135" t="str">
        <f t="shared" si="80"/>
        <v/>
      </c>
      <c r="BD69" s="120" t="str">
        <f t="shared" si="27"/>
        <v/>
      </c>
      <c r="BE69" s="133">
        <f t="shared" si="60"/>
        <v>0</v>
      </c>
      <c r="BF69" s="135" t="str">
        <f t="shared" si="61"/>
        <v/>
      </c>
      <c r="BG69" s="135" t="str">
        <f t="shared" si="62"/>
        <v/>
      </c>
      <c r="BH69" s="135" t="str">
        <f t="shared" si="63"/>
        <v/>
      </c>
      <c r="BI69" s="135" t="str">
        <f t="shared" si="64"/>
        <v/>
      </c>
      <c r="BJ69" s="135" t="str">
        <f t="shared" si="65"/>
        <v/>
      </c>
      <c r="BK69" s="135" t="str">
        <f t="shared" si="66"/>
        <v/>
      </c>
      <c r="BL69" s="135" t="str">
        <f t="shared" si="67"/>
        <v/>
      </c>
      <c r="BM69" s="135" t="str">
        <f t="shared" si="68"/>
        <v/>
      </c>
      <c r="BN69" s="135" t="str">
        <f t="shared" si="69"/>
        <v/>
      </c>
      <c r="BO69" s="135" t="str">
        <f t="shared" si="78"/>
        <v/>
      </c>
      <c r="BP69" s="135" t="str">
        <f t="shared" si="70"/>
        <v/>
      </c>
      <c r="BQ69" s="135" t="str">
        <f t="shared" si="71"/>
        <v/>
      </c>
      <c r="BR69" s="135" t="str">
        <f t="shared" si="41"/>
        <v/>
      </c>
      <c r="BS69" s="120" t="str">
        <f t="shared" si="56"/>
        <v/>
      </c>
      <c r="BT69" s="133">
        <f t="shared" si="72"/>
        <v>0</v>
      </c>
      <c r="BU69" s="135" t="str">
        <f t="shared" si="73"/>
        <v/>
      </c>
      <c r="BV69" s="135" t="str">
        <f t="shared" si="74"/>
        <v/>
      </c>
      <c r="BW69" s="135" t="str">
        <f t="shared" si="45"/>
        <v/>
      </c>
      <c r="BX69" s="135" t="str">
        <f t="shared" si="46"/>
        <v/>
      </c>
      <c r="BY69" s="135" t="str">
        <f t="shared" si="75"/>
        <v/>
      </c>
      <c r="BZ69" s="135" t="str">
        <f t="shared" si="48"/>
        <v/>
      </c>
      <c r="CA69" s="135" t="str">
        <f t="shared" si="49"/>
        <v/>
      </c>
      <c r="CB69" s="135" t="str">
        <f t="shared" si="76"/>
        <v/>
      </c>
      <c r="CC69" s="135" t="str">
        <f t="shared" si="51"/>
        <v/>
      </c>
      <c r="CD69" s="135" t="str">
        <f t="shared" si="52"/>
        <v/>
      </c>
      <c r="CE69" s="135" t="str">
        <f t="shared" si="53"/>
        <v/>
      </c>
      <c r="CF69" s="135" t="str">
        <f t="shared" si="54"/>
        <v/>
      </c>
      <c r="CG69" s="135" t="str">
        <f t="shared" si="55"/>
        <v/>
      </c>
    </row>
    <row r="70" spans="1:85" s="38" customFormat="1" ht="13.5" customHeight="1">
      <c r="A70" s="19"/>
      <c r="B70" s="118">
        <f t="shared" si="57"/>
        <v>21</v>
      </c>
      <c r="C70" s="119" t="str">
        <f>IF('Chart Information'!D24="","",'Chart Information'!D24)</f>
        <v/>
      </c>
      <c r="D70" s="120" t="str">
        <f>IF('Chart Information'!E24="","",'Chart Information'!E24)</f>
        <v/>
      </c>
      <c r="E70" s="120" t="str">
        <f>IF('Chart Information'!M24="","",'Chart Information'!M24)</f>
        <v/>
      </c>
      <c r="F70" s="120" t="str">
        <f>IF('Chart Information'!P24="","",'Chart Information'!P24)</f>
        <v/>
      </c>
      <c r="G70" s="120" t="str">
        <f>IF('Chart Information'!F24="","",'Chart Information'!F24)</f>
        <v/>
      </c>
      <c r="H70" s="120" t="str">
        <f>IF('Chart Information'!O24="","",'Chart Information'!O24)</f>
        <v/>
      </c>
      <c r="I70" s="120" t="str">
        <f t="shared" si="8"/>
        <v/>
      </c>
      <c r="J70" s="120" t="str">
        <f t="shared" si="9"/>
        <v/>
      </c>
      <c r="K70" s="141"/>
      <c r="L70" s="142"/>
      <c r="M70" s="142"/>
      <c r="N70" s="146"/>
      <c r="O70" s="143"/>
      <c r="P70" s="142"/>
      <c r="Q70" s="142"/>
      <c r="R70" s="142"/>
      <c r="S70" s="142"/>
      <c r="T70" s="142"/>
      <c r="U70" s="142"/>
      <c r="V70" s="142"/>
      <c r="W70" s="142">
        <f t="shared" si="10"/>
        <v>2</v>
      </c>
      <c r="X70" s="143"/>
      <c r="Y70" s="142"/>
      <c r="Z70" s="145"/>
      <c r="AA70" s="115" t="e">
        <f t="shared" si="11"/>
        <v>#VALUE!</v>
      </c>
      <c r="AB70" s="186">
        <f t="shared" si="12"/>
        <v>1</v>
      </c>
      <c r="AC70" s="43">
        <f t="shared" si="81"/>
        <v>43.2</v>
      </c>
      <c r="AD70" s="43">
        <f t="shared" si="82"/>
        <v>86.8</v>
      </c>
      <c r="AE70" s="15"/>
      <c r="AF70" s="17" t="s">
        <v>67</v>
      </c>
      <c r="AG70" s="47">
        <v>12.355421469739156</v>
      </c>
      <c r="AH70" s="15"/>
      <c r="AI70" s="15"/>
      <c r="AJ70" s="15"/>
      <c r="AK70" s="15"/>
      <c r="AL70" s="15"/>
      <c r="AM70" s="15"/>
      <c r="AN70" s="15"/>
      <c r="AO70" s="15"/>
      <c r="AP70" s="133">
        <f t="shared" si="13"/>
        <v>0</v>
      </c>
      <c r="AQ70" s="135" t="str">
        <f t="shared" si="14"/>
        <v/>
      </c>
      <c r="AR70" s="135" t="str">
        <f t="shared" si="15"/>
        <v/>
      </c>
      <c r="AS70" s="135" t="str">
        <f t="shared" si="16"/>
        <v/>
      </c>
      <c r="AT70" s="135" t="str">
        <f t="shared" si="17"/>
        <v/>
      </c>
      <c r="AU70" s="135" t="str">
        <f t="shared" si="18"/>
        <v/>
      </c>
      <c r="AV70" s="135" t="str">
        <f t="shared" si="19"/>
        <v/>
      </c>
      <c r="AW70" s="135" t="str">
        <f t="shared" si="20"/>
        <v/>
      </c>
      <c r="AX70" s="135" t="str">
        <f t="shared" si="58"/>
        <v/>
      </c>
      <c r="AY70" s="135" t="str">
        <f t="shared" si="59"/>
        <v/>
      </c>
      <c r="AZ70" s="135" t="str">
        <f t="shared" si="79"/>
        <v/>
      </c>
      <c r="BA70" s="135" t="str">
        <f t="shared" si="24"/>
        <v/>
      </c>
      <c r="BB70" s="135" t="str">
        <f t="shared" si="25"/>
        <v/>
      </c>
      <c r="BC70" s="135" t="str">
        <f t="shared" si="80"/>
        <v/>
      </c>
      <c r="BD70" s="120" t="str">
        <f t="shared" si="27"/>
        <v/>
      </c>
      <c r="BE70" s="133">
        <f t="shared" si="60"/>
        <v>0</v>
      </c>
      <c r="BF70" s="135" t="str">
        <f t="shared" si="61"/>
        <v/>
      </c>
      <c r="BG70" s="135" t="str">
        <f t="shared" si="62"/>
        <v/>
      </c>
      <c r="BH70" s="135" t="str">
        <f t="shared" si="63"/>
        <v/>
      </c>
      <c r="BI70" s="135" t="str">
        <f t="shared" si="64"/>
        <v/>
      </c>
      <c r="BJ70" s="135" t="str">
        <f t="shared" si="65"/>
        <v/>
      </c>
      <c r="BK70" s="135" t="str">
        <f t="shared" si="66"/>
        <v/>
      </c>
      <c r="BL70" s="135" t="str">
        <f t="shared" si="67"/>
        <v/>
      </c>
      <c r="BM70" s="135" t="str">
        <f t="shared" si="68"/>
        <v/>
      </c>
      <c r="BN70" s="135" t="str">
        <f t="shared" si="69"/>
        <v/>
      </c>
      <c r="BO70" s="135" t="str">
        <f t="shared" si="78"/>
        <v/>
      </c>
      <c r="BP70" s="135" t="str">
        <f t="shared" si="70"/>
        <v/>
      </c>
      <c r="BQ70" s="135" t="str">
        <f t="shared" si="71"/>
        <v/>
      </c>
      <c r="BR70" s="135" t="str">
        <f t="shared" si="41"/>
        <v/>
      </c>
      <c r="BS70" s="120" t="str">
        <f t="shared" si="56"/>
        <v/>
      </c>
      <c r="BT70" s="133">
        <f t="shared" si="72"/>
        <v>0</v>
      </c>
      <c r="BU70" s="135" t="str">
        <f t="shared" si="73"/>
        <v/>
      </c>
      <c r="BV70" s="135" t="str">
        <f t="shared" si="74"/>
        <v/>
      </c>
      <c r="BW70" s="135" t="str">
        <f t="shared" si="45"/>
        <v/>
      </c>
      <c r="BX70" s="135" t="str">
        <f t="shared" si="46"/>
        <v/>
      </c>
      <c r="BY70" s="135" t="str">
        <f t="shared" si="75"/>
        <v/>
      </c>
      <c r="BZ70" s="135" t="str">
        <f t="shared" si="48"/>
        <v/>
      </c>
      <c r="CA70" s="135" t="str">
        <f t="shared" si="49"/>
        <v/>
      </c>
      <c r="CB70" s="135" t="str">
        <f t="shared" si="76"/>
        <v/>
      </c>
      <c r="CC70" s="135" t="str">
        <f t="shared" si="51"/>
        <v/>
      </c>
      <c r="CD70" s="135" t="str">
        <f t="shared" si="52"/>
        <v/>
      </c>
      <c r="CE70" s="135" t="str">
        <f t="shared" si="53"/>
        <v/>
      </c>
      <c r="CF70" s="135" t="str">
        <f t="shared" si="54"/>
        <v/>
      </c>
      <c r="CG70" s="135" t="str">
        <f t="shared" si="55"/>
        <v/>
      </c>
    </row>
    <row r="71" spans="1:85" s="38" customFormat="1" ht="13.5" customHeight="1">
      <c r="A71" s="19"/>
      <c r="B71" s="118">
        <f t="shared" si="57"/>
        <v>22</v>
      </c>
      <c r="C71" s="119" t="str">
        <f>IF('Chart Information'!D25="","",'Chart Information'!D25)</f>
        <v/>
      </c>
      <c r="D71" s="120" t="str">
        <f>IF('Chart Information'!E25="","",'Chart Information'!E25)</f>
        <v/>
      </c>
      <c r="E71" s="120" t="str">
        <f>IF('Chart Information'!M25="","",'Chart Information'!M25)</f>
        <v/>
      </c>
      <c r="F71" s="120" t="str">
        <f>IF('Chart Information'!P25="","",'Chart Information'!P25)</f>
        <v/>
      </c>
      <c r="G71" s="120" t="str">
        <f>IF('Chart Information'!F25="","",'Chart Information'!F25)</f>
        <v/>
      </c>
      <c r="H71" s="120" t="str">
        <f>IF('Chart Information'!O25="","",'Chart Information'!O25)</f>
        <v/>
      </c>
      <c r="I71" s="120" t="str">
        <f t="shared" si="8"/>
        <v/>
      </c>
      <c r="J71" s="120" t="str">
        <f>IF(H71="","",IF(ROUND(I71/H71*100,1)&gt;100,100,ROUND(I71/H71*100,1)))</f>
        <v/>
      </c>
      <c r="K71" s="141"/>
      <c r="L71" s="142"/>
      <c r="M71" s="142"/>
      <c r="N71" s="146"/>
      <c r="O71" s="143"/>
      <c r="P71" s="142"/>
      <c r="Q71" s="142"/>
      <c r="R71" s="142"/>
      <c r="S71" s="142"/>
      <c r="T71" s="142"/>
      <c r="U71" s="142"/>
      <c r="V71" s="142"/>
      <c r="W71" s="142">
        <f t="shared" si="10"/>
        <v>2</v>
      </c>
      <c r="X71" s="143"/>
      <c r="Y71" s="142"/>
      <c r="Z71" s="145"/>
      <c r="AA71" s="115" t="e">
        <f t="shared" si="11"/>
        <v>#VALUE!</v>
      </c>
      <c r="AB71" s="186">
        <f t="shared" si="12"/>
        <v>1</v>
      </c>
      <c r="AC71" s="43">
        <f t="shared" si="81"/>
        <v>43.1</v>
      </c>
      <c r="AD71" s="43">
        <f t="shared" si="82"/>
        <v>86.9</v>
      </c>
      <c r="AE71" s="15"/>
      <c r="AF71" s="17" t="s">
        <v>70</v>
      </c>
      <c r="AG71" s="47">
        <v>1.0587674714555779</v>
      </c>
      <c r="AH71" s="15"/>
      <c r="AI71" s="15"/>
      <c r="AJ71" s="15"/>
      <c r="AK71" s="15"/>
      <c r="AL71" s="15"/>
      <c r="AM71" s="15"/>
      <c r="AN71" s="15"/>
      <c r="AO71" s="15"/>
      <c r="AP71" s="133">
        <f t="shared" si="13"/>
        <v>0</v>
      </c>
      <c r="AQ71" s="135" t="str">
        <f t="shared" si="14"/>
        <v/>
      </c>
      <c r="AR71" s="135" t="str">
        <f t="shared" si="15"/>
        <v/>
      </c>
      <c r="AS71" s="135" t="str">
        <f t="shared" si="16"/>
        <v/>
      </c>
      <c r="AT71" s="135" t="str">
        <f t="shared" si="17"/>
        <v/>
      </c>
      <c r="AU71" s="135" t="str">
        <f t="shared" si="18"/>
        <v/>
      </c>
      <c r="AV71" s="135" t="str">
        <f t="shared" si="19"/>
        <v/>
      </c>
      <c r="AW71" s="135" t="str">
        <f t="shared" si="20"/>
        <v/>
      </c>
      <c r="AX71" s="135" t="str">
        <f t="shared" si="58"/>
        <v/>
      </c>
      <c r="AY71" s="135" t="str">
        <f t="shared" si="59"/>
        <v/>
      </c>
      <c r="AZ71" s="135" t="str">
        <f t="shared" si="79"/>
        <v/>
      </c>
      <c r="BA71" s="135" t="str">
        <f t="shared" si="24"/>
        <v/>
      </c>
      <c r="BB71" s="135" t="str">
        <f t="shared" si="25"/>
        <v/>
      </c>
      <c r="BC71" s="135" t="str">
        <f t="shared" si="80"/>
        <v/>
      </c>
      <c r="BD71" s="120" t="str">
        <f t="shared" si="27"/>
        <v/>
      </c>
      <c r="BE71" s="133">
        <f t="shared" si="60"/>
        <v>0</v>
      </c>
      <c r="BF71" s="135" t="str">
        <f t="shared" si="61"/>
        <v/>
      </c>
      <c r="BG71" s="135" t="str">
        <f t="shared" si="62"/>
        <v/>
      </c>
      <c r="BH71" s="135" t="str">
        <f t="shared" si="63"/>
        <v/>
      </c>
      <c r="BI71" s="135" t="str">
        <f t="shared" si="64"/>
        <v/>
      </c>
      <c r="BJ71" s="135" t="str">
        <f t="shared" si="65"/>
        <v/>
      </c>
      <c r="BK71" s="135" t="str">
        <f t="shared" si="66"/>
        <v/>
      </c>
      <c r="BL71" s="135" t="str">
        <f t="shared" si="67"/>
        <v/>
      </c>
      <c r="BM71" s="135" t="str">
        <f t="shared" si="68"/>
        <v/>
      </c>
      <c r="BN71" s="135" t="str">
        <f t="shared" si="69"/>
        <v/>
      </c>
      <c r="BO71" s="135" t="str">
        <f t="shared" si="78"/>
        <v/>
      </c>
      <c r="BP71" s="135" t="str">
        <f t="shared" si="70"/>
        <v/>
      </c>
      <c r="BQ71" s="135" t="str">
        <f t="shared" si="71"/>
        <v/>
      </c>
      <c r="BR71" s="135" t="str">
        <f t="shared" si="41"/>
        <v/>
      </c>
      <c r="BS71" s="120" t="str">
        <f t="shared" si="56"/>
        <v/>
      </c>
      <c r="BT71" s="133">
        <f t="shared" si="72"/>
        <v>0</v>
      </c>
      <c r="BU71" s="135" t="str">
        <f t="shared" si="73"/>
        <v/>
      </c>
      <c r="BV71" s="135" t="str">
        <f t="shared" si="74"/>
        <v/>
      </c>
      <c r="BW71" s="135" t="str">
        <f t="shared" si="45"/>
        <v/>
      </c>
      <c r="BX71" s="135" t="str">
        <f t="shared" si="46"/>
        <v/>
      </c>
      <c r="BY71" s="135" t="str">
        <f t="shared" si="75"/>
        <v/>
      </c>
      <c r="BZ71" s="135" t="str">
        <f t="shared" si="48"/>
        <v/>
      </c>
      <c r="CA71" s="135" t="str">
        <f t="shared" si="49"/>
        <v/>
      </c>
      <c r="CB71" s="135" t="str">
        <f t="shared" si="76"/>
        <v/>
      </c>
      <c r="CC71" s="135" t="str">
        <f t="shared" si="51"/>
        <v/>
      </c>
      <c r="CD71" s="135" t="str">
        <f t="shared" si="52"/>
        <v/>
      </c>
      <c r="CE71" s="135" t="str">
        <f t="shared" si="53"/>
        <v/>
      </c>
      <c r="CF71" s="135" t="str">
        <f t="shared" si="54"/>
        <v/>
      </c>
      <c r="CG71" s="135" t="str">
        <f t="shared" si="55"/>
        <v/>
      </c>
    </row>
    <row r="72" spans="1:85" s="38" customFormat="1" ht="13.5" customHeight="1">
      <c r="A72" s="19"/>
      <c r="B72" s="118">
        <f t="shared" si="57"/>
        <v>23</v>
      </c>
      <c r="C72" s="119" t="str">
        <f>IF('Chart Information'!D26="","",'Chart Information'!D26)</f>
        <v/>
      </c>
      <c r="D72" s="120" t="str">
        <f>IF('Chart Information'!E26="","",'Chart Information'!E26)</f>
        <v/>
      </c>
      <c r="E72" s="120" t="str">
        <f>IF('Chart Information'!M26="","",'Chart Information'!M26)</f>
        <v/>
      </c>
      <c r="F72" s="120" t="str">
        <f>IF('Chart Information'!P26="","",'Chart Information'!P26)</f>
        <v/>
      </c>
      <c r="G72" s="120" t="str">
        <f>IF('Chart Information'!F26="","",'Chart Information'!F26)</f>
        <v/>
      </c>
      <c r="H72" s="120" t="str">
        <f>IF('Chart Information'!O26="","",'Chart Information'!O26)</f>
        <v/>
      </c>
      <c r="I72" s="120" t="str">
        <f t="shared" si="8"/>
        <v/>
      </c>
      <c r="J72" s="120" t="str">
        <f t="shared" ref="J72:J94" si="83">IF(H72="","",IF(ROUND(I72/H72*100,1)&gt;100,100,ROUND(I72/H72*100,1)))</f>
        <v/>
      </c>
      <c r="K72" s="141"/>
      <c r="L72" s="142"/>
      <c r="M72" s="142"/>
      <c r="N72" s="146"/>
      <c r="O72" s="143"/>
      <c r="P72" s="142"/>
      <c r="Q72" s="142"/>
      <c r="R72" s="142"/>
      <c r="S72" s="142"/>
      <c r="T72" s="142"/>
      <c r="U72" s="142"/>
      <c r="V72" s="142"/>
      <c r="W72" s="142">
        <f t="shared" si="10"/>
        <v>2</v>
      </c>
      <c r="X72" s="143"/>
      <c r="Y72" s="142"/>
      <c r="Z72" s="145"/>
      <c r="AA72" s="115" t="e">
        <f t="shared" si="11"/>
        <v>#VALUE!</v>
      </c>
      <c r="AB72" s="186">
        <f t="shared" si="12"/>
        <v>1</v>
      </c>
      <c r="AC72" s="43">
        <f t="shared" si="81"/>
        <v>43</v>
      </c>
      <c r="AD72" s="43">
        <f t="shared" si="82"/>
        <v>87</v>
      </c>
      <c r="AE72" s="15"/>
      <c r="AF72" s="17" t="s">
        <v>71</v>
      </c>
      <c r="AG72" s="47">
        <v>0.36671342261782885</v>
      </c>
      <c r="AH72" s="15"/>
      <c r="AI72" s="15"/>
      <c r="AJ72" s="15"/>
      <c r="AK72" s="15"/>
      <c r="AL72" s="15"/>
      <c r="AM72" s="15"/>
      <c r="AN72" s="15"/>
      <c r="AO72" s="15"/>
      <c r="AP72" s="133">
        <f t="shared" si="13"/>
        <v>0</v>
      </c>
      <c r="AQ72" s="135" t="str">
        <f t="shared" si="14"/>
        <v/>
      </c>
      <c r="AR72" s="135" t="str">
        <f t="shared" si="15"/>
        <v/>
      </c>
      <c r="AS72" s="135" t="str">
        <f t="shared" si="16"/>
        <v/>
      </c>
      <c r="AT72" s="135" t="str">
        <f t="shared" si="17"/>
        <v/>
      </c>
      <c r="AU72" s="135" t="str">
        <f t="shared" si="18"/>
        <v/>
      </c>
      <c r="AV72" s="135" t="str">
        <f t="shared" si="19"/>
        <v/>
      </c>
      <c r="AW72" s="135" t="str">
        <f t="shared" si="20"/>
        <v/>
      </c>
      <c r="AX72" s="135" t="str">
        <f t="shared" si="58"/>
        <v/>
      </c>
      <c r="AY72" s="135" t="str">
        <f t="shared" si="59"/>
        <v/>
      </c>
      <c r="AZ72" s="135" t="str">
        <f t="shared" si="79"/>
        <v/>
      </c>
      <c r="BA72" s="135" t="str">
        <f t="shared" si="24"/>
        <v/>
      </c>
      <c r="BB72" s="135" t="str">
        <f t="shared" si="25"/>
        <v/>
      </c>
      <c r="BC72" s="135" t="str">
        <f t="shared" si="80"/>
        <v/>
      </c>
      <c r="BD72" s="120" t="str">
        <f t="shared" si="27"/>
        <v/>
      </c>
      <c r="BE72" s="133">
        <f t="shared" si="60"/>
        <v>0</v>
      </c>
      <c r="BF72" s="135" t="str">
        <f t="shared" si="61"/>
        <v/>
      </c>
      <c r="BG72" s="135" t="str">
        <f t="shared" si="62"/>
        <v/>
      </c>
      <c r="BH72" s="135" t="str">
        <f t="shared" si="63"/>
        <v/>
      </c>
      <c r="BI72" s="135" t="str">
        <f t="shared" si="64"/>
        <v/>
      </c>
      <c r="BJ72" s="135" t="str">
        <f t="shared" si="65"/>
        <v/>
      </c>
      <c r="BK72" s="135" t="str">
        <f t="shared" si="66"/>
        <v/>
      </c>
      <c r="BL72" s="135" t="str">
        <f t="shared" si="67"/>
        <v/>
      </c>
      <c r="BM72" s="135" t="str">
        <f t="shared" si="68"/>
        <v/>
      </c>
      <c r="BN72" s="135" t="str">
        <f t="shared" si="69"/>
        <v/>
      </c>
      <c r="BO72" s="135" t="str">
        <f t="shared" si="78"/>
        <v/>
      </c>
      <c r="BP72" s="135" t="str">
        <f t="shared" si="70"/>
        <v/>
      </c>
      <c r="BQ72" s="135" t="str">
        <f t="shared" si="71"/>
        <v/>
      </c>
      <c r="BR72" s="135" t="str">
        <f t="shared" si="41"/>
        <v/>
      </c>
      <c r="BS72" s="120" t="str">
        <f t="shared" si="56"/>
        <v/>
      </c>
      <c r="BT72" s="133">
        <f t="shared" si="72"/>
        <v>0</v>
      </c>
      <c r="BU72" s="135" t="str">
        <f t="shared" si="73"/>
        <v/>
      </c>
      <c r="BV72" s="135" t="str">
        <f t="shared" si="74"/>
        <v/>
      </c>
      <c r="BW72" s="135" t="str">
        <f t="shared" si="45"/>
        <v/>
      </c>
      <c r="BX72" s="135" t="str">
        <f t="shared" si="46"/>
        <v/>
      </c>
      <c r="BY72" s="135" t="str">
        <f t="shared" si="75"/>
        <v/>
      </c>
      <c r="BZ72" s="135" t="str">
        <f t="shared" si="48"/>
        <v/>
      </c>
      <c r="CA72" s="135" t="str">
        <f t="shared" si="49"/>
        <v/>
      </c>
      <c r="CB72" s="135" t="str">
        <f t="shared" si="76"/>
        <v/>
      </c>
      <c r="CC72" s="135" t="str">
        <f t="shared" si="51"/>
        <v/>
      </c>
      <c r="CD72" s="135" t="str">
        <f t="shared" si="52"/>
        <v/>
      </c>
      <c r="CE72" s="135" t="str">
        <f t="shared" si="53"/>
        <v/>
      </c>
      <c r="CF72" s="135" t="str">
        <f t="shared" si="54"/>
        <v/>
      </c>
      <c r="CG72" s="135" t="str">
        <f t="shared" si="55"/>
        <v/>
      </c>
    </row>
    <row r="73" spans="1:85" s="38" customFormat="1" ht="13.5" customHeight="1">
      <c r="A73" s="19"/>
      <c r="B73" s="118">
        <f t="shared" si="57"/>
        <v>24</v>
      </c>
      <c r="C73" s="119" t="str">
        <f>IF('Chart Information'!D27="","",'Chart Information'!D27)</f>
        <v/>
      </c>
      <c r="D73" s="120" t="str">
        <f>IF('Chart Information'!E27="","",'Chart Information'!E27)</f>
        <v/>
      </c>
      <c r="E73" s="120" t="str">
        <f>IF('Chart Information'!M27="","",'Chart Information'!M27)</f>
        <v/>
      </c>
      <c r="F73" s="120" t="str">
        <f>IF('Chart Information'!P27="","",'Chart Information'!P27)</f>
        <v/>
      </c>
      <c r="G73" s="120" t="str">
        <f>IF('Chart Information'!F27="","",'Chart Information'!F27)</f>
        <v/>
      </c>
      <c r="H73" s="120" t="str">
        <f>IF('Chart Information'!O27="","",'Chart Information'!O27)</f>
        <v/>
      </c>
      <c r="I73" s="120" t="str">
        <f t="shared" si="8"/>
        <v/>
      </c>
      <c r="J73" s="120" t="str">
        <f t="shared" si="83"/>
        <v/>
      </c>
      <c r="K73" s="141"/>
      <c r="L73" s="142"/>
      <c r="M73" s="142"/>
      <c r="N73" s="146"/>
      <c r="O73" s="143"/>
      <c r="P73" s="142"/>
      <c r="Q73" s="142"/>
      <c r="R73" s="142"/>
      <c r="S73" s="142"/>
      <c r="T73" s="142"/>
      <c r="U73" s="142"/>
      <c r="V73" s="142"/>
      <c r="W73" s="142">
        <f t="shared" si="10"/>
        <v>2</v>
      </c>
      <c r="X73" s="143"/>
      <c r="Y73" s="142"/>
      <c r="Z73" s="145"/>
      <c r="AA73" s="115" t="e">
        <f t="shared" si="11"/>
        <v>#VALUE!</v>
      </c>
      <c r="AB73" s="186">
        <f t="shared" si="12"/>
        <v>1</v>
      </c>
      <c r="AC73" s="43">
        <f t="shared" si="81"/>
        <v>42.9</v>
      </c>
      <c r="AD73" s="43">
        <f t="shared" si="82"/>
        <v>87.1</v>
      </c>
      <c r="AE73" s="15"/>
      <c r="AF73" s="17" t="s">
        <v>72</v>
      </c>
      <c r="AG73" s="47">
        <v>0</v>
      </c>
      <c r="AH73" s="15"/>
      <c r="AI73" s="15"/>
      <c r="AJ73" s="15"/>
      <c r="AK73" s="15"/>
      <c r="AL73" s="15"/>
      <c r="AM73" s="15"/>
      <c r="AN73" s="15"/>
      <c r="AO73" s="15"/>
      <c r="AP73" s="133">
        <f t="shared" si="13"/>
        <v>0</v>
      </c>
      <c r="AQ73" s="135" t="str">
        <f t="shared" si="14"/>
        <v/>
      </c>
      <c r="AR73" s="135" t="str">
        <f t="shared" si="15"/>
        <v/>
      </c>
      <c r="AS73" s="135" t="str">
        <f t="shared" si="16"/>
        <v/>
      </c>
      <c r="AT73" s="135" t="str">
        <f t="shared" si="17"/>
        <v/>
      </c>
      <c r="AU73" s="135" t="str">
        <f t="shared" si="18"/>
        <v/>
      </c>
      <c r="AV73" s="135" t="str">
        <f t="shared" si="19"/>
        <v/>
      </c>
      <c r="AW73" s="135" t="str">
        <f t="shared" si="20"/>
        <v/>
      </c>
      <c r="AX73" s="135" t="str">
        <f t="shared" si="58"/>
        <v/>
      </c>
      <c r="AY73" s="135" t="str">
        <f t="shared" si="59"/>
        <v/>
      </c>
      <c r="AZ73" s="135" t="str">
        <f t="shared" si="79"/>
        <v/>
      </c>
      <c r="BA73" s="135" t="str">
        <f t="shared" si="24"/>
        <v/>
      </c>
      <c r="BB73" s="135" t="str">
        <f t="shared" si="25"/>
        <v/>
      </c>
      <c r="BC73" s="135" t="str">
        <f t="shared" si="80"/>
        <v/>
      </c>
      <c r="BD73" s="120" t="str">
        <f t="shared" si="27"/>
        <v/>
      </c>
      <c r="BE73" s="133">
        <f t="shared" si="60"/>
        <v>0</v>
      </c>
      <c r="BF73" s="135" t="str">
        <f t="shared" si="61"/>
        <v/>
      </c>
      <c r="BG73" s="135" t="str">
        <f t="shared" si="62"/>
        <v/>
      </c>
      <c r="BH73" s="135" t="str">
        <f t="shared" si="63"/>
        <v/>
      </c>
      <c r="BI73" s="135" t="str">
        <f t="shared" si="64"/>
        <v/>
      </c>
      <c r="BJ73" s="135" t="str">
        <f t="shared" si="65"/>
        <v/>
      </c>
      <c r="BK73" s="135" t="str">
        <f t="shared" si="66"/>
        <v/>
      </c>
      <c r="BL73" s="135" t="str">
        <f t="shared" si="67"/>
        <v/>
      </c>
      <c r="BM73" s="135" t="str">
        <f t="shared" si="68"/>
        <v/>
      </c>
      <c r="BN73" s="135" t="str">
        <f t="shared" si="69"/>
        <v/>
      </c>
      <c r="BO73" s="135" t="str">
        <f t="shared" si="78"/>
        <v/>
      </c>
      <c r="BP73" s="135" t="str">
        <f t="shared" si="70"/>
        <v/>
      </c>
      <c r="BQ73" s="135" t="str">
        <f t="shared" si="71"/>
        <v/>
      </c>
      <c r="BR73" s="135" t="str">
        <f t="shared" si="41"/>
        <v/>
      </c>
      <c r="BS73" s="120" t="str">
        <f t="shared" si="56"/>
        <v/>
      </c>
      <c r="BT73" s="133">
        <f t="shared" si="72"/>
        <v>0</v>
      </c>
      <c r="BU73" s="135" t="str">
        <f t="shared" si="73"/>
        <v/>
      </c>
      <c r="BV73" s="135" t="str">
        <f t="shared" si="74"/>
        <v/>
      </c>
      <c r="BW73" s="135" t="str">
        <f t="shared" si="45"/>
        <v/>
      </c>
      <c r="BX73" s="135" t="str">
        <f t="shared" si="46"/>
        <v/>
      </c>
      <c r="BY73" s="135" t="str">
        <f t="shared" si="75"/>
        <v/>
      </c>
      <c r="BZ73" s="135" t="str">
        <f t="shared" si="48"/>
        <v/>
      </c>
      <c r="CA73" s="135" t="str">
        <f t="shared" si="49"/>
        <v/>
      </c>
      <c r="CB73" s="135" t="str">
        <f t="shared" si="76"/>
        <v/>
      </c>
      <c r="CC73" s="135" t="str">
        <f t="shared" si="51"/>
        <v/>
      </c>
      <c r="CD73" s="135" t="str">
        <f t="shared" si="52"/>
        <v/>
      </c>
      <c r="CE73" s="135" t="str">
        <f t="shared" si="53"/>
        <v/>
      </c>
      <c r="CF73" s="135" t="str">
        <f t="shared" si="54"/>
        <v/>
      </c>
      <c r="CG73" s="135" t="str">
        <f t="shared" si="55"/>
        <v/>
      </c>
    </row>
    <row r="74" spans="1:85" s="38" customFormat="1" ht="13.5" customHeight="1">
      <c r="A74" s="19"/>
      <c r="B74" s="118">
        <f t="shared" si="57"/>
        <v>25</v>
      </c>
      <c r="C74" s="119" t="str">
        <f>IF('Chart Information'!D28="","",'Chart Information'!D28)</f>
        <v/>
      </c>
      <c r="D74" s="120" t="str">
        <f>IF('Chart Information'!E28="","",'Chart Information'!E28)</f>
        <v/>
      </c>
      <c r="E74" s="120" t="str">
        <f>IF('Chart Information'!M28="","",'Chart Information'!M28)</f>
        <v/>
      </c>
      <c r="F74" s="120" t="str">
        <f>IF('Chart Information'!P28="","",'Chart Information'!P28)</f>
        <v/>
      </c>
      <c r="G74" s="120" t="str">
        <f>IF('Chart Information'!F28="","",'Chart Information'!F28)</f>
        <v/>
      </c>
      <c r="H74" s="120" t="str">
        <f>IF('Chart Information'!O28="","",'Chart Information'!O28)</f>
        <v/>
      </c>
      <c r="I74" s="120" t="str">
        <f t="shared" si="8"/>
        <v/>
      </c>
      <c r="J74" s="120" t="str">
        <f t="shared" si="83"/>
        <v/>
      </c>
      <c r="K74" s="141"/>
      <c r="L74" s="142"/>
      <c r="M74" s="142"/>
      <c r="N74" s="146"/>
      <c r="O74" s="143"/>
      <c r="P74" s="142"/>
      <c r="Q74" s="142"/>
      <c r="R74" s="142"/>
      <c r="S74" s="142"/>
      <c r="T74" s="142"/>
      <c r="U74" s="142"/>
      <c r="V74" s="142"/>
      <c r="W74" s="142">
        <f t="shared" si="10"/>
        <v>2</v>
      </c>
      <c r="X74" s="143"/>
      <c r="Y74" s="142"/>
      <c r="Z74" s="145"/>
      <c r="AA74" s="115" t="e">
        <f t="shared" si="11"/>
        <v>#VALUE!</v>
      </c>
      <c r="AB74" s="186">
        <f t="shared" si="12"/>
        <v>1</v>
      </c>
      <c r="AC74" s="43">
        <f t="shared" si="81"/>
        <v>42.8</v>
      </c>
      <c r="AD74" s="43">
        <f t="shared" si="82"/>
        <v>87.2</v>
      </c>
      <c r="AE74" s="15"/>
      <c r="AF74" s="17" t="s">
        <v>73</v>
      </c>
      <c r="AG74" s="47">
        <v>84.011607999999995</v>
      </c>
      <c r="AH74" s="15"/>
      <c r="AI74" s="15"/>
      <c r="AJ74" s="15"/>
      <c r="AK74" s="15"/>
      <c r="AL74" s="15"/>
      <c r="AM74" s="15"/>
      <c r="AN74" s="15"/>
      <c r="AO74" s="15"/>
      <c r="AP74" s="133">
        <f t="shared" si="13"/>
        <v>0</v>
      </c>
      <c r="AQ74" s="135" t="str">
        <f t="shared" si="14"/>
        <v/>
      </c>
      <c r="AR74" s="135" t="str">
        <f t="shared" si="15"/>
        <v/>
      </c>
      <c r="AS74" s="135" t="str">
        <f t="shared" si="16"/>
        <v/>
      </c>
      <c r="AT74" s="135" t="str">
        <f t="shared" si="17"/>
        <v/>
      </c>
      <c r="AU74" s="135" t="str">
        <f t="shared" si="18"/>
        <v/>
      </c>
      <c r="AV74" s="135" t="str">
        <f t="shared" si="19"/>
        <v/>
      </c>
      <c r="AW74" s="135" t="str">
        <f t="shared" si="20"/>
        <v/>
      </c>
      <c r="AX74" s="135" t="str">
        <f t="shared" si="58"/>
        <v/>
      </c>
      <c r="AY74" s="135" t="str">
        <f t="shared" si="59"/>
        <v/>
      </c>
      <c r="AZ74" s="135" t="str">
        <f t="shared" si="79"/>
        <v/>
      </c>
      <c r="BA74" s="135" t="str">
        <f t="shared" si="24"/>
        <v/>
      </c>
      <c r="BB74" s="135" t="str">
        <f t="shared" si="25"/>
        <v/>
      </c>
      <c r="BC74" s="135" t="str">
        <f t="shared" si="80"/>
        <v/>
      </c>
      <c r="BD74" s="120" t="str">
        <f t="shared" si="27"/>
        <v/>
      </c>
      <c r="BE74" s="133">
        <f t="shared" si="60"/>
        <v>0</v>
      </c>
      <c r="BF74" s="135" t="str">
        <f t="shared" si="61"/>
        <v/>
      </c>
      <c r="BG74" s="135" t="str">
        <f t="shared" si="62"/>
        <v/>
      </c>
      <c r="BH74" s="135" t="str">
        <f t="shared" si="63"/>
        <v/>
      </c>
      <c r="BI74" s="135" t="str">
        <f t="shared" si="64"/>
        <v/>
      </c>
      <c r="BJ74" s="135" t="str">
        <f t="shared" si="65"/>
        <v/>
      </c>
      <c r="BK74" s="135" t="str">
        <f t="shared" si="66"/>
        <v/>
      </c>
      <c r="BL74" s="135" t="str">
        <f t="shared" si="67"/>
        <v/>
      </c>
      <c r="BM74" s="135" t="str">
        <f t="shared" si="68"/>
        <v/>
      </c>
      <c r="BN74" s="135" t="str">
        <f t="shared" si="69"/>
        <v/>
      </c>
      <c r="BO74" s="135" t="str">
        <f t="shared" si="78"/>
        <v/>
      </c>
      <c r="BP74" s="135" t="str">
        <f t="shared" si="70"/>
        <v/>
      </c>
      <c r="BQ74" s="135" t="str">
        <f t="shared" si="71"/>
        <v/>
      </c>
      <c r="BR74" s="135" t="str">
        <f t="shared" si="41"/>
        <v/>
      </c>
      <c r="BS74" s="120" t="str">
        <f t="shared" si="56"/>
        <v/>
      </c>
      <c r="BT74" s="133">
        <f t="shared" si="72"/>
        <v>0</v>
      </c>
      <c r="BU74" s="135" t="str">
        <f t="shared" si="73"/>
        <v/>
      </c>
      <c r="BV74" s="135" t="str">
        <f t="shared" si="74"/>
        <v/>
      </c>
      <c r="BW74" s="135" t="str">
        <f t="shared" si="45"/>
        <v/>
      </c>
      <c r="BX74" s="135" t="str">
        <f t="shared" si="46"/>
        <v/>
      </c>
      <c r="BY74" s="135" t="str">
        <f t="shared" si="75"/>
        <v/>
      </c>
      <c r="BZ74" s="135" t="str">
        <f t="shared" si="48"/>
        <v/>
      </c>
      <c r="CA74" s="135" t="str">
        <f t="shared" si="49"/>
        <v/>
      </c>
      <c r="CB74" s="135" t="str">
        <f t="shared" si="76"/>
        <v/>
      </c>
      <c r="CC74" s="135" t="str">
        <f t="shared" si="51"/>
        <v/>
      </c>
      <c r="CD74" s="135" t="str">
        <f t="shared" si="52"/>
        <v/>
      </c>
      <c r="CE74" s="135" t="str">
        <f t="shared" si="53"/>
        <v/>
      </c>
      <c r="CF74" s="135" t="str">
        <f t="shared" si="54"/>
        <v/>
      </c>
      <c r="CG74" s="135" t="str">
        <f t="shared" si="55"/>
        <v/>
      </c>
    </row>
    <row r="75" spans="1:85" s="38" customFormat="1" ht="13.5" customHeight="1">
      <c r="A75" s="19"/>
      <c r="B75" s="118">
        <f t="shared" si="57"/>
        <v>26</v>
      </c>
      <c r="C75" s="119" t="str">
        <f>IF('Chart Information'!D29="","",'Chart Information'!D29)</f>
        <v/>
      </c>
      <c r="D75" s="120" t="str">
        <f>IF('Chart Information'!E29="","",'Chart Information'!E29)</f>
        <v/>
      </c>
      <c r="E75" s="120" t="str">
        <f>IF('Chart Information'!M29="","",'Chart Information'!M29)</f>
        <v/>
      </c>
      <c r="F75" s="120" t="str">
        <f>IF('Chart Information'!P29="","",'Chart Information'!P29)</f>
        <v/>
      </c>
      <c r="G75" s="120" t="str">
        <f>IF('Chart Information'!F29="","",'Chart Information'!F29)</f>
        <v/>
      </c>
      <c r="H75" s="120" t="str">
        <f>IF('Chart Information'!O29="","",'Chart Information'!O29)</f>
        <v/>
      </c>
      <c r="I75" s="120" t="str">
        <f t="shared" si="8"/>
        <v/>
      </c>
      <c r="J75" s="120" t="str">
        <f t="shared" si="83"/>
        <v/>
      </c>
      <c r="K75" s="141"/>
      <c r="L75" s="142"/>
      <c r="M75" s="142"/>
      <c r="N75" s="146"/>
      <c r="O75" s="143"/>
      <c r="P75" s="142"/>
      <c r="Q75" s="142"/>
      <c r="R75" s="142"/>
      <c r="S75" s="142"/>
      <c r="T75" s="142"/>
      <c r="U75" s="142"/>
      <c r="V75" s="142"/>
      <c r="W75" s="142">
        <f t="shared" si="10"/>
        <v>2</v>
      </c>
      <c r="X75" s="143"/>
      <c r="Y75" s="142"/>
      <c r="Z75" s="145"/>
      <c r="AA75" s="115" t="e">
        <f t="shared" si="11"/>
        <v>#VALUE!</v>
      </c>
      <c r="AB75" s="186">
        <f t="shared" si="12"/>
        <v>1</v>
      </c>
      <c r="AC75" s="43">
        <f t="shared" si="81"/>
        <v>42.7</v>
      </c>
      <c r="AD75" s="43">
        <f t="shared" si="82"/>
        <v>87.3</v>
      </c>
      <c r="AE75" s="15"/>
      <c r="AF75" s="17" t="s">
        <v>74</v>
      </c>
      <c r="AG75" s="47">
        <v>13.080974999999999</v>
      </c>
      <c r="AH75" s="15"/>
      <c r="AI75" s="15"/>
      <c r="AJ75" s="15"/>
      <c r="AK75" s="15"/>
      <c r="AL75" s="15"/>
      <c r="AM75" s="15"/>
      <c r="AN75" s="15"/>
      <c r="AO75" s="15"/>
      <c r="AP75" s="133">
        <f t="shared" si="13"/>
        <v>0</v>
      </c>
      <c r="AQ75" s="135" t="str">
        <f t="shared" si="14"/>
        <v/>
      </c>
      <c r="AR75" s="135" t="str">
        <f t="shared" si="15"/>
        <v/>
      </c>
      <c r="AS75" s="135" t="str">
        <f t="shared" si="16"/>
        <v/>
      </c>
      <c r="AT75" s="135" t="str">
        <f t="shared" si="17"/>
        <v/>
      </c>
      <c r="AU75" s="135" t="str">
        <f t="shared" si="18"/>
        <v/>
      </c>
      <c r="AV75" s="135" t="str">
        <f t="shared" si="19"/>
        <v/>
      </c>
      <c r="AW75" s="135" t="str">
        <f t="shared" si="20"/>
        <v/>
      </c>
      <c r="AX75" s="135" t="str">
        <f t="shared" si="58"/>
        <v/>
      </c>
      <c r="AY75" s="135" t="str">
        <f t="shared" si="59"/>
        <v/>
      </c>
      <c r="AZ75" s="135" t="str">
        <f t="shared" si="79"/>
        <v/>
      </c>
      <c r="BA75" s="135" t="str">
        <f t="shared" si="24"/>
        <v/>
      </c>
      <c r="BB75" s="135" t="str">
        <f t="shared" si="25"/>
        <v/>
      </c>
      <c r="BC75" s="135" t="str">
        <f t="shared" si="80"/>
        <v/>
      </c>
      <c r="BD75" s="120" t="str">
        <f t="shared" si="27"/>
        <v/>
      </c>
      <c r="BE75" s="133">
        <f t="shared" si="60"/>
        <v>0</v>
      </c>
      <c r="BF75" s="135" t="str">
        <f t="shared" si="61"/>
        <v/>
      </c>
      <c r="BG75" s="135" t="str">
        <f t="shared" si="62"/>
        <v/>
      </c>
      <c r="BH75" s="135" t="str">
        <f t="shared" si="63"/>
        <v/>
      </c>
      <c r="BI75" s="135" t="str">
        <f t="shared" si="64"/>
        <v/>
      </c>
      <c r="BJ75" s="135" t="str">
        <f t="shared" si="65"/>
        <v/>
      </c>
      <c r="BK75" s="135" t="str">
        <f t="shared" si="66"/>
        <v/>
      </c>
      <c r="BL75" s="135" t="str">
        <f t="shared" si="67"/>
        <v/>
      </c>
      <c r="BM75" s="135" t="str">
        <f t="shared" si="68"/>
        <v/>
      </c>
      <c r="BN75" s="135" t="str">
        <f t="shared" si="69"/>
        <v/>
      </c>
      <c r="BO75" s="135" t="str">
        <f t="shared" si="78"/>
        <v/>
      </c>
      <c r="BP75" s="135" t="str">
        <f t="shared" si="70"/>
        <v/>
      </c>
      <c r="BQ75" s="135" t="str">
        <f t="shared" si="71"/>
        <v/>
      </c>
      <c r="BR75" s="135" t="str">
        <f t="shared" si="41"/>
        <v/>
      </c>
      <c r="BS75" s="120" t="str">
        <f t="shared" si="56"/>
        <v/>
      </c>
      <c r="BT75" s="133">
        <f t="shared" si="72"/>
        <v>0</v>
      </c>
      <c r="BU75" s="135" t="str">
        <f t="shared" si="73"/>
        <v/>
      </c>
      <c r="BV75" s="135" t="str">
        <f t="shared" si="74"/>
        <v/>
      </c>
      <c r="BW75" s="135" t="str">
        <f t="shared" si="45"/>
        <v/>
      </c>
      <c r="BX75" s="135" t="str">
        <f t="shared" si="46"/>
        <v/>
      </c>
      <c r="BY75" s="135" t="str">
        <f t="shared" si="75"/>
        <v/>
      </c>
      <c r="BZ75" s="135" t="str">
        <f t="shared" si="48"/>
        <v/>
      </c>
      <c r="CA75" s="135" t="str">
        <f t="shared" si="49"/>
        <v/>
      </c>
      <c r="CB75" s="135" t="str">
        <f t="shared" si="76"/>
        <v/>
      </c>
      <c r="CC75" s="135" t="str">
        <f t="shared" si="51"/>
        <v/>
      </c>
      <c r="CD75" s="135" t="str">
        <f t="shared" si="52"/>
        <v/>
      </c>
      <c r="CE75" s="135" t="str">
        <f t="shared" si="53"/>
        <v/>
      </c>
      <c r="CF75" s="135" t="str">
        <f t="shared" si="54"/>
        <v/>
      </c>
      <c r="CG75" s="135" t="str">
        <f t="shared" si="55"/>
        <v/>
      </c>
    </row>
    <row r="76" spans="1:85" s="38" customFormat="1" ht="13.5" customHeight="1">
      <c r="A76" s="19"/>
      <c r="B76" s="118">
        <f t="shared" si="57"/>
        <v>27</v>
      </c>
      <c r="C76" s="119" t="str">
        <f>IF('Chart Information'!D30="","",'Chart Information'!D30)</f>
        <v/>
      </c>
      <c r="D76" s="120" t="str">
        <f>IF('Chart Information'!E30="","",'Chart Information'!E30)</f>
        <v/>
      </c>
      <c r="E76" s="120" t="str">
        <f>IF('Chart Information'!M30="","",'Chart Information'!M30)</f>
        <v/>
      </c>
      <c r="F76" s="120" t="str">
        <f>IF('Chart Information'!P30="","",'Chart Information'!P30)</f>
        <v/>
      </c>
      <c r="G76" s="120" t="str">
        <f>IF('Chart Information'!F30="","",'Chart Information'!F30)</f>
        <v/>
      </c>
      <c r="H76" s="120" t="str">
        <f>IF('Chart Information'!O30="","",'Chart Information'!O30)</f>
        <v/>
      </c>
      <c r="I76" s="120" t="str">
        <f t="shared" si="8"/>
        <v/>
      </c>
      <c r="J76" s="120" t="str">
        <f t="shared" si="83"/>
        <v/>
      </c>
      <c r="K76" s="141"/>
      <c r="L76" s="142"/>
      <c r="M76" s="142"/>
      <c r="N76" s="146"/>
      <c r="O76" s="143"/>
      <c r="P76" s="142"/>
      <c r="Q76" s="142"/>
      <c r="R76" s="142"/>
      <c r="S76" s="142"/>
      <c r="T76" s="142"/>
      <c r="U76" s="142"/>
      <c r="V76" s="142"/>
      <c r="W76" s="142">
        <f t="shared" si="10"/>
        <v>2</v>
      </c>
      <c r="X76" s="143"/>
      <c r="Y76" s="142"/>
      <c r="Z76" s="145"/>
      <c r="AA76" s="115" t="e">
        <f t="shared" si="11"/>
        <v>#VALUE!</v>
      </c>
      <c r="AB76" s="186">
        <f t="shared" si="12"/>
        <v>1</v>
      </c>
      <c r="AC76" s="43">
        <f t="shared" si="81"/>
        <v>42.6</v>
      </c>
      <c r="AD76" s="43">
        <f t="shared" si="82"/>
        <v>87.4</v>
      </c>
      <c r="AE76" s="15"/>
      <c r="AF76" s="17" t="s">
        <v>75</v>
      </c>
      <c r="AG76" s="47">
        <v>-27.279641000000002</v>
      </c>
      <c r="AH76" s="15"/>
      <c r="AI76" s="15"/>
      <c r="AJ76" s="15"/>
      <c r="AK76" s="15"/>
      <c r="AL76" s="15"/>
      <c r="AM76" s="15"/>
      <c r="AN76" s="15"/>
      <c r="AO76" s="15"/>
      <c r="AP76" s="133">
        <f t="shared" si="13"/>
        <v>0</v>
      </c>
      <c r="AQ76" s="135" t="str">
        <f t="shared" si="14"/>
        <v/>
      </c>
      <c r="AR76" s="135" t="str">
        <f t="shared" si="15"/>
        <v/>
      </c>
      <c r="AS76" s="135" t="str">
        <f t="shared" si="16"/>
        <v/>
      </c>
      <c r="AT76" s="135" t="str">
        <f t="shared" si="17"/>
        <v/>
      </c>
      <c r="AU76" s="135" t="str">
        <f t="shared" si="18"/>
        <v/>
      </c>
      <c r="AV76" s="135" t="str">
        <f t="shared" si="19"/>
        <v/>
      </c>
      <c r="AW76" s="135" t="str">
        <f t="shared" si="20"/>
        <v/>
      </c>
      <c r="AX76" s="135" t="str">
        <f t="shared" si="58"/>
        <v/>
      </c>
      <c r="AY76" s="135" t="str">
        <f t="shared" si="59"/>
        <v/>
      </c>
      <c r="AZ76" s="135" t="str">
        <f t="shared" si="79"/>
        <v/>
      </c>
      <c r="BA76" s="135" t="str">
        <f t="shared" si="24"/>
        <v/>
      </c>
      <c r="BB76" s="135" t="str">
        <f t="shared" si="25"/>
        <v/>
      </c>
      <c r="BC76" s="135" t="str">
        <f t="shared" si="80"/>
        <v/>
      </c>
      <c r="BD76" s="120" t="str">
        <f t="shared" si="27"/>
        <v/>
      </c>
      <c r="BE76" s="133">
        <f t="shared" si="60"/>
        <v>0</v>
      </c>
      <c r="BF76" s="135" t="str">
        <f t="shared" si="61"/>
        <v/>
      </c>
      <c r="BG76" s="135" t="str">
        <f t="shared" si="62"/>
        <v/>
      </c>
      <c r="BH76" s="135" t="str">
        <f t="shared" si="63"/>
        <v/>
      </c>
      <c r="BI76" s="135" t="str">
        <f t="shared" si="64"/>
        <v/>
      </c>
      <c r="BJ76" s="135" t="str">
        <f t="shared" si="65"/>
        <v/>
      </c>
      <c r="BK76" s="135" t="str">
        <f t="shared" si="66"/>
        <v/>
      </c>
      <c r="BL76" s="135" t="str">
        <f t="shared" si="67"/>
        <v/>
      </c>
      <c r="BM76" s="135" t="str">
        <f t="shared" si="68"/>
        <v/>
      </c>
      <c r="BN76" s="135" t="str">
        <f t="shared" si="69"/>
        <v/>
      </c>
      <c r="BO76" s="135" t="str">
        <f t="shared" si="78"/>
        <v/>
      </c>
      <c r="BP76" s="135" t="str">
        <f t="shared" si="70"/>
        <v/>
      </c>
      <c r="BQ76" s="135" t="str">
        <f t="shared" si="71"/>
        <v/>
      </c>
      <c r="BR76" s="135" t="str">
        <f t="shared" si="41"/>
        <v/>
      </c>
      <c r="BS76" s="120" t="str">
        <f t="shared" si="56"/>
        <v/>
      </c>
      <c r="BT76" s="133">
        <f t="shared" si="72"/>
        <v>0</v>
      </c>
      <c r="BU76" s="135" t="str">
        <f t="shared" si="73"/>
        <v/>
      </c>
      <c r="BV76" s="135" t="str">
        <f t="shared" si="74"/>
        <v/>
      </c>
      <c r="BW76" s="135" t="str">
        <f t="shared" si="45"/>
        <v/>
      </c>
      <c r="BX76" s="135" t="str">
        <f t="shared" si="46"/>
        <v/>
      </c>
      <c r="BY76" s="135" t="str">
        <f t="shared" si="75"/>
        <v/>
      </c>
      <c r="BZ76" s="135" t="str">
        <f t="shared" si="48"/>
        <v/>
      </c>
      <c r="CA76" s="135" t="str">
        <f t="shared" si="49"/>
        <v/>
      </c>
      <c r="CB76" s="135" t="str">
        <f t="shared" si="76"/>
        <v/>
      </c>
      <c r="CC76" s="135" t="str">
        <f t="shared" si="51"/>
        <v/>
      </c>
      <c r="CD76" s="135" t="str">
        <f t="shared" si="52"/>
        <v/>
      </c>
      <c r="CE76" s="135" t="str">
        <f t="shared" si="53"/>
        <v/>
      </c>
      <c r="CF76" s="135" t="str">
        <f t="shared" si="54"/>
        <v/>
      </c>
      <c r="CG76" s="135" t="str">
        <f t="shared" si="55"/>
        <v/>
      </c>
    </row>
    <row r="77" spans="1:85" ht="13.5" customHeight="1">
      <c r="A77" s="19"/>
      <c r="B77" s="118">
        <f t="shared" si="57"/>
        <v>28</v>
      </c>
      <c r="C77" s="119" t="str">
        <f>IF('Chart Information'!D31="","",'Chart Information'!D31)</f>
        <v/>
      </c>
      <c r="D77" s="120" t="str">
        <f>IF('Chart Information'!E31="","",'Chart Information'!E31)</f>
        <v/>
      </c>
      <c r="E77" s="120" t="str">
        <f>IF('Chart Information'!M31="","",'Chart Information'!M31)</f>
        <v/>
      </c>
      <c r="F77" s="120" t="str">
        <f>IF('Chart Information'!P31="","",'Chart Information'!P31)</f>
        <v/>
      </c>
      <c r="G77" s="120" t="str">
        <f>IF('Chart Information'!F31="","",'Chart Information'!F31)</f>
        <v/>
      </c>
      <c r="H77" s="120" t="str">
        <f>IF('Chart Information'!O31="","",'Chart Information'!O31)</f>
        <v/>
      </c>
      <c r="I77" s="120" t="str">
        <f t="shared" si="8"/>
        <v/>
      </c>
      <c r="J77" s="120" t="str">
        <f t="shared" si="83"/>
        <v/>
      </c>
      <c r="K77" s="141"/>
      <c r="L77" s="142"/>
      <c r="M77" s="142"/>
      <c r="N77" s="146"/>
      <c r="O77" s="143"/>
      <c r="P77" s="142"/>
      <c r="Q77" s="142"/>
      <c r="R77" s="142"/>
      <c r="S77" s="142"/>
      <c r="T77" s="142"/>
      <c r="U77" s="142"/>
      <c r="V77" s="142"/>
      <c r="W77" s="142">
        <f t="shared" si="10"/>
        <v>2</v>
      </c>
      <c r="X77" s="143"/>
      <c r="Y77" s="142"/>
      <c r="Z77" s="145"/>
      <c r="AA77" s="115" t="e">
        <f t="shared" si="11"/>
        <v>#VALUE!</v>
      </c>
      <c r="AB77" s="186">
        <f t="shared" si="12"/>
        <v>1</v>
      </c>
      <c r="AC77" s="43">
        <f t="shared" si="81"/>
        <v>42.5</v>
      </c>
      <c r="AD77" s="43">
        <f t="shared" si="82"/>
        <v>87.5</v>
      </c>
      <c r="AF77" s="17" t="s">
        <v>76</v>
      </c>
      <c r="AG77" s="47">
        <v>-33.318877000000001</v>
      </c>
      <c r="AP77" s="133">
        <f t="shared" si="13"/>
        <v>0</v>
      </c>
      <c r="AQ77" s="135" t="str">
        <f t="shared" si="14"/>
        <v/>
      </c>
      <c r="AR77" s="135" t="str">
        <f t="shared" si="15"/>
        <v/>
      </c>
      <c r="AS77" s="135" t="str">
        <f t="shared" si="16"/>
        <v/>
      </c>
      <c r="AT77" s="135" t="str">
        <f t="shared" si="17"/>
        <v/>
      </c>
      <c r="AU77" s="135" t="str">
        <f t="shared" si="18"/>
        <v/>
      </c>
      <c r="AV77" s="135" t="str">
        <f t="shared" si="19"/>
        <v/>
      </c>
      <c r="AW77" s="135" t="str">
        <f t="shared" si="20"/>
        <v/>
      </c>
      <c r="AX77" s="135" t="str">
        <f t="shared" si="58"/>
        <v/>
      </c>
      <c r="AY77" s="135" t="str">
        <f t="shared" si="59"/>
        <v/>
      </c>
      <c r="AZ77" s="135" t="str">
        <f t="shared" si="79"/>
        <v/>
      </c>
      <c r="BA77" s="135" t="str">
        <f t="shared" si="24"/>
        <v/>
      </c>
      <c r="BB77" s="135" t="str">
        <f t="shared" si="25"/>
        <v/>
      </c>
      <c r="BC77" s="135" t="str">
        <f t="shared" si="80"/>
        <v/>
      </c>
      <c r="BD77" s="120" t="str">
        <f t="shared" si="27"/>
        <v/>
      </c>
      <c r="BE77" s="133">
        <f t="shared" si="60"/>
        <v>0</v>
      </c>
      <c r="BF77" s="135" t="str">
        <f t="shared" si="61"/>
        <v/>
      </c>
      <c r="BG77" s="135" t="str">
        <f t="shared" si="62"/>
        <v/>
      </c>
      <c r="BH77" s="135" t="str">
        <f t="shared" si="63"/>
        <v/>
      </c>
      <c r="BI77" s="135" t="str">
        <f t="shared" si="64"/>
        <v/>
      </c>
      <c r="BJ77" s="135" t="str">
        <f t="shared" si="65"/>
        <v/>
      </c>
      <c r="BK77" s="135" t="str">
        <f t="shared" si="66"/>
        <v/>
      </c>
      <c r="BL77" s="135" t="str">
        <f t="shared" si="67"/>
        <v/>
      </c>
      <c r="BM77" s="135" t="str">
        <f t="shared" si="68"/>
        <v/>
      </c>
      <c r="BN77" s="135" t="str">
        <f t="shared" si="69"/>
        <v/>
      </c>
      <c r="BO77" s="135" t="str">
        <f t="shared" si="78"/>
        <v/>
      </c>
      <c r="BP77" s="135" t="str">
        <f t="shared" si="70"/>
        <v/>
      </c>
      <c r="BQ77" s="135" t="str">
        <f t="shared" si="71"/>
        <v/>
      </c>
      <c r="BR77" s="135" t="str">
        <f t="shared" si="41"/>
        <v/>
      </c>
      <c r="BS77" s="120" t="str">
        <f t="shared" si="56"/>
        <v/>
      </c>
      <c r="BT77" s="133">
        <f t="shared" si="72"/>
        <v>0</v>
      </c>
      <c r="BU77" s="135" t="str">
        <f t="shared" si="73"/>
        <v/>
      </c>
      <c r="BV77" s="135" t="str">
        <f t="shared" si="74"/>
        <v/>
      </c>
      <c r="BW77" s="135" t="str">
        <f t="shared" si="45"/>
        <v/>
      </c>
      <c r="BX77" s="135" t="str">
        <f t="shared" si="46"/>
        <v/>
      </c>
      <c r="BY77" s="135" t="str">
        <f t="shared" si="75"/>
        <v/>
      </c>
      <c r="BZ77" s="135" t="str">
        <f t="shared" si="48"/>
        <v/>
      </c>
      <c r="CA77" s="135" t="str">
        <f t="shared" si="49"/>
        <v/>
      </c>
      <c r="CB77" s="135" t="str">
        <f t="shared" si="76"/>
        <v/>
      </c>
      <c r="CC77" s="135" t="str">
        <f t="shared" si="51"/>
        <v/>
      </c>
      <c r="CD77" s="135" t="str">
        <f t="shared" si="52"/>
        <v/>
      </c>
      <c r="CE77" s="135" t="str">
        <f t="shared" si="53"/>
        <v/>
      </c>
      <c r="CF77" s="135" t="str">
        <f t="shared" si="54"/>
        <v/>
      </c>
      <c r="CG77" s="135" t="str">
        <f t="shared" si="55"/>
        <v/>
      </c>
    </row>
    <row r="78" spans="1:85" ht="13.5" customHeight="1">
      <c r="A78" s="19"/>
      <c r="B78" s="118">
        <f t="shared" si="57"/>
        <v>29</v>
      </c>
      <c r="C78" s="119" t="str">
        <f>IF('Chart Information'!D32="","",'Chart Information'!D32)</f>
        <v/>
      </c>
      <c r="D78" s="120" t="str">
        <f>IF('Chart Information'!E32="","",'Chart Information'!E32)</f>
        <v/>
      </c>
      <c r="E78" s="120" t="str">
        <f>IF('Chart Information'!M32="","",'Chart Information'!M32)</f>
        <v/>
      </c>
      <c r="F78" s="120" t="str">
        <f>IF('Chart Information'!P32="","",'Chart Information'!P32)</f>
        <v/>
      </c>
      <c r="G78" s="120" t="str">
        <f>IF('Chart Information'!F32="","",'Chart Information'!F32)</f>
        <v/>
      </c>
      <c r="H78" s="120" t="str">
        <f>IF('Chart Information'!O32="","",'Chart Information'!O32)</f>
        <v/>
      </c>
      <c r="I78" s="120" t="str">
        <f t="shared" si="8"/>
        <v/>
      </c>
      <c r="J78" s="120" t="str">
        <f t="shared" si="83"/>
        <v/>
      </c>
      <c r="K78" s="141"/>
      <c r="L78" s="142"/>
      <c r="M78" s="142"/>
      <c r="N78" s="146"/>
      <c r="O78" s="143"/>
      <c r="P78" s="142"/>
      <c r="Q78" s="142"/>
      <c r="R78" s="142"/>
      <c r="S78" s="142"/>
      <c r="T78" s="142"/>
      <c r="U78" s="142"/>
      <c r="V78" s="142"/>
      <c r="W78" s="142">
        <f t="shared" si="10"/>
        <v>2</v>
      </c>
      <c r="X78" s="143"/>
      <c r="Y78" s="142"/>
      <c r="Z78" s="145"/>
      <c r="AA78" s="115" t="e">
        <f t="shared" si="11"/>
        <v>#VALUE!</v>
      </c>
      <c r="AB78" s="186">
        <f t="shared" si="12"/>
        <v>1</v>
      </c>
      <c r="AC78" s="43">
        <f t="shared" si="81"/>
        <v>42.4</v>
      </c>
      <c r="AD78" s="43">
        <f t="shared" si="82"/>
        <v>87.6</v>
      </c>
      <c r="AF78" s="17" t="s">
        <v>77</v>
      </c>
      <c r="AG78" s="47">
        <v>-35.256161999999996</v>
      </c>
      <c r="AP78" s="133">
        <f t="shared" si="13"/>
        <v>0</v>
      </c>
      <c r="AQ78" s="135" t="str">
        <f t="shared" si="14"/>
        <v/>
      </c>
      <c r="AR78" s="135" t="str">
        <f t="shared" si="15"/>
        <v/>
      </c>
      <c r="AS78" s="135" t="str">
        <f t="shared" si="16"/>
        <v/>
      </c>
      <c r="AT78" s="135" t="str">
        <f t="shared" si="17"/>
        <v/>
      </c>
      <c r="AU78" s="135" t="str">
        <f t="shared" si="18"/>
        <v/>
      </c>
      <c r="AV78" s="135" t="str">
        <f t="shared" si="19"/>
        <v/>
      </c>
      <c r="AW78" s="135" t="str">
        <f t="shared" si="20"/>
        <v/>
      </c>
      <c r="AX78" s="135" t="str">
        <f t="shared" si="58"/>
        <v/>
      </c>
      <c r="AY78" s="135" t="str">
        <f t="shared" si="59"/>
        <v/>
      </c>
      <c r="AZ78" s="135" t="str">
        <f t="shared" si="79"/>
        <v/>
      </c>
      <c r="BA78" s="135" t="str">
        <f t="shared" si="24"/>
        <v/>
      </c>
      <c r="BB78" s="135" t="str">
        <f t="shared" si="25"/>
        <v/>
      </c>
      <c r="BC78" s="135" t="str">
        <f t="shared" si="80"/>
        <v/>
      </c>
      <c r="BD78" s="120" t="str">
        <f t="shared" si="27"/>
        <v/>
      </c>
      <c r="BE78" s="133">
        <f t="shared" si="60"/>
        <v>0</v>
      </c>
      <c r="BF78" s="135" t="str">
        <f t="shared" si="61"/>
        <v/>
      </c>
      <c r="BG78" s="135" t="str">
        <f t="shared" si="62"/>
        <v/>
      </c>
      <c r="BH78" s="135" t="str">
        <f t="shared" si="63"/>
        <v/>
      </c>
      <c r="BI78" s="135" t="str">
        <f t="shared" si="64"/>
        <v/>
      </c>
      <c r="BJ78" s="135" t="str">
        <f t="shared" si="65"/>
        <v/>
      </c>
      <c r="BK78" s="135" t="str">
        <f t="shared" si="66"/>
        <v/>
      </c>
      <c r="BL78" s="135" t="str">
        <f t="shared" si="67"/>
        <v/>
      </c>
      <c r="BM78" s="135" t="str">
        <f t="shared" si="68"/>
        <v/>
      </c>
      <c r="BN78" s="135" t="str">
        <f t="shared" si="69"/>
        <v/>
      </c>
      <c r="BO78" s="135" t="str">
        <f t="shared" si="78"/>
        <v/>
      </c>
      <c r="BP78" s="135" t="str">
        <f t="shared" si="70"/>
        <v/>
      </c>
      <c r="BQ78" s="135" t="str">
        <f t="shared" si="71"/>
        <v/>
      </c>
      <c r="BR78" s="135" t="str">
        <f t="shared" si="41"/>
        <v/>
      </c>
      <c r="BS78" s="120" t="str">
        <f t="shared" si="56"/>
        <v/>
      </c>
      <c r="BT78" s="133">
        <f t="shared" si="72"/>
        <v>0</v>
      </c>
      <c r="BU78" s="135" t="str">
        <f t="shared" si="73"/>
        <v/>
      </c>
      <c r="BV78" s="135" t="str">
        <f t="shared" si="74"/>
        <v/>
      </c>
      <c r="BW78" s="135" t="str">
        <f t="shared" si="45"/>
        <v/>
      </c>
      <c r="BX78" s="135" t="str">
        <f t="shared" si="46"/>
        <v/>
      </c>
      <c r="BY78" s="135" t="str">
        <f t="shared" si="75"/>
        <v/>
      </c>
      <c r="BZ78" s="135" t="str">
        <f t="shared" si="48"/>
        <v/>
      </c>
      <c r="CA78" s="135" t="str">
        <f t="shared" si="49"/>
        <v/>
      </c>
      <c r="CB78" s="135" t="str">
        <f t="shared" si="76"/>
        <v/>
      </c>
      <c r="CC78" s="135" t="str">
        <f t="shared" si="51"/>
        <v/>
      </c>
      <c r="CD78" s="135" t="str">
        <f t="shared" si="52"/>
        <v/>
      </c>
      <c r="CE78" s="135" t="str">
        <f t="shared" si="53"/>
        <v/>
      </c>
      <c r="CF78" s="135" t="str">
        <f t="shared" si="54"/>
        <v/>
      </c>
      <c r="CG78" s="135" t="str">
        <f t="shared" si="55"/>
        <v/>
      </c>
    </row>
    <row r="79" spans="1:85" ht="13.5" customHeight="1">
      <c r="A79" s="19"/>
      <c r="B79" s="118">
        <f t="shared" si="57"/>
        <v>30</v>
      </c>
      <c r="C79" s="119" t="str">
        <f>IF('Chart Information'!D33="","",'Chart Information'!D33)</f>
        <v/>
      </c>
      <c r="D79" s="120" t="str">
        <f>IF('Chart Information'!E33="","",'Chart Information'!E33)</f>
        <v/>
      </c>
      <c r="E79" s="120" t="str">
        <f>IF('Chart Information'!M33="","",'Chart Information'!M33)</f>
        <v/>
      </c>
      <c r="F79" s="120" t="str">
        <f>IF('Chart Information'!P33="","",'Chart Information'!P33)</f>
        <v/>
      </c>
      <c r="G79" s="120" t="str">
        <f>IF('Chart Information'!F33="","",'Chart Information'!F33)</f>
        <v/>
      </c>
      <c r="H79" s="120" t="str">
        <f>IF('Chart Information'!O33="","",'Chart Information'!O33)</f>
        <v/>
      </c>
      <c r="I79" s="120" t="str">
        <f t="shared" si="8"/>
        <v/>
      </c>
      <c r="J79" s="120" t="str">
        <f t="shared" si="83"/>
        <v/>
      </c>
      <c r="K79" s="141"/>
      <c r="L79" s="142"/>
      <c r="M79" s="142"/>
      <c r="N79" s="146"/>
      <c r="O79" s="143"/>
      <c r="P79" s="142"/>
      <c r="Q79" s="142"/>
      <c r="R79" s="142"/>
      <c r="S79" s="142"/>
      <c r="T79" s="142"/>
      <c r="U79" s="142"/>
      <c r="V79" s="142"/>
      <c r="W79" s="142">
        <f t="shared" si="10"/>
        <v>2</v>
      </c>
      <c r="X79" s="143"/>
      <c r="Y79" s="142"/>
      <c r="Z79" s="145"/>
      <c r="AA79" s="115" t="e">
        <f t="shared" si="11"/>
        <v>#VALUE!</v>
      </c>
      <c r="AB79" s="186">
        <f t="shared" si="12"/>
        <v>1</v>
      </c>
      <c r="AC79" s="43">
        <f t="shared" si="81"/>
        <v>42.3</v>
      </c>
      <c r="AD79" s="43">
        <f t="shared" si="82"/>
        <v>87.7</v>
      </c>
      <c r="AF79" s="17" t="s">
        <v>378</v>
      </c>
      <c r="AG79" s="47">
        <v>-35.722100999999995</v>
      </c>
      <c r="AP79" s="133">
        <f t="shared" si="13"/>
        <v>0</v>
      </c>
      <c r="AQ79" s="135" t="str">
        <f t="shared" si="14"/>
        <v/>
      </c>
      <c r="AR79" s="135" t="str">
        <f t="shared" si="15"/>
        <v/>
      </c>
      <c r="AS79" s="135" t="str">
        <f t="shared" si="16"/>
        <v/>
      </c>
      <c r="AT79" s="135" t="str">
        <f t="shared" si="17"/>
        <v/>
      </c>
      <c r="AU79" s="135" t="str">
        <f t="shared" si="18"/>
        <v/>
      </c>
      <c r="AV79" s="135" t="str">
        <f t="shared" si="19"/>
        <v/>
      </c>
      <c r="AW79" s="135" t="str">
        <f t="shared" si="20"/>
        <v/>
      </c>
      <c r="AX79" s="135" t="str">
        <f t="shared" si="58"/>
        <v/>
      </c>
      <c r="AY79" s="135" t="str">
        <f t="shared" si="59"/>
        <v/>
      </c>
      <c r="AZ79" s="135" t="str">
        <f t="shared" si="79"/>
        <v/>
      </c>
      <c r="BA79" s="135" t="str">
        <f t="shared" si="24"/>
        <v/>
      </c>
      <c r="BB79" s="135" t="str">
        <f t="shared" si="25"/>
        <v/>
      </c>
      <c r="BC79" s="135" t="str">
        <f t="shared" si="80"/>
        <v/>
      </c>
      <c r="BD79" s="120" t="str">
        <f t="shared" si="27"/>
        <v/>
      </c>
      <c r="BE79" s="133">
        <f t="shared" si="60"/>
        <v>0</v>
      </c>
      <c r="BF79" s="135" t="str">
        <f t="shared" si="61"/>
        <v/>
      </c>
      <c r="BG79" s="135" t="str">
        <f t="shared" si="62"/>
        <v/>
      </c>
      <c r="BH79" s="135" t="str">
        <f t="shared" si="63"/>
        <v/>
      </c>
      <c r="BI79" s="135" t="str">
        <f t="shared" si="64"/>
        <v/>
      </c>
      <c r="BJ79" s="135" t="str">
        <f t="shared" si="65"/>
        <v/>
      </c>
      <c r="BK79" s="135" t="str">
        <f t="shared" si="66"/>
        <v/>
      </c>
      <c r="BL79" s="135" t="str">
        <f t="shared" si="67"/>
        <v/>
      </c>
      <c r="BM79" s="135" t="str">
        <f t="shared" si="68"/>
        <v/>
      </c>
      <c r="BN79" s="135" t="str">
        <f t="shared" si="69"/>
        <v/>
      </c>
      <c r="BO79" s="135" t="str">
        <f t="shared" si="78"/>
        <v/>
      </c>
      <c r="BP79" s="135" t="str">
        <f t="shared" si="70"/>
        <v/>
      </c>
      <c r="BQ79" s="135" t="str">
        <f t="shared" si="71"/>
        <v/>
      </c>
      <c r="BR79" s="135" t="str">
        <f t="shared" si="41"/>
        <v/>
      </c>
      <c r="BS79" s="120" t="str">
        <f t="shared" si="56"/>
        <v/>
      </c>
      <c r="BT79" s="133">
        <f t="shared" si="72"/>
        <v>0</v>
      </c>
      <c r="BU79" s="135" t="str">
        <f t="shared" si="73"/>
        <v/>
      </c>
      <c r="BV79" s="135" t="str">
        <f t="shared" si="74"/>
        <v/>
      </c>
      <c r="BW79" s="135" t="str">
        <f t="shared" si="45"/>
        <v/>
      </c>
      <c r="BX79" s="135" t="str">
        <f t="shared" si="46"/>
        <v/>
      </c>
      <c r="BY79" s="135" t="str">
        <f t="shared" si="75"/>
        <v/>
      </c>
      <c r="BZ79" s="135" t="str">
        <f t="shared" si="48"/>
        <v/>
      </c>
      <c r="CA79" s="135" t="str">
        <f t="shared" si="49"/>
        <v/>
      </c>
      <c r="CB79" s="135" t="str">
        <f t="shared" si="76"/>
        <v/>
      </c>
      <c r="CC79" s="135" t="str">
        <f t="shared" si="51"/>
        <v/>
      </c>
      <c r="CD79" s="135" t="str">
        <f t="shared" si="52"/>
        <v/>
      </c>
      <c r="CE79" s="135" t="str">
        <f t="shared" si="53"/>
        <v/>
      </c>
      <c r="CF79" s="135" t="str">
        <f t="shared" si="54"/>
        <v/>
      </c>
      <c r="CG79" s="135" t="str">
        <f t="shared" si="55"/>
        <v/>
      </c>
    </row>
    <row r="80" spans="1:85" ht="13.5" hidden="1" customHeight="1">
      <c r="A80" s="19"/>
      <c r="B80" s="118">
        <f t="shared" si="57"/>
        <v>31</v>
      </c>
      <c r="C80" s="119" t="str">
        <f>IF('Chart Information'!D34="","",'Chart Information'!D34)</f>
        <v/>
      </c>
      <c r="D80" s="120" t="str">
        <f>IF('Chart Information'!E34="","",'Chart Information'!E34)</f>
        <v/>
      </c>
      <c r="E80" s="120" t="str">
        <f>IF('Chart Information'!M34="","",'Chart Information'!M34)</f>
        <v/>
      </c>
      <c r="F80" s="120" t="str">
        <f>IF('Chart Information'!P34="","",'Chart Information'!P34)</f>
        <v/>
      </c>
      <c r="G80" s="120" t="str">
        <f>IF('Chart Information'!F34="","",'Chart Information'!F34)</f>
        <v/>
      </c>
      <c r="H80" s="120" t="str">
        <f>IF('Chart Information'!O34="","",'Chart Information'!O34)</f>
        <v/>
      </c>
      <c r="I80" s="120" t="str">
        <f t="shared" si="8"/>
        <v/>
      </c>
      <c r="J80" s="120" t="str">
        <f t="shared" si="83"/>
        <v/>
      </c>
      <c r="K80" s="141"/>
      <c r="L80" s="142"/>
      <c r="M80" s="142"/>
      <c r="N80" s="146"/>
      <c r="O80" s="143"/>
      <c r="P80" s="142"/>
      <c r="Q80" s="142"/>
      <c r="R80" s="142"/>
      <c r="S80" s="142"/>
      <c r="T80" s="142"/>
      <c r="U80" s="142"/>
      <c r="V80" s="142"/>
      <c r="W80" s="142">
        <f t="shared" si="10"/>
        <v>2</v>
      </c>
      <c r="X80" s="143"/>
      <c r="Y80" s="142"/>
      <c r="Z80" s="145"/>
      <c r="AA80" s="115" t="e">
        <f t="shared" si="11"/>
        <v>#VALUE!</v>
      </c>
      <c r="AB80" s="186">
        <f t="shared" si="12"/>
        <v>1</v>
      </c>
      <c r="AC80" s="43">
        <f t="shared" si="81"/>
        <v>42.2</v>
      </c>
      <c r="AD80" s="43">
        <f t="shared" si="82"/>
        <v>87.8</v>
      </c>
      <c r="AF80" s="17" t="s">
        <v>78</v>
      </c>
      <c r="AG80" s="47">
        <v>0.17027976305682227</v>
      </c>
      <c r="AP80" s="133">
        <f t="shared" si="13"/>
        <v>0</v>
      </c>
      <c r="AQ80" s="135" t="str">
        <f t="shared" si="14"/>
        <v/>
      </c>
      <c r="AR80" s="135" t="str">
        <f t="shared" si="15"/>
        <v/>
      </c>
      <c r="AS80" s="135" t="str">
        <f t="shared" si="16"/>
        <v/>
      </c>
      <c r="AT80" s="135" t="str">
        <f t="shared" si="17"/>
        <v/>
      </c>
      <c r="AU80" s="135" t="str">
        <f t="shared" si="18"/>
        <v/>
      </c>
      <c r="AV80" s="135" t="str">
        <f t="shared" si="19"/>
        <v/>
      </c>
      <c r="AW80" s="135" t="str">
        <f t="shared" si="20"/>
        <v/>
      </c>
      <c r="AX80" s="135" t="str">
        <f t="shared" si="58"/>
        <v/>
      </c>
      <c r="AY80" s="135" t="str">
        <f t="shared" si="59"/>
        <v/>
      </c>
      <c r="AZ80" s="135" t="str">
        <f t="shared" si="79"/>
        <v/>
      </c>
      <c r="BA80" s="135" t="str">
        <f t="shared" si="24"/>
        <v/>
      </c>
      <c r="BB80" s="135" t="str">
        <f t="shared" si="25"/>
        <v/>
      </c>
      <c r="BC80" s="135" t="str">
        <f t="shared" si="80"/>
        <v/>
      </c>
      <c r="BD80" s="120" t="str">
        <f t="shared" si="27"/>
        <v/>
      </c>
      <c r="BE80" s="133">
        <f t="shared" si="60"/>
        <v>0</v>
      </c>
      <c r="BF80" s="135" t="str">
        <f t="shared" si="61"/>
        <v/>
      </c>
      <c r="BG80" s="135" t="str">
        <f t="shared" si="62"/>
        <v/>
      </c>
      <c r="BH80" s="135" t="str">
        <f t="shared" si="63"/>
        <v/>
      </c>
      <c r="BI80" s="135" t="str">
        <f t="shared" si="64"/>
        <v/>
      </c>
      <c r="BJ80" s="135" t="str">
        <f t="shared" si="65"/>
        <v/>
      </c>
      <c r="BK80" s="135" t="str">
        <f t="shared" si="66"/>
        <v/>
      </c>
      <c r="BL80" s="135" t="str">
        <f t="shared" si="67"/>
        <v/>
      </c>
      <c r="BM80" s="135" t="str">
        <f t="shared" si="68"/>
        <v/>
      </c>
      <c r="BN80" s="135" t="str">
        <f t="shared" si="69"/>
        <v/>
      </c>
      <c r="BO80" s="135" t="str">
        <f t="shared" si="78"/>
        <v/>
      </c>
      <c r="BP80" s="135" t="str">
        <f t="shared" si="70"/>
        <v/>
      </c>
      <c r="BQ80" s="135" t="str">
        <f t="shared" si="71"/>
        <v/>
      </c>
      <c r="BR80" s="135" t="str">
        <f t="shared" si="41"/>
        <v/>
      </c>
      <c r="BS80" s="120" t="str">
        <f t="shared" si="56"/>
        <v/>
      </c>
      <c r="BT80" s="133">
        <f t="shared" si="72"/>
        <v>0</v>
      </c>
      <c r="BU80" s="135" t="str">
        <f t="shared" si="73"/>
        <v/>
      </c>
      <c r="BV80" s="135" t="str">
        <f t="shared" si="74"/>
        <v/>
      </c>
      <c r="BW80" s="135" t="str">
        <f t="shared" si="45"/>
        <v/>
      </c>
      <c r="BX80" s="135" t="str">
        <f t="shared" si="46"/>
        <v/>
      </c>
      <c r="BY80" s="135" t="str">
        <f t="shared" si="75"/>
        <v/>
      </c>
      <c r="BZ80" s="135" t="str">
        <f t="shared" si="48"/>
        <v/>
      </c>
      <c r="CA80" s="135" t="str">
        <f t="shared" si="49"/>
        <v/>
      </c>
      <c r="CB80" s="135" t="str">
        <f t="shared" si="76"/>
        <v/>
      </c>
      <c r="CC80" s="135" t="str">
        <f t="shared" si="51"/>
        <v/>
      </c>
      <c r="CD80" s="135" t="str">
        <f t="shared" si="52"/>
        <v/>
      </c>
      <c r="CE80" s="135" t="str">
        <f t="shared" si="53"/>
        <v/>
      </c>
      <c r="CF80" s="135" t="str">
        <f t="shared" si="54"/>
        <v/>
      </c>
      <c r="CG80" s="135" t="str">
        <f t="shared" si="55"/>
        <v/>
      </c>
    </row>
    <row r="81" spans="1:85" ht="13.5" hidden="1" customHeight="1">
      <c r="A81" s="19"/>
      <c r="B81" s="118">
        <f t="shared" si="57"/>
        <v>32</v>
      </c>
      <c r="C81" s="119" t="str">
        <f>IF('Chart Information'!D35="","",'Chart Information'!D35)</f>
        <v/>
      </c>
      <c r="D81" s="120" t="str">
        <f>IF('Chart Information'!E35="","",'Chart Information'!E35)</f>
        <v/>
      </c>
      <c r="E81" s="120" t="str">
        <f>IF('Chart Information'!M35="","",'Chart Information'!M35)</f>
        <v/>
      </c>
      <c r="F81" s="120" t="str">
        <f>IF('Chart Information'!P35="","",'Chart Information'!P35)</f>
        <v/>
      </c>
      <c r="G81" s="120" t="str">
        <f>IF('Chart Information'!F35="","",'Chart Information'!F35)</f>
        <v/>
      </c>
      <c r="H81" s="120" t="str">
        <f>IF('Chart Information'!O35="","",'Chart Information'!O35)</f>
        <v/>
      </c>
      <c r="I81" s="120" t="str">
        <f t="shared" si="8"/>
        <v/>
      </c>
      <c r="J81" s="120" t="str">
        <f t="shared" si="83"/>
        <v/>
      </c>
      <c r="K81" s="141"/>
      <c r="L81" s="142"/>
      <c r="M81" s="142"/>
      <c r="N81" s="146"/>
      <c r="O81" s="143"/>
      <c r="P81" s="142"/>
      <c r="Q81" s="142"/>
      <c r="R81" s="142"/>
      <c r="S81" s="142"/>
      <c r="T81" s="142"/>
      <c r="U81" s="142"/>
      <c r="V81" s="142"/>
      <c r="W81" s="142">
        <f t="shared" si="10"/>
        <v>2</v>
      </c>
      <c r="X81" s="143"/>
      <c r="Y81" s="142"/>
      <c r="Z81" s="145"/>
      <c r="AA81" s="115" t="e">
        <f t="shared" si="11"/>
        <v>#VALUE!</v>
      </c>
      <c r="AB81" s="186">
        <f t="shared" si="12"/>
        <v>1</v>
      </c>
      <c r="AC81" s="43">
        <f t="shared" si="81"/>
        <v>42.1</v>
      </c>
      <c r="AD81" s="43">
        <f t="shared" si="82"/>
        <v>87.9</v>
      </c>
      <c r="AF81" s="17" t="s">
        <v>79</v>
      </c>
      <c r="AG81" s="47">
        <v>0.34055952611364454</v>
      </c>
      <c r="AP81" s="133">
        <f t="shared" si="13"/>
        <v>0</v>
      </c>
      <c r="AQ81" s="135" t="str">
        <f t="shared" si="14"/>
        <v/>
      </c>
      <c r="AR81" s="135" t="str">
        <f t="shared" si="15"/>
        <v/>
      </c>
      <c r="AS81" s="135" t="str">
        <f t="shared" si="16"/>
        <v/>
      </c>
      <c r="AT81" s="135" t="str">
        <f t="shared" si="17"/>
        <v/>
      </c>
      <c r="AU81" s="135" t="str">
        <f t="shared" si="18"/>
        <v/>
      </c>
      <c r="AV81" s="135" t="str">
        <f t="shared" si="19"/>
        <v/>
      </c>
      <c r="AW81" s="135" t="str">
        <f t="shared" si="20"/>
        <v/>
      </c>
      <c r="AX81" s="135" t="str">
        <f t="shared" si="58"/>
        <v/>
      </c>
      <c r="AY81" s="135" t="str">
        <f t="shared" si="59"/>
        <v/>
      </c>
      <c r="AZ81" s="135" t="str">
        <f t="shared" si="79"/>
        <v/>
      </c>
      <c r="BA81" s="135" t="str">
        <f t="shared" si="24"/>
        <v/>
      </c>
      <c r="BB81" s="135" t="str">
        <f t="shared" si="25"/>
        <v/>
      </c>
      <c r="BC81" s="135" t="str">
        <f t="shared" si="80"/>
        <v/>
      </c>
      <c r="BD81" s="120" t="str">
        <f t="shared" si="27"/>
        <v/>
      </c>
      <c r="BE81" s="133">
        <f t="shared" si="60"/>
        <v>0</v>
      </c>
      <c r="BF81" s="135" t="str">
        <f t="shared" si="61"/>
        <v/>
      </c>
      <c r="BG81" s="135" t="str">
        <f t="shared" si="62"/>
        <v/>
      </c>
      <c r="BH81" s="135" t="str">
        <f t="shared" si="63"/>
        <v/>
      </c>
      <c r="BI81" s="135" t="str">
        <f t="shared" si="64"/>
        <v/>
      </c>
      <c r="BJ81" s="135" t="str">
        <f t="shared" si="65"/>
        <v/>
      </c>
      <c r="BK81" s="135" t="str">
        <f t="shared" si="66"/>
        <v/>
      </c>
      <c r="BL81" s="135" t="str">
        <f t="shared" si="67"/>
        <v/>
      </c>
      <c r="BM81" s="135" t="str">
        <f t="shared" si="68"/>
        <v/>
      </c>
      <c r="BN81" s="135" t="str">
        <f t="shared" si="69"/>
        <v/>
      </c>
      <c r="BO81" s="135" t="str">
        <f t="shared" si="78"/>
        <v/>
      </c>
      <c r="BP81" s="135" t="str">
        <f t="shared" si="70"/>
        <v/>
      </c>
      <c r="BQ81" s="135" t="str">
        <f t="shared" si="71"/>
        <v/>
      </c>
      <c r="BR81" s="135" t="str">
        <f t="shared" si="41"/>
        <v/>
      </c>
      <c r="BS81" s="120" t="str">
        <f t="shared" si="56"/>
        <v/>
      </c>
      <c r="BT81" s="133">
        <f t="shared" si="72"/>
        <v>0</v>
      </c>
      <c r="BU81" s="135" t="str">
        <f t="shared" si="73"/>
        <v/>
      </c>
      <c r="BV81" s="135" t="str">
        <f t="shared" si="74"/>
        <v/>
      </c>
      <c r="BW81" s="135" t="str">
        <f t="shared" si="45"/>
        <v/>
      </c>
      <c r="BX81" s="135" t="str">
        <f t="shared" si="46"/>
        <v/>
      </c>
      <c r="BY81" s="135" t="str">
        <f t="shared" si="75"/>
        <v/>
      </c>
      <c r="BZ81" s="135" t="str">
        <f t="shared" si="48"/>
        <v/>
      </c>
      <c r="CA81" s="135" t="str">
        <f t="shared" si="49"/>
        <v/>
      </c>
      <c r="CB81" s="135" t="str">
        <f t="shared" si="76"/>
        <v/>
      </c>
      <c r="CC81" s="135" t="str">
        <f t="shared" si="51"/>
        <v/>
      </c>
      <c r="CD81" s="135" t="str">
        <f t="shared" si="52"/>
        <v/>
      </c>
      <c r="CE81" s="135" t="str">
        <f t="shared" si="53"/>
        <v/>
      </c>
      <c r="CF81" s="135" t="str">
        <f t="shared" si="54"/>
        <v/>
      </c>
      <c r="CG81" s="135" t="str">
        <f t="shared" si="55"/>
        <v/>
      </c>
    </row>
    <row r="82" spans="1:85" ht="13.5" hidden="1" customHeight="1">
      <c r="A82" s="19"/>
      <c r="B82" s="118">
        <f t="shared" si="57"/>
        <v>33</v>
      </c>
      <c r="C82" s="119" t="str">
        <f>IF('Chart Information'!D36="","",'Chart Information'!D36)</f>
        <v/>
      </c>
      <c r="D82" s="120" t="str">
        <f>IF('Chart Information'!E36="","",'Chart Information'!E36)</f>
        <v/>
      </c>
      <c r="E82" s="120" t="str">
        <f>IF('Chart Information'!M36="","",'Chart Information'!M36)</f>
        <v/>
      </c>
      <c r="F82" s="120" t="str">
        <f>IF('Chart Information'!P36="","",'Chart Information'!P36)</f>
        <v/>
      </c>
      <c r="G82" s="120" t="str">
        <f>IF('Chart Information'!F36="","",'Chart Information'!F36)</f>
        <v/>
      </c>
      <c r="H82" s="120" t="str">
        <f>IF('Chart Information'!O36="","",'Chart Information'!O36)</f>
        <v/>
      </c>
      <c r="I82" s="120" t="str">
        <f t="shared" si="8"/>
        <v/>
      </c>
      <c r="J82" s="120" t="str">
        <f t="shared" si="83"/>
        <v/>
      </c>
      <c r="K82" s="141"/>
      <c r="L82" s="142"/>
      <c r="M82" s="142"/>
      <c r="N82" s="146"/>
      <c r="O82" s="143"/>
      <c r="P82" s="142"/>
      <c r="Q82" s="142"/>
      <c r="R82" s="142"/>
      <c r="S82" s="142"/>
      <c r="T82" s="142"/>
      <c r="U82" s="142"/>
      <c r="V82" s="142"/>
      <c r="W82" s="142">
        <f t="shared" si="10"/>
        <v>2</v>
      </c>
      <c r="X82" s="143"/>
      <c r="Y82" s="142"/>
      <c r="Z82" s="145"/>
      <c r="AA82" s="115" t="e">
        <f t="shared" si="11"/>
        <v>#VALUE!</v>
      </c>
      <c r="AB82" s="186">
        <f t="shared" si="12"/>
        <v>1</v>
      </c>
      <c r="AC82" s="43">
        <f t="shared" si="81"/>
        <v>42</v>
      </c>
      <c r="AD82" s="43">
        <f t="shared" si="82"/>
        <v>88</v>
      </c>
      <c r="AF82" s="17" t="s">
        <v>80</v>
      </c>
      <c r="AG82" s="47">
        <v>0.51083928917046684</v>
      </c>
      <c r="AP82" s="133">
        <f t="shared" si="13"/>
        <v>0</v>
      </c>
      <c r="AQ82" s="135" t="str">
        <f t="shared" si="14"/>
        <v/>
      </c>
      <c r="AR82" s="135" t="str">
        <f t="shared" si="15"/>
        <v/>
      </c>
      <c r="AS82" s="135" t="str">
        <f t="shared" si="16"/>
        <v/>
      </c>
      <c r="AT82" s="135" t="str">
        <f t="shared" si="17"/>
        <v/>
      </c>
      <c r="AU82" s="135" t="str">
        <f t="shared" si="18"/>
        <v/>
      </c>
      <c r="AV82" s="135" t="str">
        <f t="shared" si="19"/>
        <v/>
      </c>
      <c r="AW82" s="135" t="str">
        <f t="shared" si="20"/>
        <v/>
      </c>
      <c r="AX82" s="135" t="str">
        <f t="shared" si="58"/>
        <v/>
      </c>
      <c r="AY82" s="135" t="str">
        <f t="shared" si="59"/>
        <v/>
      </c>
      <c r="AZ82" s="135" t="str">
        <f t="shared" si="79"/>
        <v/>
      </c>
      <c r="BA82" s="135" t="str">
        <f t="shared" si="24"/>
        <v/>
      </c>
      <c r="BB82" s="135" t="str">
        <f t="shared" si="25"/>
        <v/>
      </c>
      <c r="BC82" s="135" t="str">
        <f t="shared" si="80"/>
        <v/>
      </c>
      <c r="BD82" s="120" t="str">
        <f t="shared" si="27"/>
        <v/>
      </c>
      <c r="BE82" s="133">
        <f t="shared" si="60"/>
        <v>0</v>
      </c>
      <c r="BF82" s="135" t="str">
        <f t="shared" si="61"/>
        <v/>
      </c>
      <c r="BG82" s="135" t="str">
        <f t="shared" si="62"/>
        <v/>
      </c>
      <c r="BH82" s="135" t="str">
        <f t="shared" si="63"/>
        <v/>
      </c>
      <c r="BI82" s="135" t="str">
        <f t="shared" si="64"/>
        <v/>
      </c>
      <c r="BJ82" s="135" t="str">
        <f t="shared" si="65"/>
        <v/>
      </c>
      <c r="BK82" s="135" t="str">
        <f t="shared" si="66"/>
        <v/>
      </c>
      <c r="BL82" s="135" t="str">
        <f t="shared" si="67"/>
        <v/>
      </c>
      <c r="BM82" s="135" t="str">
        <f t="shared" si="68"/>
        <v/>
      </c>
      <c r="BN82" s="135" t="str">
        <f t="shared" si="69"/>
        <v/>
      </c>
      <c r="BO82" s="135" t="str">
        <f t="shared" si="78"/>
        <v/>
      </c>
      <c r="BP82" s="135" t="str">
        <f t="shared" si="70"/>
        <v/>
      </c>
      <c r="BQ82" s="135" t="str">
        <f t="shared" si="71"/>
        <v/>
      </c>
      <c r="BR82" s="135" t="str">
        <f t="shared" si="41"/>
        <v/>
      </c>
      <c r="BS82" s="120" t="str">
        <f t="shared" si="56"/>
        <v/>
      </c>
      <c r="BT82" s="133">
        <f t="shared" si="72"/>
        <v>0</v>
      </c>
      <c r="BU82" s="135" t="str">
        <f t="shared" si="73"/>
        <v/>
      </c>
      <c r="BV82" s="135" t="str">
        <f t="shared" si="74"/>
        <v/>
      </c>
      <c r="BW82" s="135" t="str">
        <f t="shared" si="45"/>
        <v/>
      </c>
      <c r="BX82" s="135" t="str">
        <f t="shared" si="46"/>
        <v/>
      </c>
      <c r="BY82" s="135" t="str">
        <f t="shared" si="75"/>
        <v/>
      </c>
      <c r="BZ82" s="135" t="str">
        <f t="shared" si="48"/>
        <v/>
      </c>
      <c r="CA82" s="135" t="str">
        <f t="shared" si="49"/>
        <v/>
      </c>
      <c r="CB82" s="135" t="str">
        <f t="shared" si="76"/>
        <v/>
      </c>
      <c r="CC82" s="135" t="str">
        <f t="shared" si="51"/>
        <v/>
      </c>
      <c r="CD82" s="135" t="str">
        <f t="shared" si="52"/>
        <v/>
      </c>
      <c r="CE82" s="135" t="str">
        <f t="shared" si="53"/>
        <v/>
      </c>
      <c r="CF82" s="135" t="str">
        <f t="shared" si="54"/>
        <v/>
      </c>
      <c r="CG82" s="135" t="str">
        <f t="shared" si="55"/>
        <v/>
      </c>
    </row>
    <row r="83" spans="1:85" ht="13.5" hidden="1" customHeight="1">
      <c r="A83" s="19"/>
      <c r="B83" s="118">
        <f t="shared" si="57"/>
        <v>34</v>
      </c>
      <c r="C83" s="119" t="str">
        <f>IF('Chart Information'!D37="","",'Chart Information'!D37)</f>
        <v/>
      </c>
      <c r="D83" s="120" t="str">
        <f>IF('Chart Information'!E37="","",'Chart Information'!E37)</f>
        <v/>
      </c>
      <c r="E83" s="120" t="str">
        <f>IF('Chart Information'!M37="","",'Chart Information'!M37)</f>
        <v/>
      </c>
      <c r="F83" s="120" t="str">
        <f>IF('Chart Information'!P37="","",'Chart Information'!P37)</f>
        <v/>
      </c>
      <c r="G83" s="120" t="str">
        <f>IF('Chart Information'!F37="","",'Chart Information'!F37)</f>
        <v/>
      </c>
      <c r="H83" s="120" t="str">
        <f>IF('Chart Information'!O37="","",'Chart Information'!O37)</f>
        <v/>
      </c>
      <c r="I83" s="120" t="str">
        <f t="shared" si="8"/>
        <v/>
      </c>
      <c r="J83" s="120" t="str">
        <f t="shared" si="83"/>
        <v/>
      </c>
      <c r="K83" s="141"/>
      <c r="L83" s="142"/>
      <c r="M83" s="142"/>
      <c r="N83" s="146"/>
      <c r="O83" s="143"/>
      <c r="P83" s="142"/>
      <c r="Q83" s="142"/>
      <c r="R83" s="142"/>
      <c r="S83" s="142"/>
      <c r="T83" s="142"/>
      <c r="U83" s="142"/>
      <c r="V83" s="142"/>
      <c r="W83" s="142">
        <f t="shared" si="10"/>
        <v>2</v>
      </c>
      <c r="X83" s="143"/>
      <c r="Y83" s="142"/>
      <c r="Z83" s="145"/>
      <c r="AA83" s="115" t="e">
        <f t="shared" si="11"/>
        <v>#VALUE!</v>
      </c>
      <c r="AB83" s="186">
        <f t="shared" si="12"/>
        <v>1</v>
      </c>
      <c r="AC83" s="43">
        <f t="shared" si="81"/>
        <v>41.9</v>
      </c>
      <c r="AD83" s="43">
        <f t="shared" si="82"/>
        <v>88.1</v>
      </c>
      <c r="AF83" s="17" t="s">
        <v>81</v>
      </c>
      <c r="AG83" s="47">
        <v>0.68111905222728908</v>
      </c>
      <c r="AP83" s="133">
        <f t="shared" si="13"/>
        <v>0</v>
      </c>
      <c r="AQ83" s="135" t="str">
        <f t="shared" si="14"/>
        <v/>
      </c>
      <c r="AR83" s="135" t="str">
        <f t="shared" si="15"/>
        <v/>
      </c>
      <c r="AS83" s="135" t="str">
        <f t="shared" si="16"/>
        <v/>
      </c>
      <c r="AT83" s="135" t="str">
        <f t="shared" si="17"/>
        <v/>
      </c>
      <c r="AU83" s="135" t="str">
        <f t="shared" si="18"/>
        <v/>
      </c>
      <c r="AV83" s="135" t="str">
        <f t="shared" si="19"/>
        <v/>
      </c>
      <c r="AW83" s="135" t="str">
        <f t="shared" si="20"/>
        <v/>
      </c>
      <c r="AX83" s="135" t="str">
        <f t="shared" si="58"/>
        <v/>
      </c>
      <c r="AY83" s="135" t="str">
        <f t="shared" si="59"/>
        <v/>
      </c>
      <c r="AZ83" s="135" t="str">
        <f t="shared" si="79"/>
        <v/>
      </c>
      <c r="BA83" s="135" t="str">
        <f t="shared" si="24"/>
        <v/>
      </c>
      <c r="BB83" s="135" t="str">
        <f t="shared" si="25"/>
        <v/>
      </c>
      <c r="BC83" s="135" t="str">
        <f t="shared" si="80"/>
        <v/>
      </c>
      <c r="BD83" s="120" t="str">
        <f t="shared" si="27"/>
        <v/>
      </c>
      <c r="BE83" s="133">
        <f t="shared" si="60"/>
        <v>0</v>
      </c>
      <c r="BF83" s="135" t="str">
        <f t="shared" si="61"/>
        <v/>
      </c>
      <c r="BG83" s="135" t="str">
        <f t="shared" si="62"/>
        <v/>
      </c>
      <c r="BH83" s="135" t="str">
        <f t="shared" si="63"/>
        <v/>
      </c>
      <c r="BI83" s="135" t="str">
        <f t="shared" si="64"/>
        <v/>
      </c>
      <c r="BJ83" s="135" t="str">
        <f t="shared" si="65"/>
        <v/>
      </c>
      <c r="BK83" s="135" t="str">
        <f t="shared" si="66"/>
        <v/>
      </c>
      <c r="BL83" s="135" t="str">
        <f t="shared" si="67"/>
        <v/>
      </c>
      <c r="BM83" s="135" t="str">
        <f t="shared" si="68"/>
        <v/>
      </c>
      <c r="BN83" s="135" t="str">
        <f t="shared" si="69"/>
        <v/>
      </c>
      <c r="BO83" s="135" t="str">
        <f t="shared" si="78"/>
        <v/>
      </c>
      <c r="BP83" s="135" t="str">
        <f t="shared" si="70"/>
        <v/>
      </c>
      <c r="BQ83" s="135" t="str">
        <f t="shared" si="71"/>
        <v/>
      </c>
      <c r="BR83" s="135" t="str">
        <f t="shared" si="41"/>
        <v/>
      </c>
      <c r="BS83" s="120" t="str">
        <f t="shared" si="56"/>
        <v/>
      </c>
      <c r="BT83" s="133">
        <f t="shared" si="72"/>
        <v>0</v>
      </c>
      <c r="BU83" s="135" t="str">
        <f t="shared" si="73"/>
        <v/>
      </c>
      <c r="BV83" s="135" t="str">
        <f t="shared" si="74"/>
        <v/>
      </c>
      <c r="BW83" s="135" t="str">
        <f t="shared" si="45"/>
        <v/>
      </c>
      <c r="BX83" s="135" t="str">
        <f t="shared" si="46"/>
        <v/>
      </c>
      <c r="BY83" s="135" t="str">
        <f t="shared" si="75"/>
        <v/>
      </c>
      <c r="BZ83" s="135" t="str">
        <f t="shared" si="48"/>
        <v/>
      </c>
      <c r="CA83" s="135" t="str">
        <f t="shared" si="49"/>
        <v/>
      </c>
      <c r="CB83" s="135" t="str">
        <f t="shared" si="76"/>
        <v/>
      </c>
      <c r="CC83" s="135" t="str">
        <f t="shared" si="51"/>
        <v/>
      </c>
      <c r="CD83" s="135" t="str">
        <f t="shared" si="52"/>
        <v/>
      </c>
      <c r="CE83" s="135" t="str">
        <f t="shared" si="53"/>
        <v/>
      </c>
      <c r="CF83" s="135" t="str">
        <f t="shared" si="54"/>
        <v/>
      </c>
      <c r="CG83" s="135" t="str">
        <f t="shared" si="55"/>
        <v/>
      </c>
    </row>
    <row r="84" spans="1:85" ht="13.5" hidden="1" customHeight="1">
      <c r="A84" s="19"/>
      <c r="B84" s="118">
        <f t="shared" si="57"/>
        <v>35</v>
      </c>
      <c r="C84" s="119" t="str">
        <f>IF('Chart Information'!D38="","",'Chart Information'!D38)</f>
        <v/>
      </c>
      <c r="D84" s="120" t="str">
        <f>IF('Chart Information'!E38="","",'Chart Information'!E38)</f>
        <v/>
      </c>
      <c r="E84" s="120" t="str">
        <f>IF('Chart Information'!M38="","",'Chart Information'!M38)</f>
        <v/>
      </c>
      <c r="F84" s="120" t="str">
        <f>IF('Chart Information'!P38="","",'Chart Information'!P38)</f>
        <v/>
      </c>
      <c r="G84" s="120" t="str">
        <f>IF('Chart Information'!F38="","",'Chart Information'!F38)</f>
        <v/>
      </c>
      <c r="H84" s="120" t="str">
        <f>IF('Chart Information'!O38="","",'Chart Information'!O38)</f>
        <v/>
      </c>
      <c r="I84" s="120" t="str">
        <f t="shared" si="8"/>
        <v/>
      </c>
      <c r="J84" s="120" t="str">
        <f t="shared" si="83"/>
        <v/>
      </c>
      <c r="K84" s="141"/>
      <c r="L84" s="142"/>
      <c r="M84" s="142"/>
      <c r="N84" s="146"/>
      <c r="O84" s="143"/>
      <c r="P84" s="142"/>
      <c r="Q84" s="142"/>
      <c r="R84" s="142"/>
      <c r="S84" s="142"/>
      <c r="T84" s="142"/>
      <c r="U84" s="142"/>
      <c r="V84" s="142"/>
      <c r="W84" s="142">
        <f t="shared" si="10"/>
        <v>2</v>
      </c>
      <c r="X84" s="143"/>
      <c r="Y84" s="142"/>
      <c r="Z84" s="145"/>
      <c r="AA84" s="115" t="e">
        <f t="shared" si="11"/>
        <v>#VALUE!</v>
      </c>
      <c r="AB84" s="186">
        <f t="shared" si="12"/>
        <v>1</v>
      </c>
      <c r="AC84" s="43">
        <f t="shared" si="81"/>
        <v>41.8</v>
      </c>
      <c r="AD84" s="43">
        <f t="shared" si="82"/>
        <v>88.2</v>
      </c>
      <c r="AF84" s="17" t="s">
        <v>82</v>
      </c>
      <c r="AG84" s="47">
        <v>0.85139881528411132</v>
      </c>
      <c r="AP84" s="133">
        <f t="shared" si="13"/>
        <v>0</v>
      </c>
      <c r="AQ84" s="135" t="str">
        <f t="shared" si="14"/>
        <v/>
      </c>
      <c r="AR84" s="135" t="str">
        <f t="shared" si="15"/>
        <v/>
      </c>
      <c r="AS84" s="135" t="str">
        <f t="shared" si="16"/>
        <v/>
      </c>
      <c r="AT84" s="135" t="str">
        <f t="shared" si="17"/>
        <v/>
      </c>
      <c r="AU84" s="135" t="str">
        <f t="shared" si="18"/>
        <v/>
      </c>
      <c r="AV84" s="135" t="str">
        <f t="shared" si="19"/>
        <v/>
      </c>
      <c r="AW84" s="135" t="str">
        <f t="shared" si="20"/>
        <v/>
      </c>
      <c r="AX84" s="135" t="str">
        <f t="shared" si="58"/>
        <v/>
      </c>
      <c r="AY84" s="135" t="str">
        <f t="shared" si="59"/>
        <v/>
      </c>
      <c r="AZ84" s="135" t="str">
        <f t="shared" si="79"/>
        <v/>
      </c>
      <c r="BA84" s="135" t="str">
        <f t="shared" si="24"/>
        <v/>
      </c>
      <c r="BB84" s="135" t="str">
        <f t="shared" si="25"/>
        <v/>
      </c>
      <c r="BC84" s="135" t="str">
        <f t="shared" si="80"/>
        <v/>
      </c>
      <c r="BD84" s="120" t="str">
        <f t="shared" si="27"/>
        <v/>
      </c>
      <c r="BE84" s="133">
        <f t="shared" si="60"/>
        <v>0</v>
      </c>
      <c r="BF84" s="135" t="str">
        <f t="shared" si="61"/>
        <v/>
      </c>
      <c r="BG84" s="135" t="str">
        <f t="shared" si="62"/>
        <v/>
      </c>
      <c r="BH84" s="135" t="str">
        <f t="shared" si="63"/>
        <v/>
      </c>
      <c r="BI84" s="135" t="str">
        <f t="shared" si="64"/>
        <v/>
      </c>
      <c r="BJ84" s="135" t="str">
        <f t="shared" si="65"/>
        <v/>
      </c>
      <c r="BK84" s="135" t="str">
        <f t="shared" si="66"/>
        <v/>
      </c>
      <c r="BL84" s="135" t="str">
        <f t="shared" si="67"/>
        <v/>
      </c>
      <c r="BM84" s="135" t="str">
        <f t="shared" si="68"/>
        <v/>
      </c>
      <c r="BN84" s="135" t="str">
        <f t="shared" si="69"/>
        <v/>
      </c>
      <c r="BO84" s="135" t="str">
        <f t="shared" si="78"/>
        <v/>
      </c>
      <c r="BP84" s="135" t="str">
        <f t="shared" si="70"/>
        <v/>
      </c>
      <c r="BQ84" s="135" t="str">
        <f t="shared" si="71"/>
        <v/>
      </c>
      <c r="BR84" s="135" t="str">
        <f t="shared" si="41"/>
        <v/>
      </c>
      <c r="BS84" s="120" t="str">
        <f t="shared" si="56"/>
        <v/>
      </c>
      <c r="BT84" s="133">
        <f t="shared" si="72"/>
        <v>0</v>
      </c>
      <c r="BU84" s="135" t="str">
        <f t="shared" si="73"/>
        <v/>
      </c>
      <c r="BV84" s="135" t="str">
        <f t="shared" si="74"/>
        <v/>
      </c>
      <c r="BW84" s="135" t="str">
        <f t="shared" si="45"/>
        <v/>
      </c>
      <c r="BX84" s="135" t="str">
        <f t="shared" si="46"/>
        <v/>
      </c>
      <c r="BY84" s="135" t="str">
        <f t="shared" si="75"/>
        <v/>
      </c>
      <c r="BZ84" s="135" t="str">
        <f t="shared" si="48"/>
        <v/>
      </c>
      <c r="CA84" s="135" t="str">
        <f t="shared" si="49"/>
        <v/>
      </c>
      <c r="CB84" s="135" t="str">
        <f t="shared" si="76"/>
        <v/>
      </c>
      <c r="CC84" s="135" t="str">
        <f t="shared" si="51"/>
        <v/>
      </c>
      <c r="CD84" s="135" t="str">
        <f t="shared" si="52"/>
        <v/>
      </c>
      <c r="CE84" s="135" t="str">
        <f t="shared" si="53"/>
        <v/>
      </c>
      <c r="CF84" s="135" t="str">
        <f t="shared" si="54"/>
        <v/>
      </c>
      <c r="CG84" s="135" t="str">
        <f t="shared" si="55"/>
        <v/>
      </c>
    </row>
    <row r="85" spans="1:85" ht="13.5" hidden="1" customHeight="1">
      <c r="A85" s="19"/>
      <c r="B85" s="118">
        <f t="shared" si="57"/>
        <v>36</v>
      </c>
      <c r="C85" s="119" t="str">
        <f>IF('Chart Information'!D39="","",'Chart Information'!D39)</f>
        <v/>
      </c>
      <c r="D85" s="120" t="str">
        <f>IF('Chart Information'!E39="","",'Chart Information'!E39)</f>
        <v/>
      </c>
      <c r="E85" s="120" t="str">
        <f>IF('Chart Information'!M39="","",'Chart Information'!M39)</f>
        <v/>
      </c>
      <c r="F85" s="120" t="str">
        <f>IF('Chart Information'!P39="","",'Chart Information'!P39)</f>
        <v/>
      </c>
      <c r="G85" s="120" t="str">
        <f>IF('Chart Information'!F39="","",'Chart Information'!F39)</f>
        <v/>
      </c>
      <c r="H85" s="120" t="str">
        <f>IF('Chart Information'!O39="","",'Chart Information'!O39)</f>
        <v/>
      </c>
      <c r="I85" s="120" t="str">
        <f t="shared" si="8"/>
        <v/>
      </c>
      <c r="J85" s="120" t="str">
        <f t="shared" si="83"/>
        <v/>
      </c>
      <c r="K85" s="141"/>
      <c r="L85" s="142"/>
      <c r="M85" s="142"/>
      <c r="N85" s="146"/>
      <c r="O85" s="143"/>
      <c r="P85" s="142"/>
      <c r="Q85" s="142"/>
      <c r="R85" s="142"/>
      <c r="S85" s="142"/>
      <c r="T85" s="142"/>
      <c r="U85" s="142"/>
      <c r="V85" s="142"/>
      <c r="W85" s="142">
        <f t="shared" si="10"/>
        <v>2</v>
      </c>
      <c r="X85" s="143"/>
      <c r="Y85" s="142"/>
      <c r="Z85" s="145"/>
      <c r="AA85" s="115" t="e">
        <f t="shared" si="11"/>
        <v>#VALUE!</v>
      </c>
      <c r="AB85" s="186">
        <f t="shared" si="12"/>
        <v>1</v>
      </c>
      <c r="AC85" s="43">
        <f t="shared" si="81"/>
        <v>41.7</v>
      </c>
      <c r="AD85" s="43">
        <f t="shared" si="82"/>
        <v>88.3</v>
      </c>
      <c r="AF85" s="17" t="s">
        <v>83</v>
      </c>
      <c r="AG85" s="47">
        <v>1.0216785783409337</v>
      </c>
      <c r="AP85" s="133">
        <f t="shared" si="13"/>
        <v>0</v>
      </c>
      <c r="AQ85" s="135" t="str">
        <f t="shared" si="14"/>
        <v/>
      </c>
      <c r="AR85" s="135" t="str">
        <f t="shared" si="15"/>
        <v/>
      </c>
      <c r="AS85" s="135" t="str">
        <f t="shared" si="16"/>
        <v/>
      </c>
      <c r="AT85" s="135" t="str">
        <f t="shared" si="17"/>
        <v/>
      </c>
      <c r="AU85" s="135" t="str">
        <f t="shared" si="18"/>
        <v/>
      </c>
      <c r="AV85" s="135" t="str">
        <f t="shared" si="19"/>
        <v/>
      </c>
      <c r="AW85" s="135" t="str">
        <f t="shared" si="20"/>
        <v/>
      </c>
      <c r="AX85" s="135" t="str">
        <f t="shared" si="58"/>
        <v/>
      </c>
      <c r="AY85" s="135" t="str">
        <f t="shared" si="59"/>
        <v/>
      </c>
      <c r="AZ85" s="135" t="str">
        <f t="shared" si="79"/>
        <v/>
      </c>
      <c r="BA85" s="135" t="str">
        <f t="shared" si="24"/>
        <v/>
      </c>
      <c r="BB85" s="135" t="str">
        <f t="shared" si="25"/>
        <v/>
      </c>
      <c r="BC85" s="135" t="str">
        <f t="shared" si="80"/>
        <v/>
      </c>
      <c r="BD85" s="120" t="str">
        <f t="shared" si="27"/>
        <v/>
      </c>
      <c r="BE85" s="133">
        <f t="shared" si="60"/>
        <v>0</v>
      </c>
      <c r="BF85" s="135" t="str">
        <f t="shared" si="61"/>
        <v/>
      </c>
      <c r="BG85" s="135" t="str">
        <f t="shared" si="62"/>
        <v/>
      </c>
      <c r="BH85" s="135" t="str">
        <f t="shared" si="63"/>
        <v/>
      </c>
      <c r="BI85" s="135" t="str">
        <f t="shared" si="64"/>
        <v/>
      </c>
      <c r="BJ85" s="135" t="str">
        <f t="shared" si="65"/>
        <v/>
      </c>
      <c r="BK85" s="135" t="str">
        <f t="shared" si="66"/>
        <v/>
      </c>
      <c r="BL85" s="135" t="str">
        <f t="shared" si="67"/>
        <v/>
      </c>
      <c r="BM85" s="135" t="str">
        <f t="shared" si="68"/>
        <v/>
      </c>
      <c r="BN85" s="135" t="str">
        <f t="shared" si="69"/>
        <v/>
      </c>
      <c r="BO85" s="135" t="str">
        <f t="shared" si="78"/>
        <v/>
      </c>
      <c r="BP85" s="135" t="str">
        <f t="shared" si="70"/>
        <v/>
      </c>
      <c r="BQ85" s="135" t="str">
        <f t="shared" si="71"/>
        <v/>
      </c>
      <c r="BR85" s="135" t="str">
        <f t="shared" si="41"/>
        <v/>
      </c>
      <c r="BS85" s="120" t="str">
        <f t="shared" si="56"/>
        <v/>
      </c>
      <c r="BT85" s="133">
        <f t="shared" si="72"/>
        <v>0</v>
      </c>
      <c r="BU85" s="135" t="str">
        <f t="shared" si="73"/>
        <v/>
      </c>
      <c r="BV85" s="135" t="str">
        <f t="shared" si="74"/>
        <v/>
      </c>
      <c r="BW85" s="135" t="str">
        <f t="shared" si="45"/>
        <v/>
      </c>
      <c r="BX85" s="135" t="str">
        <f t="shared" si="46"/>
        <v/>
      </c>
      <c r="BY85" s="135" t="str">
        <f t="shared" si="75"/>
        <v/>
      </c>
      <c r="BZ85" s="135" t="str">
        <f t="shared" si="48"/>
        <v/>
      </c>
      <c r="CA85" s="135" t="str">
        <f t="shared" si="49"/>
        <v/>
      </c>
      <c r="CB85" s="135" t="str">
        <f t="shared" si="76"/>
        <v/>
      </c>
      <c r="CC85" s="135" t="str">
        <f t="shared" si="51"/>
        <v/>
      </c>
      <c r="CD85" s="135" t="str">
        <f t="shared" si="52"/>
        <v/>
      </c>
      <c r="CE85" s="135" t="str">
        <f t="shared" si="53"/>
        <v/>
      </c>
      <c r="CF85" s="135" t="str">
        <f t="shared" si="54"/>
        <v/>
      </c>
      <c r="CG85" s="135" t="str">
        <f t="shared" si="55"/>
        <v/>
      </c>
    </row>
    <row r="86" spans="1:85" ht="13.5" hidden="1" customHeight="1">
      <c r="A86" s="19"/>
      <c r="B86" s="118">
        <f t="shared" si="57"/>
        <v>37</v>
      </c>
      <c r="C86" s="119" t="str">
        <f>IF('Chart Information'!D40="","",'Chart Information'!D40)</f>
        <v/>
      </c>
      <c r="D86" s="120" t="str">
        <f>IF('Chart Information'!E40="","",'Chart Information'!E40)</f>
        <v/>
      </c>
      <c r="E86" s="120" t="str">
        <f>IF('Chart Information'!M40="","",'Chart Information'!M40)</f>
        <v/>
      </c>
      <c r="F86" s="120" t="str">
        <f>IF('Chart Information'!P40="","",'Chart Information'!P40)</f>
        <v/>
      </c>
      <c r="G86" s="120" t="str">
        <f>IF('Chart Information'!F40="","",'Chart Information'!F40)</f>
        <v/>
      </c>
      <c r="H86" s="120" t="str">
        <f>IF('Chart Information'!O40="","",'Chart Information'!O40)</f>
        <v/>
      </c>
      <c r="I86" s="120" t="str">
        <f t="shared" si="8"/>
        <v/>
      </c>
      <c r="J86" s="120" t="str">
        <f t="shared" si="83"/>
        <v/>
      </c>
      <c r="K86" s="141"/>
      <c r="L86" s="142"/>
      <c r="M86" s="142"/>
      <c r="N86" s="146"/>
      <c r="O86" s="143"/>
      <c r="P86" s="142"/>
      <c r="Q86" s="142"/>
      <c r="R86" s="142"/>
      <c r="S86" s="142"/>
      <c r="T86" s="142"/>
      <c r="U86" s="142"/>
      <c r="V86" s="142"/>
      <c r="W86" s="142">
        <f t="shared" si="10"/>
        <v>2</v>
      </c>
      <c r="X86" s="143"/>
      <c r="Y86" s="142"/>
      <c r="Z86" s="145"/>
      <c r="AA86" s="115" t="e">
        <f t="shared" si="11"/>
        <v>#VALUE!</v>
      </c>
      <c r="AB86" s="186">
        <f t="shared" si="12"/>
        <v>1</v>
      </c>
      <c r="AC86" s="43">
        <f t="shared" si="81"/>
        <v>41.6</v>
      </c>
      <c r="AD86" s="43">
        <f t="shared" si="82"/>
        <v>88.4</v>
      </c>
      <c r="AF86" s="17" t="s">
        <v>379</v>
      </c>
      <c r="AG86" s="47">
        <v>1.1919583413977559</v>
      </c>
      <c r="AP86" s="133">
        <f t="shared" si="13"/>
        <v>0</v>
      </c>
      <c r="AQ86" s="135" t="str">
        <f t="shared" si="14"/>
        <v/>
      </c>
      <c r="AR86" s="135" t="str">
        <f t="shared" si="15"/>
        <v/>
      </c>
      <c r="AS86" s="135" t="str">
        <f t="shared" si="16"/>
        <v/>
      </c>
      <c r="AT86" s="135" t="str">
        <f t="shared" si="17"/>
        <v/>
      </c>
      <c r="AU86" s="135" t="str">
        <f t="shared" si="18"/>
        <v/>
      </c>
      <c r="AV86" s="135" t="str">
        <f t="shared" si="19"/>
        <v/>
      </c>
      <c r="AW86" s="135" t="str">
        <f t="shared" si="20"/>
        <v/>
      </c>
      <c r="AX86" s="135" t="str">
        <f t="shared" si="58"/>
        <v/>
      </c>
      <c r="AY86" s="135" t="str">
        <f t="shared" si="59"/>
        <v/>
      </c>
      <c r="AZ86" s="135" t="str">
        <f t="shared" si="79"/>
        <v/>
      </c>
      <c r="BA86" s="135" t="str">
        <f t="shared" si="24"/>
        <v/>
      </c>
      <c r="BB86" s="135" t="str">
        <f t="shared" si="25"/>
        <v/>
      </c>
      <c r="BC86" s="135" t="str">
        <f t="shared" si="80"/>
        <v/>
      </c>
      <c r="BD86" s="120" t="str">
        <f t="shared" si="27"/>
        <v/>
      </c>
      <c r="BE86" s="133">
        <f t="shared" si="60"/>
        <v>0</v>
      </c>
      <c r="BF86" s="135" t="str">
        <f t="shared" si="61"/>
        <v/>
      </c>
      <c r="BG86" s="135" t="str">
        <f t="shared" si="62"/>
        <v/>
      </c>
      <c r="BH86" s="135" t="str">
        <f t="shared" si="63"/>
        <v/>
      </c>
      <c r="BI86" s="135" t="str">
        <f t="shared" si="64"/>
        <v/>
      </c>
      <c r="BJ86" s="135" t="str">
        <f t="shared" si="65"/>
        <v/>
      </c>
      <c r="BK86" s="135" t="str">
        <f t="shared" si="66"/>
        <v/>
      </c>
      <c r="BL86" s="135" t="str">
        <f t="shared" si="67"/>
        <v/>
      </c>
      <c r="BM86" s="135" t="str">
        <f t="shared" si="68"/>
        <v/>
      </c>
      <c r="BN86" s="135" t="str">
        <f t="shared" si="69"/>
        <v/>
      </c>
      <c r="BO86" s="135" t="str">
        <f t="shared" si="78"/>
        <v/>
      </c>
      <c r="BP86" s="135" t="str">
        <f t="shared" si="70"/>
        <v/>
      </c>
      <c r="BQ86" s="135" t="str">
        <f t="shared" si="71"/>
        <v/>
      </c>
      <c r="BR86" s="135" t="str">
        <f t="shared" si="41"/>
        <v/>
      </c>
      <c r="BS86" s="120" t="str">
        <f t="shared" si="56"/>
        <v/>
      </c>
      <c r="BT86" s="133">
        <f t="shared" si="72"/>
        <v>0</v>
      </c>
      <c r="BU86" s="135" t="str">
        <f t="shared" si="73"/>
        <v/>
      </c>
      <c r="BV86" s="135" t="str">
        <f t="shared" si="74"/>
        <v/>
      </c>
      <c r="BW86" s="135" t="str">
        <f t="shared" si="45"/>
        <v/>
      </c>
      <c r="BX86" s="135" t="str">
        <f t="shared" si="46"/>
        <v/>
      </c>
      <c r="BY86" s="135" t="str">
        <f t="shared" si="75"/>
        <v/>
      </c>
      <c r="BZ86" s="135" t="str">
        <f t="shared" si="48"/>
        <v/>
      </c>
      <c r="CA86" s="135" t="str">
        <f t="shared" si="49"/>
        <v/>
      </c>
      <c r="CB86" s="135" t="str">
        <f t="shared" si="76"/>
        <v/>
      </c>
      <c r="CC86" s="135" t="str">
        <f t="shared" si="51"/>
        <v/>
      </c>
      <c r="CD86" s="135" t="str">
        <f t="shared" si="52"/>
        <v/>
      </c>
      <c r="CE86" s="135" t="str">
        <f t="shared" si="53"/>
        <v/>
      </c>
      <c r="CF86" s="135" t="str">
        <f t="shared" si="54"/>
        <v/>
      </c>
      <c r="CG86" s="135" t="str">
        <f t="shared" si="55"/>
        <v/>
      </c>
    </row>
    <row r="87" spans="1:85" ht="13.5" hidden="1" customHeight="1">
      <c r="A87" s="19"/>
      <c r="B87" s="118">
        <f t="shared" si="57"/>
        <v>38</v>
      </c>
      <c r="C87" s="119" t="str">
        <f>IF('Chart Information'!D41="","",'Chart Information'!D41)</f>
        <v/>
      </c>
      <c r="D87" s="120" t="str">
        <f>IF('Chart Information'!E41="","",'Chart Information'!E41)</f>
        <v/>
      </c>
      <c r="E87" s="120" t="str">
        <f>IF('Chart Information'!M41="","",'Chart Information'!M41)</f>
        <v/>
      </c>
      <c r="F87" s="120" t="str">
        <f>IF('Chart Information'!P41="","",'Chart Information'!P41)</f>
        <v/>
      </c>
      <c r="G87" s="120" t="str">
        <f>IF('Chart Information'!F41="","",'Chart Information'!F41)</f>
        <v/>
      </c>
      <c r="H87" s="120" t="str">
        <f>IF('Chart Information'!O41="","",'Chart Information'!O41)</f>
        <v/>
      </c>
      <c r="I87" s="120" t="str">
        <f t="shared" si="8"/>
        <v/>
      </c>
      <c r="J87" s="120" t="str">
        <f t="shared" si="83"/>
        <v/>
      </c>
      <c r="K87" s="141"/>
      <c r="L87" s="142"/>
      <c r="M87" s="142"/>
      <c r="N87" s="146"/>
      <c r="O87" s="143"/>
      <c r="P87" s="142"/>
      <c r="Q87" s="142"/>
      <c r="R87" s="142"/>
      <c r="S87" s="142"/>
      <c r="T87" s="142"/>
      <c r="U87" s="142"/>
      <c r="V87" s="142"/>
      <c r="W87" s="142">
        <f t="shared" si="10"/>
        <v>2</v>
      </c>
      <c r="X87" s="143"/>
      <c r="Y87" s="142"/>
      <c r="Z87" s="145"/>
      <c r="AA87" s="115" t="e">
        <f t="shared" si="11"/>
        <v>#VALUE!</v>
      </c>
      <c r="AB87" s="186">
        <f t="shared" si="12"/>
        <v>1</v>
      </c>
      <c r="AC87" s="43">
        <f t="shared" si="81"/>
        <v>41.5</v>
      </c>
      <c r="AD87" s="43">
        <f t="shared" si="82"/>
        <v>88.5</v>
      </c>
      <c r="AF87" s="17" t="s">
        <v>380</v>
      </c>
      <c r="AG87" s="47">
        <v>1.3622381044545782</v>
      </c>
      <c r="AP87" s="133">
        <f t="shared" si="13"/>
        <v>0</v>
      </c>
      <c r="AQ87" s="135" t="str">
        <f t="shared" si="14"/>
        <v/>
      </c>
      <c r="AR87" s="135" t="str">
        <f t="shared" si="15"/>
        <v/>
      </c>
      <c r="AS87" s="135" t="str">
        <f t="shared" si="16"/>
        <v/>
      </c>
      <c r="AT87" s="135" t="str">
        <f t="shared" si="17"/>
        <v/>
      </c>
      <c r="AU87" s="135" t="str">
        <f t="shared" si="18"/>
        <v/>
      </c>
      <c r="AV87" s="135" t="str">
        <f t="shared" si="19"/>
        <v/>
      </c>
      <c r="AW87" s="135" t="str">
        <f t="shared" si="20"/>
        <v/>
      </c>
      <c r="AX87" s="135" t="str">
        <f t="shared" si="58"/>
        <v/>
      </c>
      <c r="AY87" s="135" t="str">
        <f t="shared" si="59"/>
        <v/>
      </c>
      <c r="AZ87" s="135" t="str">
        <f t="shared" si="79"/>
        <v/>
      </c>
      <c r="BA87" s="135" t="str">
        <f t="shared" si="24"/>
        <v/>
      </c>
      <c r="BB87" s="135" t="str">
        <f t="shared" si="25"/>
        <v/>
      </c>
      <c r="BC87" s="135" t="str">
        <f t="shared" si="80"/>
        <v/>
      </c>
      <c r="BD87" s="120" t="str">
        <f t="shared" si="27"/>
        <v/>
      </c>
      <c r="BE87" s="133">
        <f t="shared" si="60"/>
        <v>0</v>
      </c>
      <c r="BF87" s="135" t="str">
        <f t="shared" si="61"/>
        <v/>
      </c>
      <c r="BG87" s="135" t="str">
        <f t="shared" si="62"/>
        <v/>
      </c>
      <c r="BH87" s="135" t="str">
        <f t="shared" si="63"/>
        <v/>
      </c>
      <c r="BI87" s="135" t="str">
        <f t="shared" si="64"/>
        <v/>
      </c>
      <c r="BJ87" s="135" t="str">
        <f t="shared" si="65"/>
        <v/>
      </c>
      <c r="BK87" s="135" t="str">
        <f t="shared" si="66"/>
        <v/>
      </c>
      <c r="BL87" s="135" t="str">
        <f t="shared" si="67"/>
        <v/>
      </c>
      <c r="BM87" s="135" t="str">
        <f t="shared" si="68"/>
        <v/>
      </c>
      <c r="BN87" s="135" t="str">
        <f t="shared" si="69"/>
        <v/>
      </c>
      <c r="BO87" s="135" t="str">
        <f t="shared" si="78"/>
        <v/>
      </c>
      <c r="BP87" s="135" t="str">
        <f t="shared" si="70"/>
        <v/>
      </c>
      <c r="BQ87" s="135" t="str">
        <f t="shared" si="71"/>
        <v/>
      </c>
      <c r="BR87" s="135" t="str">
        <f t="shared" si="41"/>
        <v/>
      </c>
      <c r="BS87" s="120" t="str">
        <f t="shared" si="56"/>
        <v/>
      </c>
      <c r="BT87" s="133">
        <f t="shared" si="72"/>
        <v>0</v>
      </c>
      <c r="BU87" s="135" t="str">
        <f t="shared" si="73"/>
        <v/>
      </c>
      <c r="BV87" s="135" t="str">
        <f t="shared" si="74"/>
        <v/>
      </c>
      <c r="BW87" s="135" t="str">
        <f t="shared" si="45"/>
        <v/>
      </c>
      <c r="BX87" s="135" t="str">
        <f t="shared" si="46"/>
        <v/>
      </c>
      <c r="BY87" s="135" t="str">
        <f t="shared" si="75"/>
        <v/>
      </c>
      <c r="BZ87" s="135" t="str">
        <f t="shared" si="48"/>
        <v/>
      </c>
      <c r="CA87" s="135" t="str">
        <f t="shared" si="49"/>
        <v/>
      </c>
      <c r="CB87" s="135" t="str">
        <f t="shared" si="76"/>
        <v/>
      </c>
      <c r="CC87" s="135" t="str">
        <f t="shared" si="51"/>
        <v/>
      </c>
      <c r="CD87" s="135" t="str">
        <f t="shared" si="52"/>
        <v/>
      </c>
      <c r="CE87" s="135" t="str">
        <f t="shared" si="53"/>
        <v/>
      </c>
      <c r="CF87" s="135" t="str">
        <f t="shared" si="54"/>
        <v/>
      </c>
      <c r="CG87" s="135" t="str">
        <f t="shared" si="55"/>
        <v/>
      </c>
    </row>
    <row r="88" spans="1:85" ht="13.5" hidden="1" customHeight="1">
      <c r="A88" s="19"/>
      <c r="B88" s="118">
        <f t="shared" si="57"/>
        <v>39</v>
      </c>
      <c r="C88" s="119" t="str">
        <f>IF('Chart Information'!D42="","",'Chart Information'!D42)</f>
        <v/>
      </c>
      <c r="D88" s="120" t="str">
        <f>IF('Chart Information'!E42="","",'Chart Information'!E42)</f>
        <v/>
      </c>
      <c r="E88" s="120" t="str">
        <f>IF('Chart Information'!M42="","",'Chart Information'!M42)</f>
        <v/>
      </c>
      <c r="F88" s="120" t="str">
        <f>IF('Chart Information'!P42="","",'Chart Information'!P42)</f>
        <v/>
      </c>
      <c r="G88" s="120" t="str">
        <f>IF('Chart Information'!F42="","",'Chart Information'!F42)</f>
        <v/>
      </c>
      <c r="H88" s="120" t="str">
        <f>IF('Chart Information'!O42="","",'Chart Information'!O42)</f>
        <v/>
      </c>
      <c r="I88" s="120" t="str">
        <f t="shared" si="8"/>
        <v/>
      </c>
      <c r="J88" s="120" t="str">
        <f t="shared" si="83"/>
        <v/>
      </c>
      <c r="K88" s="141"/>
      <c r="L88" s="142"/>
      <c r="M88" s="142"/>
      <c r="N88" s="146"/>
      <c r="O88" s="143"/>
      <c r="P88" s="142"/>
      <c r="Q88" s="142"/>
      <c r="R88" s="142"/>
      <c r="S88" s="142"/>
      <c r="T88" s="142"/>
      <c r="U88" s="142"/>
      <c r="V88" s="142"/>
      <c r="W88" s="142">
        <f t="shared" si="10"/>
        <v>2</v>
      </c>
      <c r="X88" s="143"/>
      <c r="Y88" s="142"/>
      <c r="Z88" s="145"/>
      <c r="AA88" s="115" t="e">
        <f t="shared" si="11"/>
        <v>#VALUE!</v>
      </c>
      <c r="AB88" s="186">
        <f t="shared" si="12"/>
        <v>1</v>
      </c>
      <c r="AC88" s="43">
        <f t="shared" si="81"/>
        <v>41.4</v>
      </c>
      <c r="AD88" s="43">
        <f t="shared" si="82"/>
        <v>88.6</v>
      </c>
      <c r="AF88" s="17" t="s">
        <v>84</v>
      </c>
      <c r="AG88" s="47">
        <v>0.12430422703148024</v>
      </c>
      <c r="AP88" s="133">
        <f t="shared" si="13"/>
        <v>0</v>
      </c>
      <c r="AQ88" s="135" t="str">
        <f t="shared" si="14"/>
        <v/>
      </c>
      <c r="AR88" s="135" t="str">
        <f t="shared" si="15"/>
        <v/>
      </c>
      <c r="AS88" s="135" t="str">
        <f t="shared" si="16"/>
        <v/>
      </c>
      <c r="AT88" s="135" t="str">
        <f t="shared" si="17"/>
        <v/>
      </c>
      <c r="AU88" s="135" t="str">
        <f t="shared" si="18"/>
        <v/>
      </c>
      <c r="AV88" s="135" t="str">
        <f t="shared" si="19"/>
        <v/>
      </c>
      <c r="AW88" s="135" t="str">
        <f t="shared" si="20"/>
        <v/>
      </c>
      <c r="AX88" s="135" t="str">
        <f t="shared" si="58"/>
        <v/>
      </c>
      <c r="AY88" s="135" t="str">
        <f t="shared" si="59"/>
        <v/>
      </c>
      <c r="AZ88" s="135" t="str">
        <f t="shared" si="79"/>
        <v/>
      </c>
      <c r="BA88" s="135" t="str">
        <f t="shared" si="24"/>
        <v/>
      </c>
      <c r="BB88" s="135" t="str">
        <f t="shared" si="25"/>
        <v/>
      </c>
      <c r="BC88" s="135" t="str">
        <f t="shared" si="80"/>
        <v/>
      </c>
      <c r="BD88" s="120" t="str">
        <f t="shared" si="27"/>
        <v/>
      </c>
      <c r="BE88" s="133">
        <f t="shared" si="60"/>
        <v>0</v>
      </c>
      <c r="BF88" s="135" t="str">
        <f t="shared" si="61"/>
        <v/>
      </c>
      <c r="BG88" s="135" t="str">
        <f t="shared" si="62"/>
        <v/>
      </c>
      <c r="BH88" s="135" t="str">
        <f t="shared" si="63"/>
        <v/>
      </c>
      <c r="BI88" s="135" t="str">
        <f t="shared" si="64"/>
        <v/>
      </c>
      <c r="BJ88" s="135" t="str">
        <f t="shared" si="65"/>
        <v/>
      </c>
      <c r="BK88" s="135" t="str">
        <f t="shared" si="66"/>
        <v/>
      </c>
      <c r="BL88" s="135" t="str">
        <f t="shared" si="67"/>
        <v/>
      </c>
      <c r="BM88" s="135" t="str">
        <f t="shared" si="68"/>
        <v/>
      </c>
      <c r="BN88" s="135" t="str">
        <f t="shared" si="69"/>
        <v/>
      </c>
      <c r="BO88" s="135" t="str">
        <f t="shared" si="78"/>
        <v/>
      </c>
      <c r="BP88" s="135" t="str">
        <f t="shared" si="70"/>
        <v/>
      </c>
      <c r="BQ88" s="135" t="str">
        <f t="shared" si="71"/>
        <v/>
      </c>
      <c r="BR88" s="135" t="str">
        <f t="shared" si="41"/>
        <v/>
      </c>
      <c r="BS88" s="120" t="str">
        <f t="shared" si="56"/>
        <v/>
      </c>
      <c r="BT88" s="133">
        <f t="shared" si="72"/>
        <v>0</v>
      </c>
      <c r="BU88" s="135" t="str">
        <f t="shared" si="73"/>
        <v/>
      </c>
      <c r="BV88" s="135" t="str">
        <f t="shared" si="74"/>
        <v/>
      </c>
      <c r="BW88" s="135" t="str">
        <f t="shared" si="45"/>
        <v/>
      </c>
      <c r="BX88" s="135" t="str">
        <f t="shared" si="46"/>
        <v/>
      </c>
      <c r="BY88" s="135" t="str">
        <f t="shared" si="75"/>
        <v/>
      </c>
      <c r="BZ88" s="135" t="str">
        <f t="shared" si="48"/>
        <v/>
      </c>
      <c r="CA88" s="135" t="str">
        <f t="shared" si="49"/>
        <v/>
      </c>
      <c r="CB88" s="135" t="str">
        <f t="shared" si="76"/>
        <v/>
      </c>
      <c r="CC88" s="135" t="str">
        <f t="shared" si="51"/>
        <v/>
      </c>
      <c r="CD88" s="135" t="str">
        <f t="shared" si="52"/>
        <v/>
      </c>
      <c r="CE88" s="135" t="str">
        <f t="shared" si="53"/>
        <v/>
      </c>
      <c r="CF88" s="135" t="str">
        <f t="shared" si="54"/>
        <v/>
      </c>
      <c r="CG88" s="135" t="str">
        <f t="shared" si="55"/>
        <v/>
      </c>
    </row>
    <row r="89" spans="1:85" ht="13.5" hidden="1" customHeight="1">
      <c r="A89" s="19"/>
      <c r="B89" s="118">
        <f t="shared" si="57"/>
        <v>40</v>
      </c>
      <c r="C89" s="119" t="str">
        <f>IF('Chart Information'!D43="","",'Chart Information'!D43)</f>
        <v/>
      </c>
      <c r="D89" s="120" t="str">
        <f>IF('Chart Information'!E43="","",'Chart Information'!E43)</f>
        <v/>
      </c>
      <c r="E89" s="120" t="str">
        <f>IF('Chart Information'!M43="","",'Chart Information'!M43)</f>
        <v/>
      </c>
      <c r="F89" s="120" t="str">
        <f>IF('Chart Information'!P43="","",'Chart Information'!P43)</f>
        <v/>
      </c>
      <c r="G89" s="120" t="str">
        <f>IF('Chart Information'!F43="","",'Chart Information'!F43)</f>
        <v/>
      </c>
      <c r="H89" s="120" t="str">
        <f>IF('Chart Information'!O43="","",'Chart Information'!O43)</f>
        <v/>
      </c>
      <c r="I89" s="120" t="str">
        <f t="shared" si="8"/>
        <v/>
      </c>
      <c r="J89" s="120" t="str">
        <f t="shared" si="83"/>
        <v/>
      </c>
      <c r="K89" s="141"/>
      <c r="L89" s="142"/>
      <c r="M89" s="142"/>
      <c r="N89" s="146"/>
      <c r="O89" s="143"/>
      <c r="P89" s="142"/>
      <c r="Q89" s="142"/>
      <c r="R89" s="142"/>
      <c r="S89" s="142"/>
      <c r="T89" s="142"/>
      <c r="U89" s="142"/>
      <c r="V89" s="142"/>
      <c r="W89" s="142">
        <f t="shared" si="10"/>
        <v>2</v>
      </c>
      <c r="X89" s="143"/>
      <c r="Y89" s="142"/>
      <c r="Z89" s="145"/>
      <c r="AA89" s="115" t="e">
        <f t="shared" si="11"/>
        <v>#VALUE!</v>
      </c>
      <c r="AB89" s="186">
        <f t="shared" si="12"/>
        <v>1</v>
      </c>
      <c r="AC89" s="43">
        <f t="shared" si="81"/>
        <v>41.3</v>
      </c>
      <c r="AD89" s="43">
        <f t="shared" si="82"/>
        <v>88.7</v>
      </c>
      <c r="AF89" s="17" t="s">
        <v>85</v>
      </c>
      <c r="AG89" s="47">
        <v>0.24860845406296048</v>
      </c>
      <c r="AP89" s="133">
        <f t="shared" si="13"/>
        <v>0</v>
      </c>
      <c r="AQ89" s="135" t="str">
        <f t="shared" si="14"/>
        <v/>
      </c>
      <c r="AR89" s="135" t="str">
        <f t="shared" si="15"/>
        <v/>
      </c>
      <c r="AS89" s="135" t="str">
        <f t="shared" si="16"/>
        <v/>
      </c>
      <c r="AT89" s="135" t="str">
        <f t="shared" si="17"/>
        <v/>
      </c>
      <c r="AU89" s="135" t="str">
        <f t="shared" si="18"/>
        <v/>
      </c>
      <c r="AV89" s="135" t="str">
        <f t="shared" si="19"/>
        <v/>
      </c>
      <c r="AW89" s="135" t="str">
        <f t="shared" si="20"/>
        <v/>
      </c>
      <c r="AX89" s="135" t="str">
        <f t="shared" si="58"/>
        <v/>
      </c>
      <c r="AY89" s="135" t="str">
        <f t="shared" si="59"/>
        <v/>
      </c>
      <c r="AZ89" s="135" t="str">
        <f t="shared" si="79"/>
        <v/>
      </c>
      <c r="BA89" s="135" t="str">
        <f t="shared" si="24"/>
        <v/>
      </c>
      <c r="BB89" s="135" t="str">
        <f t="shared" si="25"/>
        <v/>
      </c>
      <c r="BC89" s="135" t="str">
        <f t="shared" si="80"/>
        <v/>
      </c>
      <c r="BD89" s="120" t="str">
        <f t="shared" si="27"/>
        <v/>
      </c>
      <c r="BE89" s="133">
        <f t="shared" si="60"/>
        <v>0</v>
      </c>
      <c r="BF89" s="135" t="str">
        <f t="shared" si="61"/>
        <v/>
      </c>
      <c r="BG89" s="135" t="str">
        <f t="shared" si="62"/>
        <v/>
      </c>
      <c r="BH89" s="135" t="str">
        <f t="shared" si="63"/>
        <v/>
      </c>
      <c r="BI89" s="135" t="str">
        <f t="shared" si="64"/>
        <v/>
      </c>
      <c r="BJ89" s="135" t="str">
        <f t="shared" si="65"/>
        <v/>
      </c>
      <c r="BK89" s="135" t="str">
        <f t="shared" si="66"/>
        <v/>
      </c>
      <c r="BL89" s="135" t="str">
        <f t="shared" si="67"/>
        <v/>
      </c>
      <c r="BM89" s="135" t="str">
        <f t="shared" si="68"/>
        <v/>
      </c>
      <c r="BN89" s="135" t="str">
        <f t="shared" si="69"/>
        <v/>
      </c>
      <c r="BO89" s="135" t="str">
        <f t="shared" si="78"/>
        <v/>
      </c>
      <c r="BP89" s="135" t="str">
        <f t="shared" si="70"/>
        <v/>
      </c>
      <c r="BQ89" s="135" t="str">
        <f t="shared" si="71"/>
        <v/>
      </c>
      <c r="BR89" s="135" t="str">
        <f t="shared" si="41"/>
        <v/>
      </c>
      <c r="BS89" s="120" t="str">
        <f t="shared" si="56"/>
        <v/>
      </c>
      <c r="BT89" s="133">
        <f t="shared" si="72"/>
        <v>0</v>
      </c>
      <c r="BU89" s="135" t="str">
        <f t="shared" si="73"/>
        <v/>
      </c>
      <c r="BV89" s="135" t="str">
        <f t="shared" si="74"/>
        <v/>
      </c>
      <c r="BW89" s="135" t="str">
        <f t="shared" si="45"/>
        <v/>
      </c>
      <c r="BX89" s="135" t="str">
        <f t="shared" si="46"/>
        <v/>
      </c>
      <c r="BY89" s="135" t="str">
        <f t="shared" si="75"/>
        <v/>
      </c>
      <c r="BZ89" s="135" t="str">
        <f t="shared" si="48"/>
        <v/>
      </c>
      <c r="CA89" s="135" t="str">
        <f t="shared" si="49"/>
        <v/>
      </c>
      <c r="CB89" s="135" t="str">
        <f t="shared" si="76"/>
        <v/>
      </c>
      <c r="CC89" s="135" t="str">
        <f t="shared" si="51"/>
        <v/>
      </c>
      <c r="CD89" s="135" t="str">
        <f t="shared" si="52"/>
        <v/>
      </c>
      <c r="CE89" s="135" t="str">
        <f t="shared" si="53"/>
        <v/>
      </c>
      <c r="CF89" s="135" t="str">
        <f t="shared" si="54"/>
        <v/>
      </c>
      <c r="CG89" s="135" t="str">
        <f t="shared" si="55"/>
        <v/>
      </c>
    </row>
    <row r="90" spans="1:85" ht="13.5" hidden="1" customHeight="1">
      <c r="A90" s="19"/>
      <c r="B90" s="118">
        <f t="shared" si="57"/>
        <v>41</v>
      </c>
      <c r="C90" s="119" t="str">
        <f>IF('Chart Information'!D44="","",'Chart Information'!D44)</f>
        <v/>
      </c>
      <c r="D90" s="120" t="str">
        <f>IF('Chart Information'!E44="","",'Chart Information'!E44)</f>
        <v/>
      </c>
      <c r="E90" s="120" t="str">
        <f>IF('Chart Information'!M44="","",'Chart Information'!M44)</f>
        <v/>
      </c>
      <c r="F90" s="120" t="str">
        <f>IF('Chart Information'!P44="","",'Chart Information'!P44)</f>
        <v/>
      </c>
      <c r="G90" s="120" t="str">
        <f>IF('Chart Information'!F44="","",'Chart Information'!F44)</f>
        <v/>
      </c>
      <c r="H90" s="120" t="str">
        <f>IF('Chart Information'!O44="","",'Chart Information'!O44)</f>
        <v/>
      </c>
      <c r="I90" s="120" t="str">
        <f t="shared" si="8"/>
        <v/>
      </c>
      <c r="J90" s="120" t="str">
        <f t="shared" si="83"/>
        <v/>
      </c>
      <c r="K90" s="141"/>
      <c r="L90" s="142"/>
      <c r="M90" s="142"/>
      <c r="N90" s="146"/>
      <c r="O90" s="143"/>
      <c r="P90" s="142"/>
      <c r="Q90" s="142"/>
      <c r="R90" s="142"/>
      <c r="S90" s="142"/>
      <c r="T90" s="142"/>
      <c r="U90" s="142"/>
      <c r="V90" s="142"/>
      <c r="W90" s="142">
        <f t="shared" si="10"/>
        <v>2</v>
      </c>
      <c r="X90" s="143"/>
      <c r="Y90" s="142"/>
      <c r="Z90" s="145"/>
      <c r="AA90" s="115" t="e">
        <f t="shared" si="11"/>
        <v>#VALUE!</v>
      </c>
      <c r="AB90" s="186">
        <f t="shared" si="12"/>
        <v>1</v>
      </c>
      <c r="AC90" s="43">
        <f t="shared" si="81"/>
        <v>41.2</v>
      </c>
      <c r="AD90" s="43">
        <f t="shared" si="82"/>
        <v>88.8</v>
      </c>
      <c r="AF90" s="17" t="s">
        <v>86</v>
      </c>
      <c r="AG90" s="47">
        <v>0.37291268109444076</v>
      </c>
      <c r="AP90" s="133">
        <f t="shared" si="13"/>
        <v>0</v>
      </c>
      <c r="AQ90" s="135" t="str">
        <f t="shared" si="14"/>
        <v/>
      </c>
      <c r="AR90" s="135" t="str">
        <f t="shared" si="15"/>
        <v/>
      </c>
      <c r="AS90" s="135" t="str">
        <f t="shared" si="16"/>
        <v/>
      </c>
      <c r="AT90" s="135" t="str">
        <f t="shared" si="17"/>
        <v/>
      </c>
      <c r="AU90" s="135" t="str">
        <f t="shared" si="18"/>
        <v/>
      </c>
      <c r="AV90" s="135" t="str">
        <f t="shared" si="19"/>
        <v/>
      </c>
      <c r="AW90" s="135" t="str">
        <f t="shared" si="20"/>
        <v/>
      </c>
      <c r="AX90" s="135" t="str">
        <f t="shared" si="58"/>
        <v/>
      </c>
      <c r="AY90" s="135" t="str">
        <f t="shared" si="59"/>
        <v/>
      </c>
      <c r="AZ90" s="135" t="str">
        <f t="shared" si="79"/>
        <v/>
      </c>
      <c r="BA90" s="135" t="str">
        <f t="shared" si="24"/>
        <v/>
      </c>
      <c r="BB90" s="135" t="str">
        <f t="shared" si="25"/>
        <v/>
      </c>
      <c r="BC90" s="135" t="str">
        <f t="shared" si="80"/>
        <v/>
      </c>
      <c r="BD90" s="120" t="str">
        <f t="shared" si="27"/>
        <v/>
      </c>
      <c r="BE90" s="133">
        <f t="shared" si="60"/>
        <v>0</v>
      </c>
      <c r="BF90" s="135" t="str">
        <f t="shared" si="61"/>
        <v/>
      </c>
      <c r="BG90" s="135" t="str">
        <f t="shared" si="62"/>
        <v/>
      </c>
      <c r="BH90" s="135" t="str">
        <f t="shared" si="63"/>
        <v/>
      </c>
      <c r="BI90" s="135" t="str">
        <f t="shared" si="64"/>
        <v/>
      </c>
      <c r="BJ90" s="135" t="str">
        <f t="shared" si="65"/>
        <v/>
      </c>
      <c r="BK90" s="135" t="str">
        <f t="shared" si="66"/>
        <v/>
      </c>
      <c r="BL90" s="135" t="str">
        <f t="shared" si="67"/>
        <v/>
      </c>
      <c r="BM90" s="135" t="str">
        <f t="shared" si="68"/>
        <v/>
      </c>
      <c r="BN90" s="135" t="str">
        <f t="shared" si="69"/>
        <v/>
      </c>
      <c r="BO90" s="135" t="str">
        <f t="shared" si="78"/>
        <v/>
      </c>
      <c r="BP90" s="135" t="str">
        <f t="shared" si="70"/>
        <v/>
      </c>
      <c r="BQ90" s="135" t="str">
        <f t="shared" si="71"/>
        <v/>
      </c>
      <c r="BR90" s="135" t="str">
        <f t="shared" si="41"/>
        <v/>
      </c>
      <c r="BS90" s="120" t="str">
        <f t="shared" si="56"/>
        <v/>
      </c>
      <c r="BT90" s="133">
        <f t="shared" si="72"/>
        <v>0</v>
      </c>
      <c r="BU90" s="135" t="str">
        <f t="shared" si="73"/>
        <v/>
      </c>
      <c r="BV90" s="135" t="str">
        <f t="shared" si="74"/>
        <v/>
      </c>
      <c r="BW90" s="135" t="str">
        <f t="shared" si="45"/>
        <v/>
      </c>
      <c r="BX90" s="135" t="str">
        <f t="shared" si="46"/>
        <v/>
      </c>
      <c r="BY90" s="135" t="str">
        <f t="shared" si="75"/>
        <v/>
      </c>
      <c r="BZ90" s="135" t="str">
        <f t="shared" si="48"/>
        <v/>
      </c>
      <c r="CA90" s="135" t="str">
        <f t="shared" si="49"/>
        <v/>
      </c>
      <c r="CB90" s="135" t="str">
        <f t="shared" si="76"/>
        <v/>
      </c>
      <c r="CC90" s="135" t="str">
        <f t="shared" si="51"/>
        <v/>
      </c>
      <c r="CD90" s="135" t="str">
        <f t="shared" si="52"/>
        <v/>
      </c>
      <c r="CE90" s="135" t="str">
        <f t="shared" si="53"/>
        <v/>
      </c>
      <c r="CF90" s="135" t="str">
        <f t="shared" si="54"/>
        <v/>
      </c>
      <c r="CG90" s="135" t="str">
        <f t="shared" si="55"/>
        <v/>
      </c>
    </row>
    <row r="91" spans="1:85" ht="13.5" hidden="1" customHeight="1">
      <c r="A91" s="19"/>
      <c r="B91" s="118">
        <f t="shared" si="57"/>
        <v>42</v>
      </c>
      <c r="C91" s="119" t="str">
        <f>IF('Chart Information'!D45="","",'Chart Information'!D45)</f>
        <v/>
      </c>
      <c r="D91" s="120" t="str">
        <f>IF('Chart Information'!E45="","",'Chart Information'!E45)</f>
        <v/>
      </c>
      <c r="E91" s="120" t="str">
        <f>IF('Chart Information'!M45="","",'Chart Information'!M45)</f>
        <v/>
      </c>
      <c r="F91" s="120" t="str">
        <f>IF('Chart Information'!P45="","",'Chart Information'!P45)</f>
        <v/>
      </c>
      <c r="G91" s="120" t="str">
        <f>IF('Chart Information'!F45="","",'Chart Information'!F45)</f>
        <v/>
      </c>
      <c r="H91" s="120" t="str">
        <f>IF('Chart Information'!O45="","",'Chart Information'!O45)</f>
        <v/>
      </c>
      <c r="I91" s="120" t="str">
        <f t="shared" si="8"/>
        <v/>
      </c>
      <c r="J91" s="120" t="str">
        <f t="shared" si="83"/>
        <v/>
      </c>
      <c r="K91" s="141"/>
      <c r="L91" s="142"/>
      <c r="M91" s="142"/>
      <c r="N91" s="146"/>
      <c r="O91" s="143"/>
      <c r="P91" s="142"/>
      <c r="Q91" s="142"/>
      <c r="R91" s="142"/>
      <c r="S91" s="142"/>
      <c r="T91" s="142"/>
      <c r="U91" s="142"/>
      <c r="V91" s="142"/>
      <c r="W91" s="142">
        <f t="shared" si="10"/>
        <v>2</v>
      </c>
      <c r="X91" s="143"/>
      <c r="Y91" s="142"/>
      <c r="Z91" s="145"/>
      <c r="AA91" s="115" t="e">
        <f t="shared" si="11"/>
        <v>#VALUE!</v>
      </c>
      <c r="AB91" s="186">
        <f t="shared" si="12"/>
        <v>1</v>
      </c>
      <c r="AC91" s="43">
        <f t="shared" si="81"/>
        <v>41.1</v>
      </c>
      <c r="AD91" s="43">
        <f t="shared" si="82"/>
        <v>88.9</v>
      </c>
      <c r="AF91" s="17" t="s">
        <v>87</v>
      </c>
      <c r="AG91" s="47">
        <v>0.49721690812592095</v>
      </c>
      <c r="AP91" s="133">
        <f t="shared" si="13"/>
        <v>0</v>
      </c>
      <c r="AQ91" s="135" t="str">
        <f t="shared" si="14"/>
        <v/>
      </c>
      <c r="AR91" s="135" t="str">
        <f t="shared" si="15"/>
        <v/>
      </c>
      <c r="AS91" s="135" t="str">
        <f t="shared" si="16"/>
        <v/>
      </c>
      <c r="AT91" s="135" t="str">
        <f t="shared" si="17"/>
        <v/>
      </c>
      <c r="AU91" s="135" t="str">
        <f t="shared" si="18"/>
        <v/>
      </c>
      <c r="AV91" s="135" t="str">
        <f t="shared" si="19"/>
        <v/>
      </c>
      <c r="AW91" s="135" t="str">
        <f t="shared" si="20"/>
        <v/>
      </c>
      <c r="AX91" s="135" t="str">
        <f t="shared" si="58"/>
        <v/>
      </c>
      <c r="AY91" s="135" t="str">
        <f t="shared" si="59"/>
        <v/>
      </c>
      <c r="AZ91" s="135" t="str">
        <f t="shared" si="79"/>
        <v/>
      </c>
      <c r="BA91" s="135" t="str">
        <f t="shared" si="24"/>
        <v/>
      </c>
      <c r="BB91" s="135" t="str">
        <f t="shared" si="25"/>
        <v/>
      </c>
      <c r="BC91" s="135" t="str">
        <f t="shared" si="80"/>
        <v/>
      </c>
      <c r="BD91" s="120" t="str">
        <f t="shared" si="27"/>
        <v/>
      </c>
      <c r="BE91" s="133">
        <f t="shared" si="60"/>
        <v>0</v>
      </c>
      <c r="BF91" s="135" t="str">
        <f t="shared" si="61"/>
        <v/>
      </c>
      <c r="BG91" s="135" t="str">
        <f t="shared" si="62"/>
        <v/>
      </c>
      <c r="BH91" s="135" t="str">
        <f t="shared" si="63"/>
        <v/>
      </c>
      <c r="BI91" s="135" t="str">
        <f t="shared" si="64"/>
        <v/>
      </c>
      <c r="BJ91" s="135" t="str">
        <f t="shared" si="65"/>
        <v/>
      </c>
      <c r="BK91" s="135" t="str">
        <f t="shared" si="66"/>
        <v/>
      </c>
      <c r="BL91" s="135" t="str">
        <f t="shared" si="67"/>
        <v/>
      </c>
      <c r="BM91" s="135" t="str">
        <f t="shared" si="68"/>
        <v/>
      </c>
      <c r="BN91" s="135" t="str">
        <f t="shared" si="69"/>
        <v/>
      </c>
      <c r="BO91" s="135" t="str">
        <f t="shared" si="78"/>
        <v/>
      </c>
      <c r="BP91" s="135" t="str">
        <f t="shared" si="70"/>
        <v/>
      </c>
      <c r="BQ91" s="135" t="str">
        <f t="shared" si="71"/>
        <v/>
      </c>
      <c r="BR91" s="135" t="str">
        <f t="shared" si="41"/>
        <v/>
      </c>
      <c r="BS91" s="120" t="str">
        <f t="shared" si="56"/>
        <v/>
      </c>
      <c r="BT91" s="133">
        <f t="shared" si="72"/>
        <v>0</v>
      </c>
      <c r="BU91" s="135" t="str">
        <f t="shared" si="73"/>
        <v/>
      </c>
      <c r="BV91" s="135" t="str">
        <f t="shared" si="74"/>
        <v/>
      </c>
      <c r="BW91" s="135" t="str">
        <f t="shared" si="45"/>
        <v/>
      </c>
      <c r="BX91" s="135" t="str">
        <f t="shared" si="46"/>
        <v/>
      </c>
      <c r="BY91" s="135" t="str">
        <f t="shared" si="75"/>
        <v/>
      </c>
      <c r="BZ91" s="135" t="str">
        <f t="shared" si="48"/>
        <v/>
      </c>
      <c r="CA91" s="135" t="str">
        <f t="shared" si="49"/>
        <v/>
      </c>
      <c r="CB91" s="135" t="str">
        <f t="shared" si="76"/>
        <v/>
      </c>
      <c r="CC91" s="135" t="str">
        <f t="shared" si="51"/>
        <v/>
      </c>
      <c r="CD91" s="135" t="str">
        <f t="shared" si="52"/>
        <v/>
      </c>
      <c r="CE91" s="135" t="str">
        <f t="shared" si="53"/>
        <v/>
      </c>
      <c r="CF91" s="135" t="str">
        <f t="shared" si="54"/>
        <v/>
      </c>
      <c r="CG91" s="135" t="str">
        <f t="shared" si="55"/>
        <v/>
      </c>
    </row>
    <row r="92" spans="1:85" ht="13.5" hidden="1" customHeight="1">
      <c r="A92" s="19"/>
      <c r="B92" s="118">
        <f t="shared" si="57"/>
        <v>43</v>
      </c>
      <c r="C92" s="119" t="str">
        <f>IF('Chart Information'!D46="","",'Chart Information'!D46)</f>
        <v/>
      </c>
      <c r="D92" s="120" t="str">
        <f>IF('Chart Information'!E46="","",'Chart Information'!E46)</f>
        <v/>
      </c>
      <c r="E92" s="120" t="str">
        <f>IF('Chart Information'!M46="","",'Chart Information'!M46)</f>
        <v/>
      </c>
      <c r="F92" s="120" t="str">
        <f>IF('Chart Information'!P46="","",'Chart Information'!P46)</f>
        <v/>
      </c>
      <c r="G92" s="120" t="str">
        <f>IF('Chart Information'!F46="","",'Chart Information'!F46)</f>
        <v/>
      </c>
      <c r="H92" s="120" t="str">
        <f>IF('Chart Information'!O46="","",'Chart Information'!O46)</f>
        <v/>
      </c>
      <c r="I92" s="120" t="str">
        <f t="shared" si="8"/>
        <v/>
      </c>
      <c r="J92" s="120" t="str">
        <f t="shared" si="83"/>
        <v/>
      </c>
      <c r="K92" s="141"/>
      <c r="L92" s="142"/>
      <c r="M92" s="142"/>
      <c r="N92" s="146"/>
      <c r="O92" s="143"/>
      <c r="P92" s="142"/>
      <c r="Q92" s="142"/>
      <c r="R92" s="142"/>
      <c r="S92" s="142"/>
      <c r="T92" s="142"/>
      <c r="U92" s="142"/>
      <c r="V92" s="142"/>
      <c r="W92" s="142">
        <f t="shared" si="10"/>
        <v>2</v>
      </c>
      <c r="X92" s="143"/>
      <c r="Y92" s="142"/>
      <c r="Z92" s="145"/>
      <c r="AA92" s="115" t="e">
        <f t="shared" si="11"/>
        <v>#VALUE!</v>
      </c>
      <c r="AB92" s="186">
        <f t="shared" si="12"/>
        <v>1</v>
      </c>
      <c r="AC92" s="43">
        <f t="shared" si="81"/>
        <v>41</v>
      </c>
      <c r="AD92" s="43">
        <f t="shared" si="82"/>
        <v>89</v>
      </c>
      <c r="AF92" s="17" t="s">
        <v>88</v>
      </c>
      <c r="AG92" s="47">
        <v>0.62152113515740126</v>
      </c>
      <c r="AP92" s="133">
        <f t="shared" si="13"/>
        <v>0</v>
      </c>
      <c r="AQ92" s="135" t="str">
        <f t="shared" si="14"/>
        <v/>
      </c>
      <c r="AR92" s="135" t="str">
        <f t="shared" si="15"/>
        <v/>
      </c>
      <c r="AS92" s="135" t="str">
        <f t="shared" si="16"/>
        <v/>
      </c>
      <c r="AT92" s="135" t="str">
        <f t="shared" si="17"/>
        <v/>
      </c>
      <c r="AU92" s="135" t="str">
        <f t="shared" si="18"/>
        <v/>
      </c>
      <c r="AV92" s="135" t="str">
        <f t="shared" si="19"/>
        <v/>
      </c>
      <c r="AW92" s="135" t="str">
        <f t="shared" si="20"/>
        <v/>
      </c>
      <c r="AX92" s="135" t="str">
        <f t="shared" si="58"/>
        <v/>
      </c>
      <c r="AY92" s="135" t="str">
        <f t="shared" si="59"/>
        <v/>
      </c>
      <c r="AZ92" s="135" t="str">
        <f t="shared" si="79"/>
        <v/>
      </c>
      <c r="BA92" s="135" t="str">
        <f t="shared" si="24"/>
        <v/>
      </c>
      <c r="BB92" s="135" t="str">
        <f t="shared" si="25"/>
        <v/>
      </c>
      <c r="BC92" s="135" t="str">
        <f t="shared" si="80"/>
        <v/>
      </c>
      <c r="BD92" s="120" t="str">
        <f t="shared" si="27"/>
        <v/>
      </c>
      <c r="BE92" s="133">
        <f t="shared" si="60"/>
        <v>0</v>
      </c>
      <c r="BF92" s="135" t="str">
        <f t="shared" si="61"/>
        <v/>
      </c>
      <c r="BG92" s="135" t="str">
        <f t="shared" si="62"/>
        <v/>
      </c>
      <c r="BH92" s="135" t="str">
        <f t="shared" si="63"/>
        <v/>
      </c>
      <c r="BI92" s="135" t="str">
        <f t="shared" si="64"/>
        <v/>
      </c>
      <c r="BJ92" s="135" t="str">
        <f t="shared" si="65"/>
        <v/>
      </c>
      <c r="BK92" s="135" t="str">
        <f t="shared" si="66"/>
        <v/>
      </c>
      <c r="BL92" s="135" t="str">
        <f t="shared" si="67"/>
        <v/>
      </c>
      <c r="BM92" s="135" t="str">
        <f t="shared" si="68"/>
        <v/>
      </c>
      <c r="BN92" s="135" t="str">
        <f t="shared" si="69"/>
        <v/>
      </c>
      <c r="BO92" s="135" t="str">
        <f t="shared" si="78"/>
        <v/>
      </c>
      <c r="BP92" s="135" t="str">
        <f t="shared" si="70"/>
        <v/>
      </c>
      <c r="BQ92" s="135" t="str">
        <f t="shared" si="71"/>
        <v/>
      </c>
      <c r="BR92" s="135" t="str">
        <f t="shared" si="41"/>
        <v/>
      </c>
      <c r="BS92" s="120" t="str">
        <f t="shared" si="56"/>
        <v/>
      </c>
      <c r="BT92" s="133">
        <f t="shared" si="72"/>
        <v>0</v>
      </c>
      <c r="BU92" s="135" t="str">
        <f t="shared" si="73"/>
        <v/>
      </c>
      <c r="BV92" s="135" t="str">
        <f t="shared" si="74"/>
        <v/>
      </c>
      <c r="BW92" s="135" t="str">
        <f t="shared" si="45"/>
        <v/>
      </c>
      <c r="BX92" s="135" t="str">
        <f t="shared" si="46"/>
        <v/>
      </c>
      <c r="BY92" s="135" t="str">
        <f t="shared" si="75"/>
        <v/>
      </c>
      <c r="BZ92" s="135" t="str">
        <f t="shared" si="48"/>
        <v/>
      </c>
      <c r="CA92" s="135" t="str">
        <f t="shared" si="49"/>
        <v/>
      </c>
      <c r="CB92" s="135" t="str">
        <f t="shared" si="76"/>
        <v/>
      </c>
      <c r="CC92" s="135" t="str">
        <f t="shared" si="51"/>
        <v/>
      </c>
      <c r="CD92" s="135" t="str">
        <f t="shared" si="52"/>
        <v/>
      </c>
      <c r="CE92" s="135" t="str">
        <f t="shared" si="53"/>
        <v/>
      </c>
      <c r="CF92" s="135" t="str">
        <f t="shared" si="54"/>
        <v/>
      </c>
      <c r="CG92" s="135" t="str">
        <f t="shared" si="55"/>
        <v/>
      </c>
    </row>
    <row r="93" spans="1:85" ht="13.5" hidden="1" customHeight="1">
      <c r="A93" s="19"/>
      <c r="B93" s="118">
        <f t="shared" si="57"/>
        <v>44</v>
      </c>
      <c r="C93" s="119" t="str">
        <f>IF('Chart Information'!D47="","",'Chart Information'!D47)</f>
        <v/>
      </c>
      <c r="D93" s="120" t="str">
        <f>IF('Chart Information'!E47="","",'Chart Information'!E47)</f>
        <v/>
      </c>
      <c r="E93" s="120" t="str">
        <f>IF('Chart Information'!M47="","",'Chart Information'!M47)</f>
        <v/>
      </c>
      <c r="F93" s="120" t="str">
        <f>IF('Chart Information'!P47="","",'Chart Information'!P47)</f>
        <v/>
      </c>
      <c r="G93" s="120" t="str">
        <f>IF('Chart Information'!F47="","",'Chart Information'!F47)</f>
        <v/>
      </c>
      <c r="H93" s="120" t="str">
        <f>IF('Chart Information'!O47="","",'Chart Information'!O47)</f>
        <v/>
      </c>
      <c r="I93" s="120" t="str">
        <f t="shared" si="8"/>
        <v/>
      </c>
      <c r="J93" s="120" t="str">
        <f t="shared" si="83"/>
        <v/>
      </c>
      <c r="K93" s="141"/>
      <c r="L93" s="142"/>
      <c r="M93" s="142"/>
      <c r="N93" s="146"/>
      <c r="O93" s="143"/>
      <c r="P93" s="142"/>
      <c r="Q93" s="142"/>
      <c r="R93" s="142"/>
      <c r="S93" s="142"/>
      <c r="T93" s="142"/>
      <c r="U93" s="142"/>
      <c r="V93" s="142"/>
      <c r="W93" s="142">
        <f t="shared" si="10"/>
        <v>2</v>
      </c>
      <c r="X93" s="143"/>
      <c r="Y93" s="142"/>
      <c r="Z93" s="145"/>
      <c r="AA93" s="115" t="e">
        <f t="shared" si="11"/>
        <v>#VALUE!</v>
      </c>
      <c r="AB93" s="186">
        <f t="shared" si="12"/>
        <v>1</v>
      </c>
      <c r="AC93" s="43">
        <f t="shared" si="81"/>
        <v>40.9</v>
      </c>
      <c r="AD93" s="43">
        <f t="shared" si="82"/>
        <v>89.1</v>
      </c>
      <c r="AF93" s="17" t="s">
        <v>89</v>
      </c>
      <c r="AG93" s="47">
        <v>0.74582536218888151</v>
      </c>
      <c r="AP93" s="133">
        <f t="shared" si="13"/>
        <v>0</v>
      </c>
      <c r="AQ93" s="135" t="str">
        <f t="shared" si="14"/>
        <v/>
      </c>
      <c r="AR93" s="135" t="str">
        <f t="shared" si="15"/>
        <v/>
      </c>
      <c r="AS93" s="135" t="str">
        <f t="shared" si="16"/>
        <v/>
      </c>
      <c r="AT93" s="135" t="str">
        <f t="shared" si="17"/>
        <v/>
      </c>
      <c r="AU93" s="135" t="str">
        <f t="shared" si="18"/>
        <v/>
      </c>
      <c r="AV93" s="135" t="str">
        <f t="shared" si="19"/>
        <v/>
      </c>
      <c r="AW93" s="135" t="str">
        <f t="shared" si="20"/>
        <v/>
      </c>
      <c r="AX93" s="135" t="str">
        <f t="shared" si="58"/>
        <v/>
      </c>
      <c r="AY93" s="135" t="str">
        <f t="shared" si="59"/>
        <v/>
      </c>
      <c r="AZ93" s="135" t="str">
        <f t="shared" si="79"/>
        <v/>
      </c>
      <c r="BA93" s="135" t="str">
        <f t="shared" si="24"/>
        <v/>
      </c>
      <c r="BB93" s="135" t="str">
        <f t="shared" si="25"/>
        <v/>
      </c>
      <c r="BC93" s="135" t="str">
        <f t="shared" si="80"/>
        <v/>
      </c>
      <c r="BD93" s="120" t="str">
        <f t="shared" si="27"/>
        <v/>
      </c>
      <c r="BE93" s="133">
        <f t="shared" si="60"/>
        <v>0</v>
      </c>
      <c r="BF93" s="135" t="str">
        <f t="shared" si="61"/>
        <v/>
      </c>
      <c r="BG93" s="135" t="str">
        <f t="shared" si="62"/>
        <v/>
      </c>
      <c r="BH93" s="135" t="str">
        <f t="shared" si="63"/>
        <v/>
      </c>
      <c r="BI93" s="135" t="str">
        <f t="shared" si="64"/>
        <v/>
      </c>
      <c r="BJ93" s="135" t="str">
        <f t="shared" si="65"/>
        <v/>
      </c>
      <c r="BK93" s="135" t="str">
        <f t="shared" si="66"/>
        <v/>
      </c>
      <c r="BL93" s="135" t="str">
        <f t="shared" si="67"/>
        <v/>
      </c>
      <c r="BM93" s="135" t="str">
        <f t="shared" si="68"/>
        <v/>
      </c>
      <c r="BN93" s="135" t="str">
        <f t="shared" si="69"/>
        <v/>
      </c>
      <c r="BO93" s="135" t="str">
        <f t="shared" si="78"/>
        <v/>
      </c>
      <c r="BP93" s="135" t="str">
        <f t="shared" si="70"/>
        <v/>
      </c>
      <c r="BQ93" s="135" t="str">
        <f t="shared" si="71"/>
        <v/>
      </c>
      <c r="BR93" s="135" t="str">
        <f t="shared" si="41"/>
        <v/>
      </c>
      <c r="BS93" s="120" t="str">
        <f t="shared" si="56"/>
        <v/>
      </c>
      <c r="BT93" s="133">
        <f t="shared" si="72"/>
        <v>0</v>
      </c>
      <c r="BU93" s="135" t="str">
        <f t="shared" si="73"/>
        <v/>
      </c>
      <c r="BV93" s="135" t="str">
        <f t="shared" si="74"/>
        <v/>
      </c>
      <c r="BW93" s="135" t="str">
        <f t="shared" si="45"/>
        <v/>
      </c>
      <c r="BX93" s="135" t="str">
        <f t="shared" si="46"/>
        <v/>
      </c>
      <c r="BY93" s="135" t="str">
        <f t="shared" si="75"/>
        <v/>
      </c>
      <c r="BZ93" s="135" t="str">
        <f t="shared" si="48"/>
        <v/>
      </c>
      <c r="CA93" s="135" t="str">
        <f t="shared" si="49"/>
        <v/>
      </c>
      <c r="CB93" s="135" t="str">
        <f t="shared" si="76"/>
        <v/>
      </c>
      <c r="CC93" s="135" t="str">
        <f t="shared" si="51"/>
        <v/>
      </c>
      <c r="CD93" s="135" t="str">
        <f t="shared" si="52"/>
        <v/>
      </c>
      <c r="CE93" s="135" t="str">
        <f t="shared" si="53"/>
        <v/>
      </c>
      <c r="CF93" s="135" t="str">
        <f t="shared" si="54"/>
        <v/>
      </c>
      <c r="CG93" s="135" t="str">
        <f t="shared" si="55"/>
        <v/>
      </c>
    </row>
    <row r="94" spans="1:85" ht="13.5" hidden="1" customHeight="1">
      <c r="A94" s="19"/>
      <c r="B94" s="118">
        <f t="shared" si="57"/>
        <v>45</v>
      </c>
      <c r="C94" s="119" t="str">
        <f>IF('Chart Information'!D48="","",'Chart Information'!D48)</f>
        <v/>
      </c>
      <c r="D94" s="120" t="str">
        <f>IF('Chart Information'!E48="","",'Chart Information'!E48)</f>
        <v/>
      </c>
      <c r="E94" s="120" t="str">
        <f>IF('Chart Information'!M48="","",'Chart Information'!M48)</f>
        <v/>
      </c>
      <c r="F94" s="120" t="str">
        <f>IF('Chart Information'!P48="","",'Chart Information'!P48)</f>
        <v/>
      </c>
      <c r="G94" s="120" t="str">
        <f>IF('Chart Information'!F48="","",'Chart Information'!F48)</f>
        <v/>
      </c>
      <c r="H94" s="120" t="str">
        <f>IF('Chart Information'!O48="","",'Chart Information'!O48)</f>
        <v/>
      </c>
      <c r="I94" s="120" t="str">
        <f t="shared" si="8"/>
        <v/>
      </c>
      <c r="J94" s="120" t="str">
        <f t="shared" si="83"/>
        <v/>
      </c>
      <c r="K94" s="147"/>
      <c r="L94" s="148"/>
      <c r="M94" s="148"/>
      <c r="N94" s="149" t="str">
        <f>IF(H94="","",$P$47*H94)</f>
        <v/>
      </c>
      <c r="O94" s="150"/>
      <c r="P94" s="148"/>
      <c r="Q94" s="148"/>
      <c r="R94" s="148"/>
      <c r="S94" s="148"/>
      <c r="T94" s="148"/>
      <c r="U94" s="148"/>
      <c r="V94" s="148"/>
      <c r="W94" s="148">
        <f t="shared" si="10"/>
        <v>2</v>
      </c>
      <c r="X94" s="150"/>
      <c r="Y94" s="148"/>
      <c r="Z94" s="151"/>
      <c r="AA94" s="115" t="e">
        <f t="shared" si="11"/>
        <v>#VALUE!</v>
      </c>
      <c r="AB94" s="186">
        <f t="shared" si="12"/>
        <v>1</v>
      </c>
      <c r="AC94" s="43">
        <f t="shared" si="81"/>
        <v>40.799999999999997</v>
      </c>
      <c r="AD94" s="43">
        <f t="shared" si="82"/>
        <v>89.2</v>
      </c>
      <c r="AF94" s="17" t="s">
        <v>90</v>
      </c>
      <c r="AG94" s="47">
        <v>0.87012958922036165</v>
      </c>
      <c r="AP94" s="133">
        <f t="shared" si="13"/>
        <v>0</v>
      </c>
      <c r="AQ94" s="135" t="str">
        <f t="shared" si="14"/>
        <v/>
      </c>
      <c r="AR94" s="135" t="str">
        <f t="shared" si="15"/>
        <v/>
      </c>
      <c r="AS94" s="135" t="str">
        <f t="shared" si="16"/>
        <v/>
      </c>
      <c r="AT94" s="135" t="str">
        <f t="shared" si="17"/>
        <v/>
      </c>
      <c r="AU94" s="135" t="str">
        <f t="shared" si="18"/>
        <v/>
      </c>
      <c r="AV94" s="135" t="str">
        <f t="shared" si="19"/>
        <v/>
      </c>
      <c r="AW94" s="135" t="str">
        <f t="shared" si="20"/>
        <v/>
      </c>
      <c r="AX94" s="135" t="str">
        <f t="shared" si="58"/>
        <v/>
      </c>
      <c r="AY94" s="135" t="str">
        <f t="shared" si="59"/>
        <v/>
      </c>
      <c r="AZ94" s="135" t="str">
        <f t="shared" si="79"/>
        <v/>
      </c>
      <c r="BA94" s="135" t="str">
        <f t="shared" si="24"/>
        <v/>
      </c>
      <c r="BB94" s="135" t="str">
        <f t="shared" si="25"/>
        <v/>
      </c>
      <c r="BC94" s="135" t="str">
        <f t="shared" si="80"/>
        <v/>
      </c>
      <c r="BD94" s="120" t="str">
        <f t="shared" si="27"/>
        <v/>
      </c>
      <c r="BE94" s="133">
        <f t="shared" si="60"/>
        <v>0</v>
      </c>
      <c r="BF94" s="135" t="str">
        <f t="shared" si="61"/>
        <v/>
      </c>
      <c r="BG94" s="135" t="str">
        <f t="shared" si="62"/>
        <v/>
      </c>
      <c r="BH94" s="135" t="str">
        <f t="shared" si="63"/>
        <v/>
      </c>
      <c r="BI94" s="135" t="str">
        <f t="shared" si="64"/>
        <v/>
      </c>
      <c r="BJ94" s="135" t="str">
        <f t="shared" si="65"/>
        <v/>
      </c>
      <c r="BK94" s="135" t="str">
        <f t="shared" si="66"/>
        <v/>
      </c>
      <c r="BL94" s="135" t="str">
        <f t="shared" si="67"/>
        <v/>
      </c>
      <c r="BM94" s="135" t="str">
        <f t="shared" si="68"/>
        <v/>
      </c>
      <c r="BN94" s="135" t="str">
        <f t="shared" si="69"/>
        <v/>
      </c>
      <c r="BO94" s="135" t="str">
        <f t="shared" si="78"/>
        <v/>
      </c>
      <c r="BP94" s="135" t="str">
        <f t="shared" si="70"/>
        <v/>
      </c>
      <c r="BQ94" s="135" t="str">
        <f t="shared" si="71"/>
        <v/>
      </c>
      <c r="BR94" s="135" t="str">
        <f t="shared" si="41"/>
        <v/>
      </c>
      <c r="BS94" s="120" t="str">
        <f t="shared" si="56"/>
        <v/>
      </c>
      <c r="BT94" s="133">
        <f t="shared" si="72"/>
        <v>0</v>
      </c>
      <c r="BU94" s="135" t="str">
        <f t="shared" si="73"/>
        <v/>
      </c>
      <c r="BV94" s="135" t="str">
        <f t="shared" si="74"/>
        <v/>
      </c>
      <c r="BW94" s="135" t="str">
        <f t="shared" si="45"/>
        <v/>
      </c>
      <c r="BX94" s="135" t="str">
        <f t="shared" si="46"/>
        <v/>
      </c>
      <c r="BY94" s="135" t="str">
        <f t="shared" si="75"/>
        <v/>
      </c>
      <c r="BZ94" s="135" t="str">
        <f t="shared" si="48"/>
        <v/>
      </c>
      <c r="CA94" s="135" t="str">
        <f t="shared" si="49"/>
        <v/>
      </c>
      <c r="CB94" s="135" t="str">
        <f t="shared" si="76"/>
        <v/>
      </c>
      <c r="CC94" s="135" t="str">
        <f t="shared" si="51"/>
        <v/>
      </c>
      <c r="CD94" s="135" t="str">
        <f t="shared" si="52"/>
        <v/>
      </c>
      <c r="CE94" s="135" t="str">
        <f t="shared" si="53"/>
        <v/>
      </c>
      <c r="CF94" s="135" t="str">
        <f t="shared" si="54"/>
        <v/>
      </c>
      <c r="CG94" s="135" t="str">
        <f t="shared" si="55"/>
        <v/>
      </c>
    </row>
    <row r="95" spans="1:85" ht="17.25" customHeight="1">
      <c r="B95" s="160"/>
      <c r="C95" s="160"/>
      <c r="D95" s="160"/>
      <c r="E95" s="160"/>
      <c r="F95" s="160"/>
      <c r="G95" s="160"/>
      <c r="H95" s="160"/>
      <c r="I95" s="126"/>
      <c r="J95" s="159"/>
      <c r="K95" s="160"/>
      <c r="L95" s="160"/>
      <c r="M95" s="127"/>
      <c r="N95" s="157"/>
      <c r="O95" s="157"/>
      <c r="P95" s="158"/>
      <c r="Q95" s="127"/>
      <c r="R95" s="127"/>
      <c r="S95" s="127"/>
      <c r="T95" s="127"/>
      <c r="U95" s="127"/>
      <c r="V95" s="127"/>
      <c r="W95" s="127"/>
      <c r="X95" s="127"/>
      <c r="Y95" s="127"/>
      <c r="Z95" s="130" t="s">
        <v>463</v>
      </c>
      <c r="AA95" s="88"/>
      <c r="AB95" s="186"/>
      <c r="AC95" s="43">
        <f t="shared" si="81"/>
        <v>40.700000000000003</v>
      </c>
      <c r="AD95" s="43">
        <f t="shared" si="82"/>
        <v>89.3</v>
      </c>
      <c r="AF95" s="17" t="s">
        <v>91</v>
      </c>
      <c r="AG95" s="47">
        <v>0.99443381625184191</v>
      </c>
      <c r="AT95" s="39"/>
      <c r="AU95" s="39"/>
      <c r="AV95" s="39"/>
      <c r="AW95" s="39"/>
      <c r="AX95" s="39"/>
      <c r="AY95" s="39"/>
      <c r="AZ95" s="39"/>
      <c r="BA95" s="135">
        <f>IF(SUM(BA50:BA94)=0,MAX($C50:$C94),AVERAGE(BA50:BA94))</f>
        <v>0</v>
      </c>
      <c r="BB95" s="135">
        <f>IF(SUM(BB50:BB94)=0,MIN($D50:$D94),AVERAGE(BB50:BB94))</f>
        <v>0</v>
      </c>
      <c r="BC95" s="135">
        <f>IF(SUM(BC50:BC94)=0,MIN($F50:$F94),AVERAGE(BC50:BC94))</f>
        <v>0</v>
      </c>
      <c r="BD95" s="39"/>
      <c r="BI95" s="39"/>
      <c r="BJ95" s="39"/>
      <c r="BK95" s="39"/>
      <c r="BL95" s="39"/>
      <c r="BM95" s="39"/>
      <c r="BN95" s="39"/>
      <c r="BO95" s="39"/>
      <c r="BP95" s="135">
        <f>IF(SUM(BP50:BP94)=0,MAX($C50:$C94),AVERAGE(BP50:BP94))</f>
        <v>0</v>
      </c>
      <c r="BQ95" s="135">
        <f>IF(SUM(BQ50:BQ94)=0,MIN($D50:$D94),AVERAGE(BQ50:BQ94))</f>
        <v>0</v>
      </c>
      <c r="BR95" s="135">
        <f>IF(SUM(BR50:BR94)=0,MIN(BD50:BD94),AVERAGE(BR50:BR94))</f>
        <v>0</v>
      </c>
      <c r="BS95" s="39"/>
      <c r="BX95" s="39"/>
      <c r="BY95" s="39"/>
      <c r="BZ95" s="39"/>
      <c r="CA95" s="39"/>
      <c r="CB95" s="39"/>
      <c r="CC95" s="39"/>
      <c r="CD95" s="39"/>
      <c r="CE95" s="135">
        <f>IF(SUM(CE50:CE94)=0,MAX($C50:$C94),AVERAGE(CE50:CE94))</f>
        <v>0</v>
      </c>
      <c r="CF95" s="135">
        <f>IF(SUM(CF50:CF94)=0,MIN($D50:$D94),AVERAGE(CF50:CF94))</f>
        <v>0</v>
      </c>
      <c r="CG95" s="135">
        <f>IF(SUM(CG50:CG94)=0,MIN(BS50:BS94),AVERAGE(CG50:CG94))</f>
        <v>0</v>
      </c>
    </row>
    <row r="96" spans="1:85" ht="17.25" customHeight="1">
      <c r="A96" s="19"/>
      <c r="B96" s="3147" t="s">
        <v>238</v>
      </c>
      <c r="C96" s="3147"/>
      <c r="D96" s="3147"/>
      <c r="E96" s="3147"/>
      <c r="F96" s="3167" t="s">
        <v>460</v>
      </c>
      <c r="G96" s="3167"/>
      <c r="H96" s="3167"/>
      <c r="I96" s="89"/>
      <c r="J96" s="3167" t="s">
        <v>458</v>
      </c>
      <c r="K96" s="3167"/>
      <c r="L96" s="3167"/>
      <c r="M96" s="89"/>
      <c r="N96" s="3167" t="s">
        <v>459</v>
      </c>
      <c r="O96" s="3167"/>
      <c r="P96" s="3167"/>
      <c r="Q96" s="156"/>
      <c r="R96" s="63"/>
      <c r="S96" s="63"/>
      <c r="T96" s="63"/>
      <c r="U96" s="63"/>
      <c r="V96" s="63"/>
      <c r="W96" s="63"/>
      <c r="X96" s="63"/>
      <c r="Y96" s="63"/>
      <c r="Z96" s="63"/>
      <c r="AA96" s="88"/>
      <c r="AB96" s="64"/>
      <c r="AC96" s="43">
        <f t="shared" si="81"/>
        <v>40.6</v>
      </c>
      <c r="AD96" s="43">
        <f t="shared" si="82"/>
        <v>89.4</v>
      </c>
      <c r="AF96" s="17" t="s">
        <v>92</v>
      </c>
      <c r="AG96" s="47">
        <v>1.1187380432833223</v>
      </c>
      <c r="AT96" s="39"/>
      <c r="AU96" s="39"/>
      <c r="AV96" s="39"/>
      <c r="AW96" s="39"/>
      <c r="AX96" s="39"/>
      <c r="AY96" s="39"/>
      <c r="AZ96" s="39"/>
      <c r="BA96" s="39"/>
      <c r="BB96" s="39"/>
      <c r="BC96" s="39"/>
      <c r="BD96" s="39"/>
      <c r="BE96" s="39"/>
      <c r="BF96" s="39"/>
      <c r="BG96" s="187"/>
      <c r="BH96" s="187"/>
      <c r="BI96" s="187"/>
      <c r="BJ96" s="39"/>
      <c r="BK96" s="39"/>
      <c r="BL96" s="39"/>
      <c r="BM96" s="187"/>
      <c r="BN96" s="187"/>
      <c r="BO96" s="187"/>
      <c r="BP96" s="187"/>
      <c r="BQ96" s="187"/>
      <c r="BR96" s="187"/>
      <c r="BS96" s="39"/>
      <c r="BT96" s="187"/>
    </row>
    <row r="97" spans="1:72" ht="17.25" customHeight="1">
      <c r="A97" s="19"/>
      <c r="B97" s="3147"/>
      <c r="C97" s="3147"/>
      <c r="D97" s="3147"/>
      <c r="E97" s="3147"/>
      <c r="F97" s="3167"/>
      <c r="G97" s="3167"/>
      <c r="H97" s="3167"/>
      <c r="I97" s="89"/>
      <c r="J97" s="3167"/>
      <c r="K97" s="3167"/>
      <c r="L97" s="3167"/>
      <c r="M97" s="89"/>
      <c r="N97" s="3167"/>
      <c r="O97" s="3167"/>
      <c r="P97" s="3167"/>
      <c r="Q97" s="16"/>
      <c r="AA97" s="84"/>
      <c r="AB97" s="19"/>
      <c r="AC97" s="43">
        <f t="shared" si="81"/>
        <v>40.5</v>
      </c>
      <c r="AD97" s="43">
        <f t="shared" si="82"/>
        <v>89.5</v>
      </c>
      <c r="AF97" s="17" t="s">
        <v>93</v>
      </c>
      <c r="AG97" s="47">
        <v>1.2430422703148025</v>
      </c>
      <c r="AT97" s="39"/>
      <c r="AU97" s="39"/>
      <c r="AV97" s="39"/>
      <c r="AW97" s="39"/>
      <c r="AX97" s="39"/>
      <c r="AY97" s="39"/>
      <c r="AZ97" s="39"/>
      <c r="BA97" s="39"/>
      <c r="BB97" s="39"/>
      <c r="BC97" s="39"/>
      <c r="BD97" s="39"/>
      <c r="BE97" s="39"/>
      <c r="BF97" s="39"/>
      <c r="BG97" s="187"/>
      <c r="BH97" s="187"/>
      <c r="BI97" s="187"/>
      <c r="BJ97" s="39"/>
      <c r="BK97" s="39"/>
      <c r="BL97" s="39"/>
      <c r="BM97" s="187"/>
      <c r="BN97" s="187"/>
      <c r="BO97" s="187"/>
      <c r="BP97" s="187"/>
      <c r="BQ97" s="187"/>
      <c r="BR97" s="187"/>
      <c r="BS97" s="39"/>
      <c r="BT97" s="187"/>
    </row>
    <row r="98" spans="1:72" ht="17.25" customHeight="1">
      <c r="A98" s="19"/>
      <c r="B98" s="3167" t="s">
        <v>238</v>
      </c>
      <c r="C98" s="3167"/>
      <c r="D98" s="3167"/>
      <c r="E98" s="170" t="s">
        <v>341</v>
      </c>
      <c r="F98" s="3165" t="str">
        <f>IF(P31="","",P31)</f>
        <v/>
      </c>
      <c r="G98" s="3165"/>
      <c r="H98" s="3165"/>
      <c r="I98" s="89"/>
      <c r="J98" s="3165" t="str">
        <f>IF(F98="","",F98*0.00364/0.00305)</f>
        <v/>
      </c>
      <c r="K98" s="3165"/>
      <c r="L98" s="3165"/>
      <c r="M98" s="89"/>
      <c r="N98" s="3165" t="str">
        <f>IF(F98="","",F98*0.00409/0.00305)</f>
        <v/>
      </c>
      <c r="O98" s="3165"/>
      <c r="P98" s="3165"/>
      <c r="Q98" s="16"/>
      <c r="AA98" s="84"/>
      <c r="AB98" s="19"/>
      <c r="AC98" s="43">
        <f t="shared" si="81"/>
        <v>40.4</v>
      </c>
      <c r="AD98" s="43">
        <f t="shared" si="82"/>
        <v>89.6</v>
      </c>
      <c r="AF98" s="17" t="s">
        <v>94</v>
      </c>
      <c r="AG98" s="47">
        <v>1.3673464973462826</v>
      </c>
      <c r="AT98" s="39"/>
      <c r="AU98" s="39"/>
      <c r="AV98" s="39"/>
      <c r="AW98" s="39"/>
      <c r="AX98" s="39"/>
      <c r="AY98" s="39"/>
      <c r="AZ98" s="39"/>
      <c r="BA98" s="39"/>
      <c r="BB98" s="39"/>
      <c r="BC98" s="39"/>
      <c r="BD98" s="39"/>
      <c r="BE98" s="39"/>
      <c r="BF98" s="39"/>
      <c r="BG98" s="187"/>
      <c r="BH98" s="187"/>
      <c r="BI98" s="187"/>
      <c r="BJ98" s="39"/>
      <c r="BK98" s="39"/>
      <c r="BL98" s="39"/>
      <c r="BM98" s="187"/>
      <c r="BN98" s="187"/>
      <c r="BO98" s="187"/>
      <c r="BP98" s="187"/>
      <c r="BQ98" s="187"/>
      <c r="BR98" s="187"/>
      <c r="BS98" s="39"/>
      <c r="BT98" s="187"/>
    </row>
    <row r="99" spans="1:72" ht="17.25" customHeight="1">
      <c r="A99" s="19"/>
      <c r="B99" s="3167" t="s">
        <v>263</v>
      </c>
      <c r="C99" s="3167"/>
      <c r="D99" s="3167"/>
      <c r="E99" s="3167"/>
      <c r="F99" s="3166" t="str">
        <f>IF(F98="","",IF($P$29="","",1-(F98/$P$29)))</f>
        <v/>
      </c>
      <c r="G99" s="3166"/>
      <c r="H99" s="3166"/>
      <c r="I99" s="89"/>
      <c r="J99" s="3166" t="str">
        <f>IF(J98="","",IF($P$29="","",1-(J98/$P$29)))</f>
        <v/>
      </c>
      <c r="K99" s="3166"/>
      <c r="L99" s="3166"/>
      <c r="M99" s="89"/>
      <c r="N99" s="3166" t="str">
        <f>IF(N98="","",IF($P$29="","",1-(N98/$P$29)))</f>
        <v/>
      </c>
      <c r="O99" s="3166"/>
      <c r="P99" s="3166"/>
      <c r="Q99" s="16"/>
      <c r="AA99" s="84"/>
      <c r="AB99" s="19"/>
      <c r="AC99" s="43">
        <f t="shared" si="81"/>
        <v>40.299999999999997</v>
      </c>
      <c r="AD99" s="43">
        <f t="shared" si="82"/>
        <v>89.7</v>
      </c>
      <c r="AF99" s="17" t="s">
        <v>95</v>
      </c>
      <c r="AG99" s="47">
        <v>1.491650724377763</v>
      </c>
      <c r="AT99" s="39"/>
      <c r="AU99" s="39"/>
      <c r="AV99" s="39"/>
      <c r="AW99" s="39"/>
      <c r="AX99" s="39"/>
      <c r="AY99" s="39"/>
      <c r="AZ99" s="39"/>
      <c r="BA99" s="39"/>
      <c r="BB99" s="39"/>
      <c r="BC99" s="39"/>
      <c r="BD99" s="39"/>
      <c r="BE99" s="39"/>
      <c r="BF99" s="39"/>
      <c r="BG99" s="187"/>
      <c r="BH99" s="187"/>
      <c r="BI99" s="187"/>
      <c r="BJ99" s="187"/>
      <c r="BK99" s="187"/>
      <c r="BL99" s="187"/>
      <c r="BM99" s="187"/>
      <c r="BN99" s="187"/>
      <c r="BO99" s="187"/>
      <c r="BP99" s="187"/>
      <c r="BQ99" s="187"/>
      <c r="BR99" s="187"/>
      <c r="BS99" s="39"/>
      <c r="BT99" s="187"/>
    </row>
    <row r="100" spans="1:72" ht="17.25" customHeight="1">
      <c r="B100" s="24"/>
      <c r="C100" s="24"/>
      <c r="D100" s="24"/>
      <c r="E100" s="24"/>
      <c r="F100" s="24"/>
      <c r="G100" s="24"/>
      <c r="H100" s="24"/>
      <c r="J100" s="24"/>
      <c r="K100" s="24"/>
      <c r="L100" s="24"/>
      <c r="N100" s="161"/>
      <c r="O100" s="24"/>
      <c r="P100" s="24"/>
      <c r="AA100" s="84"/>
      <c r="AB100" s="19"/>
      <c r="AC100" s="43">
        <f t="shared" si="81"/>
        <v>40.200000000000003</v>
      </c>
      <c r="AD100" s="43">
        <f t="shared" si="82"/>
        <v>89.8</v>
      </c>
      <c r="AF100" s="17" t="s">
        <v>96</v>
      </c>
      <c r="AG100" s="47">
        <v>1.6159549514092433</v>
      </c>
      <c r="AT100" s="39"/>
      <c r="AU100" s="39"/>
      <c r="AV100" s="39"/>
      <c r="AW100" s="39"/>
      <c r="AX100" s="39"/>
      <c r="AY100" s="39"/>
      <c r="AZ100" s="39"/>
      <c r="BA100" s="39"/>
      <c r="BB100" s="39"/>
      <c r="BC100" s="39"/>
      <c r="BD100" s="39"/>
      <c r="BE100" s="39"/>
      <c r="BF100" s="39"/>
      <c r="BG100" s="187"/>
      <c r="BH100" s="187"/>
      <c r="BI100" s="187"/>
      <c r="BJ100" s="187"/>
      <c r="BK100" s="187"/>
      <c r="BL100" s="187"/>
      <c r="BM100" s="187"/>
      <c r="BN100" s="187"/>
      <c r="BO100" s="187"/>
      <c r="BP100" s="187"/>
      <c r="BQ100" s="187"/>
      <c r="BR100" s="187"/>
      <c r="BS100" s="39"/>
      <c r="BT100" s="187"/>
    </row>
    <row r="101" spans="1:72" ht="17.25" customHeight="1">
      <c r="A101" s="19"/>
      <c r="B101" s="3147" t="s">
        <v>437</v>
      </c>
      <c r="C101" s="3147"/>
      <c r="D101" s="3147"/>
      <c r="E101" s="3147"/>
      <c r="F101" s="171" t="s">
        <v>193</v>
      </c>
      <c r="G101" s="171" t="s">
        <v>216</v>
      </c>
      <c r="H101" s="171" t="s">
        <v>439</v>
      </c>
      <c r="I101" s="89"/>
      <c r="J101" s="171" t="s">
        <v>193</v>
      </c>
      <c r="K101" s="171" t="s">
        <v>216</v>
      </c>
      <c r="L101" s="171" t="s">
        <v>439</v>
      </c>
      <c r="M101" s="89"/>
      <c r="N101" s="171" t="s">
        <v>193</v>
      </c>
      <c r="O101" s="171" t="s">
        <v>216</v>
      </c>
      <c r="P101" s="171" t="s">
        <v>439</v>
      </c>
      <c r="Q101" s="16"/>
      <c r="AB101" s="19"/>
      <c r="AC101" s="43">
        <f t="shared" si="81"/>
        <v>40.1</v>
      </c>
      <c r="AD101" s="43">
        <f t="shared" si="82"/>
        <v>89.9</v>
      </c>
      <c r="AF101" s="17" t="s">
        <v>97</v>
      </c>
      <c r="AG101" s="47">
        <v>1.7402591784407233</v>
      </c>
      <c r="AT101" s="39"/>
      <c r="AU101" s="39"/>
      <c r="AV101" s="39"/>
      <c r="AW101" s="39"/>
      <c r="AX101" s="39"/>
      <c r="AY101" s="39"/>
      <c r="AZ101" s="39"/>
      <c r="BA101" s="39"/>
      <c r="BB101" s="39"/>
      <c r="BC101" s="39"/>
      <c r="BD101" s="39"/>
      <c r="BE101" s="39"/>
      <c r="BF101" s="39"/>
      <c r="BG101" s="187"/>
      <c r="BH101" s="187"/>
      <c r="BI101" s="187"/>
      <c r="BJ101" s="187"/>
      <c r="BK101" s="187"/>
      <c r="BL101" s="187"/>
      <c r="BM101" s="187"/>
      <c r="BN101" s="187"/>
      <c r="BO101" s="187"/>
      <c r="BP101" s="187"/>
      <c r="BQ101" s="187"/>
      <c r="BR101" s="187"/>
      <c r="BS101" s="39"/>
      <c r="BT101" s="187"/>
    </row>
    <row r="102" spans="1:72" ht="17.25" customHeight="1">
      <c r="A102" s="19"/>
      <c r="B102" s="3147"/>
      <c r="C102" s="3147"/>
      <c r="D102" s="3147"/>
      <c r="E102" s="3147"/>
      <c r="F102" s="170" t="s">
        <v>340</v>
      </c>
      <c r="G102" s="170" t="s">
        <v>466</v>
      </c>
      <c r="H102" s="170" t="s">
        <v>220</v>
      </c>
      <c r="I102" s="89"/>
      <c r="J102" s="170" t="s">
        <v>340</v>
      </c>
      <c r="K102" s="170" t="s">
        <v>466</v>
      </c>
      <c r="L102" s="170" t="s">
        <v>220</v>
      </c>
      <c r="M102" s="89"/>
      <c r="N102" s="170" t="s">
        <v>340</v>
      </c>
      <c r="O102" s="170" t="s">
        <v>466</v>
      </c>
      <c r="P102" s="170" t="s">
        <v>220</v>
      </c>
      <c r="Q102" s="16"/>
      <c r="AB102" s="19"/>
      <c r="AC102" s="43">
        <f t="shared" si="81"/>
        <v>40</v>
      </c>
      <c r="AD102" s="43">
        <f t="shared" si="82"/>
        <v>90</v>
      </c>
      <c r="AF102" s="17" t="s">
        <v>98</v>
      </c>
      <c r="AG102" s="47">
        <v>1.8645634054722036</v>
      </c>
      <c r="AT102" s="39"/>
      <c r="AU102" s="39"/>
      <c r="AV102" s="39"/>
      <c r="AW102" s="39"/>
      <c r="AX102" s="39"/>
      <c r="AY102" s="39"/>
      <c r="AZ102" s="39"/>
      <c r="BA102" s="39"/>
      <c r="BB102" s="39"/>
      <c r="BC102" s="39"/>
      <c r="BD102" s="39"/>
      <c r="BE102" s="39"/>
      <c r="BF102" s="39"/>
      <c r="BG102" s="187"/>
      <c r="BH102" s="187"/>
      <c r="BI102" s="187"/>
      <c r="BJ102" s="187"/>
      <c r="BK102" s="187"/>
      <c r="BL102" s="187"/>
      <c r="BM102" s="187"/>
      <c r="BN102" s="187"/>
      <c r="BO102" s="187"/>
      <c r="BP102" s="187"/>
      <c r="BQ102" s="187"/>
      <c r="BR102" s="187"/>
      <c r="BS102" s="39"/>
      <c r="BT102" s="187"/>
    </row>
    <row r="103" spans="1:72" ht="17.25" customHeight="1">
      <c r="A103" s="19"/>
      <c r="B103" s="3150" t="s">
        <v>438</v>
      </c>
      <c r="C103" s="3150"/>
      <c r="D103" s="3150"/>
      <c r="E103" s="3150"/>
      <c r="F103" s="152" t="str">
        <f t="shared" ref="F103:H106" si="84">IF(N37="","",N37)</f>
        <v/>
      </c>
      <c r="G103" s="152" t="str">
        <f t="shared" si="84"/>
        <v/>
      </c>
      <c r="H103" s="153" t="str">
        <f t="shared" si="84"/>
        <v/>
      </c>
      <c r="I103" s="89"/>
      <c r="J103" s="152" t="str">
        <f>IF(F103="","",IF(F103=0,"",IF(BP95="","",BP95)))</f>
        <v/>
      </c>
      <c r="K103" s="152" t="str">
        <f>IF(J103="","",J103*H10)</f>
        <v/>
      </c>
      <c r="L103" s="153" t="str">
        <f>IF(F103="","",IF(F103=0,"",IF(BQ95="","",BQ95)))</f>
        <v/>
      </c>
      <c r="M103" s="89"/>
      <c r="N103" s="152" t="str">
        <f>IF(F103="","",IF(F103=0,"",IF(CE95="","",CE95)))</f>
        <v/>
      </c>
      <c r="O103" s="152" t="str">
        <f>IF(N103="","",N103*H10)</f>
        <v/>
      </c>
      <c r="P103" s="153" t="str">
        <f>IF(F103="","",IF(F103=0,"",IF(CF95="","",CF95)))</f>
        <v/>
      </c>
      <c r="Q103" s="16"/>
      <c r="AB103" s="19"/>
      <c r="AC103" s="43">
        <f t="shared" si="81"/>
        <v>39.9</v>
      </c>
      <c r="AD103" s="43">
        <f t="shared" si="82"/>
        <v>90.1</v>
      </c>
      <c r="AF103" s="17" t="s">
        <v>99</v>
      </c>
      <c r="AG103" s="47">
        <v>1.9888676325036838</v>
      </c>
      <c r="AT103" s="39"/>
      <c r="AU103" s="39"/>
      <c r="AV103" s="39"/>
      <c r="AW103" s="39"/>
      <c r="AX103" s="39"/>
      <c r="AY103" s="39"/>
      <c r="AZ103" s="39"/>
      <c r="BA103" s="39"/>
      <c r="BB103" s="39"/>
      <c r="BC103" s="39"/>
      <c r="BD103" s="39"/>
      <c r="BE103" s="39"/>
      <c r="BF103" s="39"/>
      <c r="BG103" s="187"/>
      <c r="BH103" s="187"/>
      <c r="BI103" s="187"/>
      <c r="BJ103" s="187"/>
      <c r="BK103" s="187"/>
      <c r="BL103" s="187"/>
      <c r="BM103" s="187"/>
      <c r="BN103" s="187"/>
      <c r="BO103" s="187"/>
      <c r="BP103" s="187"/>
      <c r="BQ103" s="187"/>
      <c r="BR103" s="187"/>
      <c r="BS103" s="39"/>
      <c r="BT103" s="187"/>
    </row>
    <row r="104" spans="1:72" ht="17.25" customHeight="1">
      <c r="A104" s="19"/>
      <c r="B104" s="3150" t="s">
        <v>440</v>
      </c>
      <c r="C104" s="3150"/>
      <c r="D104" s="3150"/>
      <c r="E104" s="3150"/>
      <c r="F104" s="152" t="str">
        <f t="shared" si="84"/>
        <v/>
      </c>
      <c r="G104" s="152" t="str">
        <f t="shared" si="84"/>
        <v/>
      </c>
      <c r="H104" s="153" t="str">
        <f t="shared" si="84"/>
        <v/>
      </c>
      <c r="I104" s="89"/>
      <c r="J104" s="152" t="str">
        <f>IF(J103="","",IF(Z42=0,"",J103))</f>
        <v/>
      </c>
      <c r="K104" s="152" t="str">
        <f>IF(J104="","",J104*$H$10)</f>
        <v/>
      </c>
      <c r="L104" s="153" t="str">
        <f>IF(J104="","",Z42*0.00364/0.00305*(J103^2))</f>
        <v/>
      </c>
      <c r="M104" s="89"/>
      <c r="N104" s="152" t="str">
        <f>IF(N103="","",IF(Z42=0,"",N103))</f>
        <v/>
      </c>
      <c r="O104" s="152" t="str">
        <f>IF(N104="","",N104*$H$10)</f>
        <v/>
      </c>
      <c r="P104" s="153" t="str">
        <f>IF(N104="","",Z42*0.00409/0.00305*(N103^2))</f>
        <v/>
      </c>
      <c r="Q104" s="16"/>
      <c r="AB104" s="19"/>
      <c r="AC104" s="43">
        <f t="shared" si="81"/>
        <v>39.799999999999997</v>
      </c>
      <c r="AD104" s="43">
        <f t="shared" si="82"/>
        <v>90.2</v>
      </c>
      <c r="AF104" s="17" t="s">
        <v>100</v>
      </c>
      <c r="AG104" s="47">
        <v>2.1131718595351643</v>
      </c>
      <c r="BN104" s="187"/>
      <c r="BO104" s="187"/>
      <c r="BP104" s="187"/>
      <c r="BQ104" s="187"/>
      <c r="BR104" s="187"/>
      <c r="BT104" s="187"/>
    </row>
    <row r="105" spans="1:72" ht="17.25" customHeight="1">
      <c r="A105" s="19"/>
      <c r="B105" s="3150" t="s">
        <v>276</v>
      </c>
      <c r="C105" s="3150"/>
      <c r="D105" s="3150"/>
      <c r="E105" s="3150"/>
      <c r="F105" s="152" t="str">
        <f t="shared" si="84"/>
        <v/>
      </c>
      <c r="G105" s="152" t="str">
        <f t="shared" si="84"/>
        <v/>
      </c>
      <c r="H105" s="153" t="str">
        <f t="shared" si="84"/>
        <v/>
      </c>
      <c r="I105" s="89"/>
      <c r="J105" s="152" t="str">
        <f>IF(F103=0,"",IF(Z14=0,"",(L105/(Z14*0.00364/0.00305))^0.5))</f>
        <v/>
      </c>
      <c r="K105" s="152" t="str">
        <f>IF(J105="","",J105*$H$10)</f>
        <v/>
      </c>
      <c r="L105" s="153" t="str">
        <f>IF(L104="","",IF(Z14=0,"",L104))</f>
        <v/>
      </c>
      <c r="M105" s="89"/>
      <c r="N105" s="152" t="str">
        <f>IF(F103=0,"",IF(Z14=0,"",(P105/(Z14*0.00409/0.00305))^0.5))</f>
        <v/>
      </c>
      <c r="O105" s="152" t="str">
        <f>IF(N105="","",N105*$H$10)</f>
        <v/>
      </c>
      <c r="P105" s="153" t="str">
        <f>IF(P104="","",IF(AC14=0,"",P104))</f>
        <v/>
      </c>
      <c r="Q105" s="16"/>
      <c r="AB105" s="19"/>
      <c r="AC105" s="43">
        <f t="shared" si="81"/>
        <v>39.700000000000003</v>
      </c>
      <c r="AD105" s="43">
        <f t="shared" si="82"/>
        <v>90.3</v>
      </c>
      <c r="AF105" s="17" t="s">
        <v>101</v>
      </c>
      <c r="AG105" s="47">
        <v>2.2374760865666445</v>
      </c>
      <c r="BN105" s="187"/>
      <c r="BO105" s="187"/>
      <c r="BP105" s="187"/>
      <c r="BQ105" s="187"/>
      <c r="BR105" s="187"/>
      <c r="BT105" s="187"/>
    </row>
    <row r="106" spans="1:72" ht="17.25" customHeight="1">
      <c r="A106" s="19"/>
      <c r="B106" s="3150" t="s">
        <v>275</v>
      </c>
      <c r="C106" s="3150"/>
      <c r="D106" s="3150"/>
      <c r="E106" s="3150"/>
      <c r="F106" s="152" t="str">
        <f t="shared" si="84"/>
        <v/>
      </c>
      <c r="G106" s="152" t="str">
        <f t="shared" si="84"/>
        <v/>
      </c>
      <c r="H106" s="153" t="str">
        <f t="shared" si="84"/>
        <v/>
      </c>
      <c r="I106" s="89"/>
      <c r="J106" s="152" t="str">
        <f>IF(F103=0,"",IF(Z40=0,"",(L106/(Z40*0.00364/0.00305))^0.5))</f>
        <v/>
      </c>
      <c r="K106" s="152" t="str">
        <f>IF(J106="","",J106*$H$10)</f>
        <v/>
      </c>
      <c r="L106" s="153" t="str">
        <f>IF(L104="","",IF(Z40=0,"",L104))</f>
        <v/>
      </c>
      <c r="M106" s="89"/>
      <c r="N106" s="152" t="str">
        <f>IF(F103=0,"",IF(Z40=0,"",(P106/(Z40*0.00409/0.00305))^0.5))</f>
        <v/>
      </c>
      <c r="O106" s="152" t="str">
        <f>IF(N106="","",N106*$H$10)</f>
        <v/>
      </c>
      <c r="P106" s="153" t="str">
        <f>IF(P104="","",IF(AC40=0,"",P104))</f>
        <v/>
      </c>
      <c r="Q106" s="16"/>
      <c r="AB106" s="19"/>
      <c r="AC106" s="43">
        <f t="shared" si="81"/>
        <v>39.6</v>
      </c>
      <c r="AD106" s="43">
        <f t="shared" si="82"/>
        <v>90.4</v>
      </c>
      <c r="AF106" s="17" t="s">
        <v>104</v>
      </c>
      <c r="AG106" s="47">
        <v>0.19173501320198189</v>
      </c>
    </row>
    <row r="107" spans="1:72" ht="17.25" customHeight="1">
      <c r="A107" s="19"/>
      <c r="B107" s="24"/>
      <c r="C107" s="24"/>
      <c r="D107" s="24"/>
      <c r="E107" s="24"/>
      <c r="F107" s="22"/>
      <c r="G107" s="22"/>
      <c r="H107" s="22"/>
      <c r="J107" s="24"/>
      <c r="K107" s="24"/>
      <c r="L107" s="24"/>
      <c r="N107" s="24"/>
      <c r="O107" s="24"/>
      <c r="P107" s="24"/>
      <c r="AB107" s="19"/>
      <c r="AC107" s="43">
        <f t="shared" si="81"/>
        <v>39.5</v>
      </c>
      <c r="AD107" s="43">
        <f t="shared" si="82"/>
        <v>90.5</v>
      </c>
      <c r="AF107" s="17" t="s">
        <v>105</v>
      </c>
      <c r="AG107" s="47">
        <v>6.640910759216069E-2</v>
      </c>
    </row>
    <row r="108" spans="1:72" ht="17.25" customHeight="1">
      <c r="B108" s="3147" t="s">
        <v>457</v>
      </c>
      <c r="C108" s="3147"/>
      <c r="D108" s="3147"/>
      <c r="E108" s="3147"/>
      <c r="F108" s="171" t="s">
        <v>449</v>
      </c>
      <c r="G108" s="171" t="s">
        <v>450</v>
      </c>
      <c r="H108" s="171" t="s">
        <v>451</v>
      </c>
      <c r="I108" s="89"/>
      <c r="J108" s="171" t="s">
        <v>449</v>
      </c>
      <c r="K108" s="171" t="s">
        <v>450</v>
      </c>
      <c r="L108" s="171" t="s">
        <v>451</v>
      </c>
      <c r="M108" s="89"/>
      <c r="N108" s="171" t="s">
        <v>449</v>
      </c>
      <c r="O108" s="171" t="s">
        <v>450</v>
      </c>
      <c r="P108" s="171" t="s">
        <v>451</v>
      </c>
      <c r="AB108" s="15"/>
      <c r="AC108" s="43">
        <f t="shared" si="81"/>
        <v>39.4</v>
      </c>
      <c r="AD108" s="43">
        <f t="shared" si="82"/>
        <v>90.6</v>
      </c>
      <c r="AF108" s="17" t="s">
        <v>106</v>
      </c>
      <c r="AG108" s="47">
        <v>0</v>
      </c>
    </row>
    <row r="109" spans="1:72" ht="17.25" customHeight="1">
      <c r="A109" s="19"/>
      <c r="B109" s="3147"/>
      <c r="C109" s="3147"/>
      <c r="D109" s="3147"/>
      <c r="E109" s="3147"/>
      <c r="F109" s="170" t="s">
        <v>218</v>
      </c>
      <c r="G109" s="170" t="s">
        <v>218</v>
      </c>
      <c r="H109" s="170" t="s">
        <v>211</v>
      </c>
      <c r="I109" s="89"/>
      <c r="J109" s="170" t="s">
        <v>218</v>
      </c>
      <c r="K109" s="170" t="s">
        <v>218</v>
      </c>
      <c r="L109" s="170" t="s">
        <v>211</v>
      </c>
      <c r="M109" s="89"/>
      <c r="N109" s="170" t="s">
        <v>218</v>
      </c>
      <c r="O109" s="170" t="s">
        <v>218</v>
      </c>
      <c r="P109" s="170" t="s">
        <v>211</v>
      </c>
      <c r="Q109" s="16"/>
      <c r="AB109" s="15"/>
      <c r="AC109" s="43">
        <f t="shared" si="81"/>
        <v>39.299999999999997</v>
      </c>
      <c r="AD109" s="43">
        <f t="shared" si="82"/>
        <v>90.7</v>
      </c>
      <c r="AF109" s="17" t="s">
        <v>107</v>
      </c>
      <c r="AG109" s="47">
        <v>110.950689</v>
      </c>
    </row>
    <row r="110" spans="1:72" ht="17.25" customHeight="1">
      <c r="A110" s="19"/>
      <c r="B110" s="3150" t="s">
        <v>448</v>
      </c>
      <c r="C110" s="3150"/>
      <c r="D110" s="3150"/>
      <c r="E110" s="3150"/>
      <c r="F110" s="152" t="str">
        <f>IF(F103="","",IF(F103=0,"",IF(BC95="","",BC95)))</f>
        <v/>
      </c>
      <c r="G110" s="152" t="str">
        <f>IF(F103=0,"",IF(F103="","",F103*H103/1000))</f>
        <v/>
      </c>
      <c r="H110" s="173" t="str">
        <f>IF(G110="","",G110/F110)</f>
        <v/>
      </c>
      <c r="I110" s="89"/>
      <c r="J110" s="152" t="str">
        <f>IF(F103="","",IF(F103=0,"",IF(BR95="","",BR95)))</f>
        <v/>
      </c>
      <c r="K110" s="152" t="str">
        <f>IF(J103="","",J103*L103/1000)</f>
        <v/>
      </c>
      <c r="L110" s="173" t="str">
        <f>IF(K110="","",K110/J110)</f>
        <v/>
      </c>
      <c r="M110" s="89"/>
      <c r="N110" s="152" t="str">
        <f>IF(F103="","",IF(F103=0,"",IF(CG95="","",CG95)))</f>
        <v/>
      </c>
      <c r="O110" s="152" t="str">
        <f>IF(N103="","",N103*P103/1000)</f>
        <v/>
      </c>
      <c r="P110" s="173" t="str">
        <f>IF(O110="","",O110/N110)</f>
        <v/>
      </c>
      <c r="Q110" s="16"/>
      <c r="AB110" s="15"/>
      <c r="AC110" s="43">
        <f t="shared" si="81"/>
        <v>39.200000000000003</v>
      </c>
      <c r="AD110" s="43">
        <f t="shared" si="82"/>
        <v>90.8</v>
      </c>
      <c r="AF110" s="17" t="s">
        <v>108</v>
      </c>
      <c r="AG110" s="47">
        <v>40.020055999999997</v>
      </c>
    </row>
    <row r="111" spans="1:72" ht="17.25" customHeight="1">
      <c r="A111" s="19"/>
      <c r="B111" s="3154" t="s">
        <v>452</v>
      </c>
      <c r="C111" s="3154"/>
      <c r="D111" s="3154"/>
      <c r="E111" s="3154"/>
      <c r="F111" s="136" t="s">
        <v>453</v>
      </c>
      <c r="G111" s="3153" t="str">
        <f>IF(F110="","",F110*$H$12)</f>
        <v/>
      </c>
      <c r="H111" s="3153"/>
      <c r="I111" s="155"/>
      <c r="J111" s="3153" t="str">
        <f>IF(J110="","",J110*$H$12)</f>
        <v/>
      </c>
      <c r="K111" s="3153"/>
      <c r="L111" s="167" t="str">
        <f>IF(G111="","",(J111-G111)/G111)</f>
        <v/>
      </c>
      <c r="M111" s="89"/>
      <c r="N111" s="3153" t="str">
        <f>IF(N110="","",N110*$H$12)</f>
        <v/>
      </c>
      <c r="O111" s="3153"/>
      <c r="P111" s="167" t="str">
        <f>IF(G111="","",(N111-G111)/G111)</f>
        <v/>
      </c>
      <c r="Q111" s="16"/>
      <c r="AB111" s="15"/>
      <c r="AC111" s="43">
        <f t="shared" si="81"/>
        <v>39.1</v>
      </c>
      <c r="AD111" s="43">
        <f t="shared" si="82"/>
        <v>90.9</v>
      </c>
      <c r="AF111" s="17" t="s">
        <v>109</v>
      </c>
      <c r="AG111" s="47">
        <v>28.819663000000002</v>
      </c>
    </row>
    <row r="112" spans="1:72" ht="17.25" customHeight="1">
      <c r="A112" s="19"/>
      <c r="B112" s="3154" t="s">
        <v>462</v>
      </c>
      <c r="C112" s="3154"/>
      <c r="D112" s="3154"/>
      <c r="E112" s="3154"/>
      <c r="F112" s="136" t="s">
        <v>453</v>
      </c>
      <c r="G112" s="3153" t="str">
        <f>IF(G111="","",G111/F103)</f>
        <v/>
      </c>
      <c r="H112" s="3153"/>
      <c r="I112" s="89"/>
      <c r="J112" s="3153" t="str">
        <f>IF(J111="","",J111/J103)</f>
        <v/>
      </c>
      <c r="K112" s="3153"/>
      <c r="L112" s="3163" t="str">
        <f>IF(G116="","",(J116-G116)/G116)</f>
        <v/>
      </c>
      <c r="M112" s="89"/>
      <c r="N112" s="3153" t="str">
        <f>IF(N111="","",N111/N103)</f>
        <v/>
      </c>
      <c r="O112" s="3153"/>
      <c r="P112" s="3163" t="str">
        <f>IF(G116="","",(N116-G116)/G116)</f>
        <v/>
      </c>
      <c r="Q112" s="16"/>
      <c r="AB112" s="15"/>
      <c r="AC112" s="43">
        <f t="shared" si="81"/>
        <v>39</v>
      </c>
      <c r="AD112" s="43">
        <f t="shared" si="82"/>
        <v>91</v>
      </c>
      <c r="AF112" s="17" t="s">
        <v>110</v>
      </c>
      <c r="AG112" s="47">
        <v>-6.3797959999999998</v>
      </c>
    </row>
    <row r="113" spans="1:33" ht="17.25" customHeight="1">
      <c r="A113" s="19"/>
      <c r="B113" s="3154"/>
      <c r="C113" s="3154"/>
      <c r="D113" s="3154"/>
      <c r="E113" s="3154"/>
      <c r="F113" s="136" t="s">
        <v>454</v>
      </c>
      <c r="G113" s="3153" t="str">
        <f>IF(G112="","",G112*24)</f>
        <v/>
      </c>
      <c r="H113" s="3153"/>
      <c r="I113" s="89"/>
      <c r="J113" s="3153" t="str">
        <f>IF(J112="","",J112*24)</f>
        <v/>
      </c>
      <c r="K113" s="3153"/>
      <c r="L113" s="3163"/>
      <c r="M113" s="89"/>
      <c r="N113" s="3153" t="str">
        <f>IF(N112="","",N112*24)</f>
        <v/>
      </c>
      <c r="O113" s="3153"/>
      <c r="P113" s="3163"/>
      <c r="Q113" s="16"/>
      <c r="AB113" s="15"/>
      <c r="AC113" s="43">
        <f t="shared" si="81"/>
        <v>38.9</v>
      </c>
      <c r="AD113" s="43">
        <f t="shared" si="82"/>
        <v>91.1</v>
      </c>
      <c r="AF113" s="17" t="s">
        <v>111</v>
      </c>
      <c r="AG113" s="47">
        <v>-8.3170809999999999</v>
      </c>
    </row>
    <row r="114" spans="1:33" ht="17.25" customHeight="1">
      <c r="A114" s="19"/>
      <c r="B114" s="3154"/>
      <c r="C114" s="3154"/>
      <c r="D114" s="3154"/>
      <c r="E114" s="3154"/>
      <c r="F114" s="136" t="s">
        <v>454</v>
      </c>
      <c r="G114" s="3153" t="str">
        <f>IF(G113="","",G113*7)</f>
        <v/>
      </c>
      <c r="H114" s="3153"/>
      <c r="I114" s="89"/>
      <c r="J114" s="3153" t="str">
        <f>IF(J113="","",J113*7)</f>
        <v/>
      </c>
      <c r="K114" s="3153"/>
      <c r="L114" s="3163"/>
      <c r="M114" s="89"/>
      <c r="N114" s="3153" t="str">
        <f>IF(N113="","",N113*7)</f>
        <v/>
      </c>
      <c r="O114" s="3153"/>
      <c r="P114" s="3163"/>
      <c r="Q114" s="16"/>
      <c r="AB114" s="15"/>
      <c r="AC114" s="43">
        <f t="shared" si="81"/>
        <v>38.799999999999997</v>
      </c>
      <c r="AD114" s="43">
        <f t="shared" si="82"/>
        <v>91.2</v>
      </c>
      <c r="AF114" s="17" t="s">
        <v>381</v>
      </c>
      <c r="AG114" s="47">
        <v>-8.7830199999999987</v>
      </c>
    </row>
    <row r="115" spans="1:33" ht="17.25" customHeight="1">
      <c r="A115" s="19"/>
      <c r="B115" s="3154"/>
      <c r="C115" s="3154"/>
      <c r="D115" s="3154"/>
      <c r="E115" s="3154"/>
      <c r="F115" s="136" t="s">
        <v>456</v>
      </c>
      <c r="G115" s="3153" t="str">
        <f>IF(G116="","",G116/12)</f>
        <v/>
      </c>
      <c r="H115" s="3153"/>
      <c r="I115" s="89"/>
      <c r="J115" s="3153" t="str">
        <f>IF(J116="","",J116/12)</f>
        <v/>
      </c>
      <c r="K115" s="3153"/>
      <c r="L115" s="3163"/>
      <c r="M115" s="89"/>
      <c r="N115" s="3153" t="str">
        <f>IF(N116="","",N116/12)</f>
        <v/>
      </c>
      <c r="O115" s="3153"/>
      <c r="P115" s="3163"/>
      <c r="Q115" s="16"/>
      <c r="AB115" s="15"/>
      <c r="AC115" s="43">
        <f t="shared" si="81"/>
        <v>38.700000000000003</v>
      </c>
      <c r="AD115" s="43">
        <f t="shared" si="82"/>
        <v>91.3</v>
      </c>
      <c r="AF115" s="17" t="s">
        <v>112</v>
      </c>
      <c r="AG115" s="47">
        <v>4.0408185959773246E-2</v>
      </c>
    </row>
    <row r="116" spans="1:33" ht="17.25" customHeight="1">
      <c r="A116" s="19"/>
      <c r="B116" s="3154"/>
      <c r="C116" s="3154"/>
      <c r="D116" s="3154"/>
      <c r="E116" s="3154"/>
      <c r="F116" s="136" t="s">
        <v>455</v>
      </c>
      <c r="G116" s="3153" t="str">
        <f>IF(G113="","",G113*365)</f>
        <v/>
      </c>
      <c r="H116" s="3153"/>
      <c r="I116" s="89"/>
      <c r="J116" s="3153" t="str">
        <f>IF(J113="","",J113*365)</f>
        <v/>
      </c>
      <c r="K116" s="3153"/>
      <c r="L116" s="3163"/>
      <c r="M116" s="89"/>
      <c r="N116" s="3153" t="str">
        <f>IF(N113="","",N113*365)</f>
        <v/>
      </c>
      <c r="O116" s="3153"/>
      <c r="P116" s="3163"/>
      <c r="Q116" s="16"/>
      <c r="Z116" s="22"/>
      <c r="AB116" s="15"/>
      <c r="AC116" s="43">
        <f t="shared" si="81"/>
        <v>38.6</v>
      </c>
      <c r="AD116" s="43">
        <f t="shared" si="82"/>
        <v>91.4</v>
      </c>
      <c r="AF116" s="17" t="s">
        <v>113</v>
      </c>
      <c r="AG116" s="47">
        <v>8.0816371919546492E-2</v>
      </c>
    </row>
    <row r="117" spans="1:33" ht="17.25" customHeight="1">
      <c r="A117" s="19"/>
      <c r="B117" s="3160" t="s">
        <v>461</v>
      </c>
      <c r="C117" s="3161"/>
      <c r="D117" s="3161"/>
      <c r="E117" s="3161"/>
      <c r="F117" s="3161"/>
      <c r="G117" s="3161"/>
      <c r="H117" s="3162"/>
      <c r="J117" s="21"/>
      <c r="K117" s="21"/>
      <c r="L117" s="21"/>
      <c r="N117" s="21"/>
      <c r="O117" s="21"/>
      <c r="P117" s="21"/>
      <c r="Q117" s="16"/>
      <c r="Z117" s="164" t="s">
        <v>464</v>
      </c>
      <c r="AB117" s="15"/>
      <c r="AC117" s="43">
        <f t="shared" si="81"/>
        <v>38.5</v>
      </c>
      <c r="AD117" s="43">
        <f t="shared" si="82"/>
        <v>91.5</v>
      </c>
      <c r="AF117" s="17" t="s">
        <v>114</v>
      </c>
      <c r="AG117" s="47">
        <v>0.12122455787931974</v>
      </c>
    </row>
    <row r="118" spans="1:33" ht="17.25" hidden="1" customHeight="1">
      <c r="A118" s="19"/>
      <c r="F118" s="14"/>
      <c r="G118" s="14"/>
      <c r="Q118" s="16"/>
      <c r="AB118" s="15"/>
      <c r="AC118" s="43">
        <f t="shared" si="81"/>
        <v>38.4</v>
      </c>
      <c r="AD118" s="43">
        <f t="shared" si="82"/>
        <v>91.6</v>
      </c>
      <c r="AF118" s="17" t="s">
        <v>115</v>
      </c>
      <c r="AG118" s="47">
        <v>0.16163274383909298</v>
      </c>
    </row>
    <row r="119" spans="1:33" ht="17.25" hidden="1" customHeight="1">
      <c r="A119" s="19"/>
      <c r="I119" s="18"/>
      <c r="Q119" s="16"/>
      <c r="AB119" s="15"/>
      <c r="AC119" s="43">
        <f t="shared" si="81"/>
        <v>38.299999999999997</v>
      </c>
      <c r="AD119" s="43">
        <f t="shared" si="82"/>
        <v>91.7</v>
      </c>
      <c r="AF119" s="17" t="s">
        <v>116</v>
      </c>
      <c r="AG119" s="47">
        <v>0.2020409297988662</v>
      </c>
    </row>
    <row r="120" spans="1:33" ht="17.25" hidden="1" customHeight="1">
      <c r="A120" s="19"/>
      <c r="I120" s="18"/>
      <c r="Q120" s="16"/>
      <c r="AB120" s="188"/>
      <c r="AC120" s="43">
        <f t="shared" si="81"/>
        <v>38.200000000000003</v>
      </c>
      <c r="AD120" s="43">
        <f t="shared" si="82"/>
        <v>91.8</v>
      </c>
      <c r="AF120" s="17" t="s">
        <v>117</v>
      </c>
      <c r="AG120" s="47">
        <v>0.24244911575863948</v>
      </c>
    </row>
    <row r="121" spans="1:33" ht="17.25" hidden="1" customHeight="1">
      <c r="A121" s="19"/>
      <c r="I121" s="18"/>
      <c r="Q121" s="16"/>
      <c r="AB121" s="19"/>
      <c r="AC121" s="43">
        <f t="shared" si="81"/>
        <v>38.1</v>
      </c>
      <c r="AD121" s="43">
        <f t="shared" si="82"/>
        <v>91.9</v>
      </c>
      <c r="AF121" s="17" t="s">
        <v>382</v>
      </c>
      <c r="AG121" s="47">
        <v>0.28285730171841272</v>
      </c>
    </row>
    <row r="122" spans="1:33" ht="17.25" hidden="1" customHeight="1">
      <c r="I122" s="18"/>
      <c r="AB122" s="19"/>
      <c r="AC122" s="43">
        <f t="shared" si="81"/>
        <v>38</v>
      </c>
      <c r="AD122" s="43">
        <f t="shared" si="82"/>
        <v>92</v>
      </c>
      <c r="AF122" s="17" t="s">
        <v>383</v>
      </c>
      <c r="AG122" s="47">
        <v>0.32326548767818597</v>
      </c>
    </row>
    <row r="123" spans="1:33" ht="17.25" hidden="1" customHeight="1">
      <c r="I123" s="18"/>
      <c r="AB123" s="19"/>
      <c r="AC123" s="43">
        <f t="shared" si="81"/>
        <v>37.9</v>
      </c>
      <c r="AD123" s="43">
        <f t="shared" si="82"/>
        <v>92.1</v>
      </c>
      <c r="AF123" s="17" t="s">
        <v>118</v>
      </c>
      <c r="AG123" s="47">
        <v>2.9497975750634467E-2</v>
      </c>
    </row>
    <row r="124" spans="1:33" ht="17.25" hidden="1" customHeight="1">
      <c r="I124" s="18"/>
      <c r="AB124" s="19"/>
      <c r="AC124" s="43">
        <f t="shared" si="81"/>
        <v>37.799999999999997</v>
      </c>
      <c r="AD124" s="43">
        <f t="shared" si="82"/>
        <v>92.2</v>
      </c>
      <c r="AF124" s="17" t="s">
        <v>119</v>
      </c>
      <c r="AG124" s="47">
        <v>5.8995951501268934E-2</v>
      </c>
    </row>
    <row r="125" spans="1:33" ht="17.25" hidden="1" customHeight="1">
      <c r="I125" s="18"/>
      <c r="AB125" s="19"/>
      <c r="AC125" s="43">
        <f t="shared" si="81"/>
        <v>37.700000000000003</v>
      </c>
      <c r="AD125" s="43">
        <f t="shared" si="82"/>
        <v>92.3</v>
      </c>
      <c r="AF125" s="17" t="s">
        <v>120</v>
      </c>
      <c r="AG125" s="47">
        <v>8.8493927251903401E-2</v>
      </c>
    </row>
    <row r="126" spans="1:33" ht="17.25" hidden="1" customHeight="1">
      <c r="I126" s="18"/>
      <c r="AB126" s="19"/>
      <c r="AC126" s="43">
        <f t="shared" si="81"/>
        <v>37.6</v>
      </c>
      <c r="AD126" s="43">
        <f t="shared" si="82"/>
        <v>92.4</v>
      </c>
      <c r="AF126" s="17" t="s">
        <v>121</v>
      </c>
      <c r="AG126" s="47">
        <v>0.11799190300253787</v>
      </c>
    </row>
    <row r="127" spans="1:33" ht="17.25" hidden="1" customHeight="1">
      <c r="I127" s="18"/>
      <c r="AB127" s="19"/>
      <c r="AC127" s="43">
        <f t="shared" si="81"/>
        <v>37.5</v>
      </c>
      <c r="AD127" s="43">
        <f t="shared" si="82"/>
        <v>92.5</v>
      </c>
      <c r="AF127" s="17" t="s">
        <v>122</v>
      </c>
      <c r="AG127" s="47">
        <v>0.14748987875317232</v>
      </c>
    </row>
    <row r="128" spans="1:33" ht="17.25" hidden="1" customHeight="1">
      <c r="I128" s="18"/>
      <c r="AB128" s="19"/>
      <c r="AC128" s="43">
        <f t="shared" si="81"/>
        <v>37.4</v>
      </c>
      <c r="AD128" s="43">
        <f t="shared" si="82"/>
        <v>92.6</v>
      </c>
      <c r="AF128" s="17" t="s">
        <v>123</v>
      </c>
      <c r="AG128" s="47">
        <v>0.1769878545038068</v>
      </c>
    </row>
    <row r="129" spans="9:33" ht="17.25" hidden="1" customHeight="1">
      <c r="I129" s="18"/>
      <c r="AB129" s="19"/>
      <c r="AC129" s="43">
        <f t="shared" si="81"/>
        <v>37.299999999999997</v>
      </c>
      <c r="AD129" s="43">
        <f t="shared" si="82"/>
        <v>92.7</v>
      </c>
      <c r="AF129" s="17" t="s">
        <v>124</v>
      </c>
      <c r="AG129" s="47">
        <v>0.20648583025444125</v>
      </c>
    </row>
    <row r="130" spans="9:33" ht="17.25" hidden="1" customHeight="1">
      <c r="I130" s="18"/>
      <c r="AB130" s="19"/>
      <c r="AC130" s="43">
        <f t="shared" si="81"/>
        <v>37.200000000000003</v>
      </c>
      <c r="AD130" s="43">
        <f t="shared" si="82"/>
        <v>92.8</v>
      </c>
      <c r="AF130" s="17" t="s">
        <v>125</v>
      </c>
      <c r="AG130" s="47">
        <v>0.23598380600507574</v>
      </c>
    </row>
    <row r="131" spans="9:33" ht="17.25" hidden="1" customHeight="1">
      <c r="I131" s="18"/>
      <c r="AB131" s="19"/>
      <c r="AC131" s="43">
        <f t="shared" si="81"/>
        <v>37.1</v>
      </c>
      <c r="AD131" s="43">
        <f t="shared" si="82"/>
        <v>92.9</v>
      </c>
      <c r="AF131" s="17" t="s">
        <v>126</v>
      </c>
      <c r="AG131" s="47">
        <v>0.26548178175571019</v>
      </c>
    </row>
    <row r="132" spans="9:33" ht="17.25" hidden="1" customHeight="1">
      <c r="I132" s="18"/>
      <c r="AB132" s="19"/>
      <c r="AC132" s="43">
        <f t="shared" ref="AC132:AC195" si="85">ROUNDUP(AC131-0.1,1)</f>
        <v>37</v>
      </c>
      <c r="AD132" s="43">
        <f t="shared" ref="AD132:AD147" si="86">ROUNDUP(AD131+0.1,1)</f>
        <v>93</v>
      </c>
      <c r="AF132" s="17" t="s">
        <v>127</v>
      </c>
      <c r="AG132" s="47">
        <v>0.29497975750634464</v>
      </c>
    </row>
    <row r="133" spans="9:33" ht="17.25" hidden="1" customHeight="1">
      <c r="I133" s="18"/>
      <c r="AB133" s="19"/>
      <c r="AC133" s="43">
        <f t="shared" si="85"/>
        <v>36.9</v>
      </c>
      <c r="AD133" s="43">
        <f t="shared" si="86"/>
        <v>93.1</v>
      </c>
      <c r="AF133" s="17" t="s">
        <v>128</v>
      </c>
      <c r="AG133" s="47">
        <v>0.32447773325697915</v>
      </c>
    </row>
    <row r="134" spans="9:33" ht="17.25" hidden="1" customHeight="1">
      <c r="I134" s="18"/>
      <c r="AB134" s="19"/>
      <c r="AC134" s="43">
        <f t="shared" si="85"/>
        <v>36.799999999999997</v>
      </c>
      <c r="AD134" s="43">
        <f t="shared" si="86"/>
        <v>93.2</v>
      </c>
      <c r="AF134" s="17" t="s">
        <v>129</v>
      </c>
      <c r="AG134" s="47">
        <v>0.3539757090076136</v>
      </c>
    </row>
    <row r="135" spans="9:33" ht="17.25" hidden="1" customHeight="1">
      <c r="I135" s="18"/>
      <c r="AB135" s="19"/>
      <c r="AC135" s="43">
        <f t="shared" si="85"/>
        <v>36.700000000000003</v>
      </c>
      <c r="AD135" s="43">
        <f t="shared" si="86"/>
        <v>93.3</v>
      </c>
      <c r="AF135" s="17" t="s">
        <v>130</v>
      </c>
      <c r="AG135" s="47">
        <v>0.38347368475824806</v>
      </c>
    </row>
    <row r="136" spans="9:33" ht="17.25" hidden="1" customHeight="1">
      <c r="I136" s="18"/>
      <c r="AB136" s="19"/>
      <c r="AC136" s="43">
        <f t="shared" si="85"/>
        <v>36.6</v>
      </c>
      <c r="AD136" s="43">
        <f t="shared" si="86"/>
        <v>93.4</v>
      </c>
      <c r="AF136" s="17" t="s">
        <v>131</v>
      </c>
      <c r="AG136" s="47">
        <v>0.41297166050888251</v>
      </c>
    </row>
    <row r="137" spans="9:33" ht="17.25" hidden="1" customHeight="1">
      <c r="I137" s="18"/>
      <c r="AB137" s="19"/>
      <c r="AC137" s="43">
        <f t="shared" si="85"/>
        <v>36.5</v>
      </c>
      <c r="AD137" s="43">
        <f t="shared" si="86"/>
        <v>93.5</v>
      </c>
      <c r="AF137" s="17" t="s">
        <v>132</v>
      </c>
      <c r="AG137" s="47">
        <v>0.44246963625951702</v>
      </c>
    </row>
    <row r="138" spans="9:33" ht="17.25" hidden="1" customHeight="1">
      <c r="I138" s="18"/>
      <c r="AB138" s="19"/>
      <c r="AC138" s="43">
        <f t="shared" si="85"/>
        <v>36.4</v>
      </c>
      <c r="AD138" s="43">
        <f t="shared" si="86"/>
        <v>93.6</v>
      </c>
      <c r="AF138" s="17" t="s">
        <v>133</v>
      </c>
      <c r="AG138" s="47">
        <v>0.47196761201015147</v>
      </c>
    </row>
    <row r="139" spans="9:33" ht="17.25" hidden="1" customHeight="1">
      <c r="I139" s="18"/>
      <c r="AB139" s="19"/>
      <c r="AC139" s="43">
        <f t="shared" si="85"/>
        <v>36.299999999999997</v>
      </c>
      <c r="AD139" s="43">
        <f t="shared" si="86"/>
        <v>93.7</v>
      </c>
      <c r="AF139" s="17" t="s">
        <v>134</v>
      </c>
      <c r="AG139" s="47">
        <v>0.50146558776078587</v>
      </c>
    </row>
    <row r="140" spans="9:33" ht="17.25" hidden="1" customHeight="1">
      <c r="I140" s="18"/>
      <c r="AB140" s="19"/>
      <c r="AC140" s="43">
        <f t="shared" si="85"/>
        <v>36.200000000000003</v>
      </c>
      <c r="AD140" s="43">
        <f t="shared" si="86"/>
        <v>93.8</v>
      </c>
      <c r="AF140" s="17" t="s">
        <v>135</v>
      </c>
      <c r="AG140" s="47">
        <v>0.53096356351142038</v>
      </c>
    </row>
    <row r="141" spans="9:33" ht="17.25" hidden="1" customHeight="1">
      <c r="I141" s="18"/>
      <c r="AB141" s="19"/>
      <c r="AC141" s="43">
        <f t="shared" si="85"/>
        <v>36.1</v>
      </c>
      <c r="AD141" s="43">
        <f t="shared" si="86"/>
        <v>93.9</v>
      </c>
      <c r="AF141" s="17" t="s">
        <v>138</v>
      </c>
      <c r="AG141" s="47">
        <v>4.5499617390704676E-2</v>
      </c>
    </row>
    <row r="142" spans="9:33" ht="17.25" hidden="1" customHeight="1">
      <c r="I142" s="18"/>
      <c r="AB142" s="19"/>
      <c r="AC142" s="43">
        <f t="shared" si="85"/>
        <v>36</v>
      </c>
      <c r="AD142" s="43">
        <f t="shared" si="86"/>
        <v>94</v>
      </c>
      <c r="AF142" s="17" t="s">
        <v>139</v>
      </c>
      <c r="AG142" s="47">
        <v>1.5759192524311565E-2</v>
      </c>
    </row>
    <row r="143" spans="9:33" ht="17.25" hidden="1" customHeight="1">
      <c r="I143" s="18"/>
      <c r="AB143" s="19"/>
      <c r="AC143" s="43">
        <f t="shared" si="85"/>
        <v>35.9</v>
      </c>
      <c r="AD143" s="43">
        <f t="shared" si="86"/>
        <v>94.1</v>
      </c>
      <c r="AF143" s="17" t="s">
        <v>140</v>
      </c>
      <c r="AG143" s="47">
        <v>0</v>
      </c>
    </row>
    <row r="144" spans="9:33" ht="17.25" hidden="1" customHeight="1">
      <c r="I144" s="18"/>
      <c r="AB144" s="19"/>
      <c r="AC144" s="43">
        <f t="shared" si="85"/>
        <v>35.799999999999997</v>
      </c>
      <c r="AD144" s="43">
        <f t="shared" si="86"/>
        <v>94.2</v>
      </c>
      <c r="AF144" s="17" t="s">
        <v>141</v>
      </c>
      <c r="AG144" s="47">
        <v>117.249668</v>
      </c>
    </row>
    <row r="145" spans="9:33" ht="17.25" hidden="1" customHeight="1">
      <c r="I145" s="18"/>
      <c r="AB145" s="19"/>
      <c r="AC145" s="43">
        <f t="shared" si="85"/>
        <v>35.700000000000003</v>
      </c>
      <c r="AD145" s="43">
        <f t="shared" si="86"/>
        <v>94.3</v>
      </c>
      <c r="AF145" s="17" t="s">
        <v>142</v>
      </c>
      <c r="AG145" s="47">
        <v>46.319035</v>
      </c>
    </row>
    <row r="146" spans="9:33" ht="17.25" hidden="1" customHeight="1">
      <c r="I146" s="18"/>
      <c r="AB146" s="19"/>
      <c r="AC146" s="43">
        <f t="shared" si="85"/>
        <v>35.6</v>
      </c>
      <c r="AD146" s="43">
        <f t="shared" si="86"/>
        <v>94.4</v>
      </c>
      <c r="AF146" s="17" t="s">
        <v>143</v>
      </c>
      <c r="AG146" s="47">
        <v>35.118641999999994</v>
      </c>
    </row>
    <row r="147" spans="9:33" ht="17.25" hidden="1" customHeight="1">
      <c r="I147" s="18"/>
      <c r="AB147" s="19"/>
      <c r="AC147" s="43">
        <f t="shared" si="85"/>
        <v>35.5</v>
      </c>
      <c r="AD147" s="43">
        <f t="shared" si="86"/>
        <v>94.5</v>
      </c>
      <c r="AF147" s="17" t="s">
        <v>144</v>
      </c>
      <c r="AG147" s="47">
        <v>6.6395390000000001</v>
      </c>
    </row>
    <row r="148" spans="9:33" ht="17.25" hidden="1" customHeight="1">
      <c r="I148" s="18"/>
      <c r="AB148" s="19"/>
      <c r="AC148" s="43">
        <f t="shared" si="85"/>
        <v>35.4</v>
      </c>
      <c r="AD148" s="43">
        <f t="shared" ref="AD148:AD163" si="87">ROUNDUP(AD147+0.1,1)</f>
        <v>94.6</v>
      </c>
      <c r="AF148" s="17" t="s">
        <v>145</v>
      </c>
      <c r="AG148" s="47">
        <v>-2.0181020000000003</v>
      </c>
    </row>
    <row r="149" spans="9:33" ht="17.25" hidden="1" customHeight="1">
      <c r="I149" s="18"/>
      <c r="AB149" s="19"/>
      <c r="AC149" s="43">
        <f t="shared" si="85"/>
        <v>35.299999999999997</v>
      </c>
      <c r="AD149" s="43">
        <f t="shared" si="87"/>
        <v>94.7</v>
      </c>
      <c r="AF149" s="17" t="s">
        <v>384</v>
      </c>
      <c r="AG149" s="47">
        <v>-2.4840409999999999</v>
      </c>
    </row>
    <row r="150" spans="9:33" ht="17.25" hidden="1" customHeight="1">
      <c r="I150" s="18"/>
      <c r="AB150" s="19"/>
      <c r="AC150" s="43">
        <f t="shared" si="85"/>
        <v>35.200000000000003</v>
      </c>
      <c r="AD150" s="43">
        <f t="shared" si="87"/>
        <v>94.8</v>
      </c>
      <c r="AF150" s="17" t="s">
        <v>146</v>
      </c>
      <c r="AG150" s="47">
        <v>9.5105822169182265E-3</v>
      </c>
    </row>
    <row r="151" spans="9:33" ht="17.25" hidden="1" customHeight="1">
      <c r="I151" s="18"/>
      <c r="AB151" s="19"/>
      <c r="AC151" s="43">
        <f t="shared" si="85"/>
        <v>35.1</v>
      </c>
      <c r="AD151" s="43">
        <f t="shared" si="87"/>
        <v>94.9</v>
      </c>
      <c r="AF151" s="17" t="s">
        <v>147</v>
      </c>
      <c r="AG151" s="47">
        <v>1.9021164433836453E-2</v>
      </c>
    </row>
    <row r="152" spans="9:33" ht="17.25" hidden="1" customHeight="1">
      <c r="I152" s="18"/>
      <c r="AB152" s="19"/>
      <c r="AC152" s="43">
        <f t="shared" si="85"/>
        <v>35</v>
      </c>
      <c r="AD152" s="43">
        <f t="shared" si="87"/>
        <v>95</v>
      </c>
      <c r="AF152" s="17" t="s">
        <v>148</v>
      </c>
      <c r="AG152" s="47">
        <v>2.8531746650754683E-2</v>
      </c>
    </row>
    <row r="153" spans="9:33" ht="17.25" hidden="1" customHeight="1">
      <c r="I153" s="18"/>
      <c r="AB153" s="19"/>
      <c r="AC153" s="43">
        <f t="shared" si="85"/>
        <v>34.9</v>
      </c>
      <c r="AD153" s="43">
        <f t="shared" si="87"/>
        <v>95.1</v>
      </c>
      <c r="AF153" s="17" t="s">
        <v>149</v>
      </c>
      <c r="AG153" s="47">
        <v>3.8042328867672906E-2</v>
      </c>
    </row>
    <row r="154" spans="9:33" ht="17.25" hidden="1" customHeight="1">
      <c r="I154" s="18"/>
      <c r="AB154" s="19"/>
      <c r="AC154" s="43">
        <f t="shared" si="85"/>
        <v>34.799999999999997</v>
      </c>
      <c r="AD154" s="43">
        <f t="shared" si="87"/>
        <v>95.2</v>
      </c>
      <c r="AF154" s="17" t="s">
        <v>150</v>
      </c>
      <c r="AG154" s="47">
        <v>4.7552911084591136E-2</v>
      </c>
    </row>
    <row r="155" spans="9:33" ht="17.25" hidden="1" customHeight="1">
      <c r="I155" s="18"/>
      <c r="AB155" s="19"/>
      <c r="AC155" s="43">
        <f t="shared" si="85"/>
        <v>34.700000000000003</v>
      </c>
      <c r="AD155" s="43">
        <f t="shared" si="87"/>
        <v>95.3</v>
      </c>
      <c r="AF155" s="17" t="s">
        <v>151</v>
      </c>
      <c r="AG155" s="47">
        <v>5.7063493301509366E-2</v>
      </c>
    </row>
    <row r="156" spans="9:33" ht="17.25" hidden="1" customHeight="1">
      <c r="I156" s="18"/>
      <c r="AB156" s="19"/>
      <c r="AC156" s="43">
        <f t="shared" si="85"/>
        <v>34.6</v>
      </c>
      <c r="AD156" s="43">
        <f t="shared" si="87"/>
        <v>95.4</v>
      </c>
      <c r="AF156" s="17" t="s">
        <v>385</v>
      </c>
      <c r="AG156" s="47">
        <v>6.6574075518427589E-2</v>
      </c>
    </row>
    <row r="157" spans="9:33" ht="17.25" hidden="1" customHeight="1">
      <c r="I157" s="18"/>
      <c r="AB157" s="19"/>
      <c r="AC157" s="43">
        <f t="shared" si="85"/>
        <v>34.5</v>
      </c>
      <c r="AD157" s="43">
        <f t="shared" si="87"/>
        <v>95.5</v>
      </c>
      <c r="AF157" s="17" t="s">
        <v>386</v>
      </c>
      <c r="AG157" s="47">
        <v>7.6084657735345812E-2</v>
      </c>
    </row>
    <row r="158" spans="9:33" ht="17.25" hidden="1" customHeight="1">
      <c r="I158" s="18"/>
      <c r="AB158" s="19"/>
      <c r="AC158" s="43">
        <f t="shared" si="85"/>
        <v>34.4</v>
      </c>
      <c r="AD158" s="43">
        <f t="shared" si="87"/>
        <v>95.6</v>
      </c>
      <c r="AF158" s="17" t="s">
        <v>152</v>
      </c>
      <c r="AG158" s="47">
        <v>6.9427250183503059E-3</v>
      </c>
    </row>
    <row r="159" spans="9:33" ht="17.25" hidden="1" customHeight="1">
      <c r="I159" s="18"/>
      <c r="AB159" s="19"/>
      <c r="AC159" s="43">
        <f t="shared" si="85"/>
        <v>34.299999999999997</v>
      </c>
      <c r="AD159" s="43">
        <f t="shared" si="87"/>
        <v>95.7</v>
      </c>
      <c r="AF159" s="17" t="s">
        <v>153</v>
      </c>
      <c r="AG159" s="47">
        <v>1.3885450036700612E-2</v>
      </c>
    </row>
    <row r="160" spans="9:33" ht="17.25" hidden="1" customHeight="1">
      <c r="I160" s="18"/>
      <c r="AB160" s="19"/>
      <c r="AC160" s="43">
        <f t="shared" si="85"/>
        <v>34.200000000000003</v>
      </c>
      <c r="AD160" s="43">
        <f t="shared" si="87"/>
        <v>95.8</v>
      </c>
      <c r="AF160" s="17" t="s">
        <v>154</v>
      </c>
      <c r="AG160" s="47">
        <v>2.0828175055050916E-2</v>
      </c>
    </row>
    <row r="161" spans="9:33" ht="17.25" hidden="1" customHeight="1">
      <c r="I161" s="18"/>
      <c r="AB161" s="19"/>
      <c r="AC161" s="43">
        <f t="shared" si="85"/>
        <v>34.1</v>
      </c>
      <c r="AD161" s="43">
        <f t="shared" si="87"/>
        <v>95.9</v>
      </c>
      <c r="AF161" s="17" t="s">
        <v>155</v>
      </c>
      <c r="AG161" s="47">
        <v>2.7770900073401224E-2</v>
      </c>
    </row>
    <row r="162" spans="9:33" ht="17.25" hidden="1" customHeight="1">
      <c r="I162" s="18"/>
      <c r="AB162" s="19"/>
      <c r="AC162" s="43">
        <f t="shared" si="85"/>
        <v>34</v>
      </c>
      <c r="AD162" s="43">
        <f t="shared" si="87"/>
        <v>96</v>
      </c>
      <c r="AF162" s="17" t="s">
        <v>156</v>
      </c>
      <c r="AG162" s="47">
        <v>3.4713625091751528E-2</v>
      </c>
    </row>
    <row r="163" spans="9:33" ht="17.25" hidden="1" customHeight="1">
      <c r="I163" s="18"/>
      <c r="AB163" s="19"/>
      <c r="AC163" s="43">
        <f t="shared" si="85"/>
        <v>33.9</v>
      </c>
      <c r="AD163" s="43">
        <f t="shared" si="87"/>
        <v>96.1</v>
      </c>
      <c r="AF163" s="17" t="s">
        <v>157</v>
      </c>
      <c r="AG163" s="47">
        <v>4.1656350110101832E-2</v>
      </c>
    </row>
    <row r="164" spans="9:33" ht="17.25" hidden="1" customHeight="1">
      <c r="I164" s="18"/>
      <c r="AB164" s="19"/>
      <c r="AC164" s="43">
        <f t="shared" si="85"/>
        <v>33.799999999999997</v>
      </c>
      <c r="AD164" s="43">
        <f t="shared" ref="AD164:AD179" si="88">ROUNDUP(AD163+0.1,1)</f>
        <v>96.2</v>
      </c>
      <c r="AF164" s="17" t="s">
        <v>158</v>
      </c>
      <c r="AG164" s="47">
        <v>4.8599075128452136E-2</v>
      </c>
    </row>
    <row r="165" spans="9:33" ht="17.25" hidden="1" customHeight="1">
      <c r="I165" s="18"/>
      <c r="AB165" s="19"/>
      <c r="AC165" s="43">
        <f t="shared" si="85"/>
        <v>33.700000000000003</v>
      </c>
      <c r="AD165" s="43">
        <f t="shared" si="88"/>
        <v>96.3</v>
      </c>
      <c r="AF165" s="17" t="s">
        <v>159</v>
      </c>
      <c r="AG165" s="47">
        <v>5.5541800146802447E-2</v>
      </c>
    </row>
    <row r="166" spans="9:33" ht="17.25" hidden="1" customHeight="1">
      <c r="I166" s="18"/>
      <c r="AB166" s="19"/>
      <c r="AC166" s="43">
        <f t="shared" si="85"/>
        <v>33.6</v>
      </c>
      <c r="AD166" s="43">
        <f t="shared" si="88"/>
        <v>96.4</v>
      </c>
      <c r="AF166" s="17" t="s">
        <v>160</v>
      </c>
      <c r="AG166" s="47">
        <v>6.2484525165152745E-2</v>
      </c>
    </row>
    <row r="167" spans="9:33" ht="17.25" hidden="1" customHeight="1">
      <c r="I167" s="18"/>
      <c r="AB167" s="19"/>
      <c r="AC167" s="43">
        <f t="shared" si="85"/>
        <v>33.5</v>
      </c>
      <c r="AD167" s="43">
        <f t="shared" si="88"/>
        <v>96.5</v>
      </c>
      <c r="AF167" s="17" t="s">
        <v>161</v>
      </c>
      <c r="AG167" s="47">
        <v>6.9427250183503056E-2</v>
      </c>
    </row>
    <row r="168" spans="9:33" ht="17.25" hidden="1" customHeight="1">
      <c r="I168" s="18"/>
      <c r="AB168" s="19"/>
      <c r="AC168" s="43">
        <f t="shared" si="85"/>
        <v>33.4</v>
      </c>
      <c r="AD168" s="43">
        <f t="shared" si="88"/>
        <v>96.6</v>
      </c>
      <c r="AF168" s="17" t="s">
        <v>162</v>
      </c>
      <c r="AG168" s="47">
        <v>7.636997520185336E-2</v>
      </c>
    </row>
    <row r="169" spans="9:33" ht="17.25" hidden="1" customHeight="1">
      <c r="I169" s="18"/>
      <c r="AB169" s="19"/>
      <c r="AC169" s="43">
        <f t="shared" si="85"/>
        <v>33.299999999999997</v>
      </c>
      <c r="AD169" s="43">
        <f t="shared" si="88"/>
        <v>96.7</v>
      </c>
      <c r="AF169" s="17" t="s">
        <v>163</v>
      </c>
      <c r="AG169" s="47">
        <v>8.3312700220203664E-2</v>
      </c>
    </row>
    <row r="170" spans="9:33" ht="17.25" hidden="1" customHeight="1">
      <c r="I170" s="18"/>
      <c r="AB170" s="19"/>
      <c r="AC170" s="43">
        <f t="shared" si="85"/>
        <v>33.200000000000003</v>
      </c>
      <c r="AD170" s="43">
        <f t="shared" si="88"/>
        <v>96.8</v>
      </c>
      <c r="AF170" s="17" t="s">
        <v>164</v>
      </c>
      <c r="AG170" s="47">
        <v>9.0255425238553982E-2</v>
      </c>
    </row>
    <row r="171" spans="9:33" ht="17.25" hidden="1" customHeight="1">
      <c r="I171" s="18"/>
      <c r="AB171" s="19"/>
      <c r="AC171" s="43">
        <f t="shared" si="85"/>
        <v>33.1</v>
      </c>
      <c r="AD171" s="43">
        <f t="shared" si="88"/>
        <v>96.9</v>
      </c>
      <c r="AF171" s="17" t="s">
        <v>165</v>
      </c>
      <c r="AG171" s="47">
        <v>9.7198150256904273E-2</v>
      </c>
    </row>
    <row r="172" spans="9:33" ht="17.25" hidden="1" customHeight="1">
      <c r="I172" s="18"/>
      <c r="AB172" s="19"/>
      <c r="AC172" s="43">
        <f t="shared" si="85"/>
        <v>33</v>
      </c>
      <c r="AD172" s="43">
        <f t="shared" si="88"/>
        <v>97</v>
      </c>
      <c r="AF172" s="17" t="s">
        <v>166</v>
      </c>
      <c r="AG172" s="47">
        <v>0.10414087527525459</v>
      </c>
    </row>
    <row r="173" spans="9:33" ht="17.25" hidden="1" customHeight="1">
      <c r="I173" s="18"/>
      <c r="AB173" s="19"/>
      <c r="AC173" s="43">
        <f t="shared" si="85"/>
        <v>32.9</v>
      </c>
      <c r="AD173" s="43">
        <f t="shared" si="88"/>
        <v>97.1</v>
      </c>
      <c r="AF173" s="17" t="s">
        <v>167</v>
      </c>
      <c r="AG173" s="47">
        <v>0.11108360029360489</v>
      </c>
    </row>
    <row r="174" spans="9:33" ht="17.25" hidden="1" customHeight="1">
      <c r="I174" s="18"/>
      <c r="AB174" s="19"/>
      <c r="AC174" s="43">
        <f t="shared" si="85"/>
        <v>32.799999999999997</v>
      </c>
      <c r="AD174" s="43">
        <f t="shared" si="88"/>
        <v>97.2</v>
      </c>
      <c r="AF174" s="17" t="s">
        <v>168</v>
      </c>
      <c r="AG174" s="47">
        <v>0.1180263253119552</v>
      </c>
    </row>
    <row r="175" spans="9:33" ht="17.25" hidden="1" customHeight="1">
      <c r="I175" s="18"/>
      <c r="AB175" s="19"/>
      <c r="AC175" s="43">
        <f t="shared" si="85"/>
        <v>32.700000000000003</v>
      </c>
      <c r="AD175" s="43">
        <f t="shared" si="88"/>
        <v>97.3</v>
      </c>
      <c r="AF175" s="17" t="s">
        <v>169</v>
      </c>
      <c r="AG175" s="47">
        <v>0.12496905033030549</v>
      </c>
    </row>
    <row r="176" spans="9:33" ht="17.25" hidden="1" customHeight="1">
      <c r="I176" s="18"/>
      <c r="AB176" s="19"/>
      <c r="AC176" s="43">
        <f t="shared" si="85"/>
        <v>32.6</v>
      </c>
      <c r="AD176" s="43">
        <f t="shared" si="88"/>
        <v>97.4</v>
      </c>
      <c r="AF176" s="17" t="s">
        <v>172</v>
      </c>
      <c r="AG176" s="47">
        <v>1.0708915576249924E-2</v>
      </c>
    </row>
    <row r="177" spans="9:33" ht="17.25" hidden="1" customHeight="1">
      <c r="I177" s="18"/>
      <c r="AB177" s="19"/>
      <c r="AC177" s="43">
        <f t="shared" si="85"/>
        <v>32.5</v>
      </c>
      <c r="AD177" s="43">
        <f t="shared" si="88"/>
        <v>97.5</v>
      </c>
      <c r="AF177" s="17" t="s">
        <v>173</v>
      </c>
      <c r="AG177" s="47">
        <v>3.7091270645981085E-3</v>
      </c>
    </row>
    <row r="178" spans="9:33" ht="17.25" hidden="1" customHeight="1">
      <c r="I178" s="18"/>
      <c r="AB178" s="19"/>
      <c r="AC178" s="43">
        <f t="shared" si="85"/>
        <v>32.4</v>
      </c>
      <c r="AD178" s="43">
        <f t="shared" si="88"/>
        <v>97.6</v>
      </c>
      <c r="AF178" s="17" t="s">
        <v>174</v>
      </c>
      <c r="AG178" s="47">
        <v>0</v>
      </c>
    </row>
    <row r="179" spans="9:33" ht="17.25" hidden="1" customHeight="1">
      <c r="I179" s="18"/>
      <c r="AB179" s="19"/>
      <c r="AC179" s="43">
        <f t="shared" si="85"/>
        <v>32.299999999999997</v>
      </c>
      <c r="AD179" s="43">
        <f t="shared" si="88"/>
        <v>97.7</v>
      </c>
      <c r="AF179" s="17" t="s">
        <v>175</v>
      </c>
      <c r="AG179" s="47">
        <v>119.24874799999999</v>
      </c>
    </row>
    <row r="180" spans="9:33" ht="17.25" hidden="1" customHeight="1">
      <c r="I180" s="18"/>
      <c r="AB180" s="19"/>
      <c r="AC180" s="43">
        <f t="shared" si="85"/>
        <v>32.200000000000003</v>
      </c>
      <c r="AD180" s="43">
        <f t="shared" ref="AD180:AD195" si="89">ROUNDUP(AD179+0.1,1)</f>
        <v>97.8</v>
      </c>
      <c r="AF180" s="17" t="s">
        <v>176</v>
      </c>
      <c r="AG180" s="47">
        <v>48.318114999999999</v>
      </c>
    </row>
    <row r="181" spans="9:33" ht="17.25" hidden="1" customHeight="1">
      <c r="I181" s="18"/>
      <c r="AB181" s="19"/>
      <c r="AC181" s="43">
        <f t="shared" si="85"/>
        <v>32.1</v>
      </c>
      <c r="AD181" s="43">
        <f t="shared" si="89"/>
        <v>97.9</v>
      </c>
      <c r="AF181" s="17" t="s">
        <v>177</v>
      </c>
      <c r="AG181" s="47">
        <v>37.117722000000001</v>
      </c>
    </row>
    <row r="182" spans="9:33" ht="17.25" hidden="1" customHeight="1">
      <c r="I182" s="18"/>
      <c r="AB182" s="19"/>
      <c r="AC182" s="43">
        <f t="shared" si="85"/>
        <v>32</v>
      </c>
      <c r="AD182" s="43">
        <f t="shared" si="89"/>
        <v>98</v>
      </c>
      <c r="AF182" s="17" t="s">
        <v>178</v>
      </c>
      <c r="AG182" s="47">
        <v>8.6386189999999985</v>
      </c>
    </row>
    <row r="183" spans="9:33" ht="17.25" hidden="1" customHeight="1">
      <c r="I183" s="18"/>
      <c r="AB183" s="19"/>
      <c r="AC183" s="43">
        <f t="shared" si="85"/>
        <v>31.9</v>
      </c>
      <c r="AD183" s="43">
        <f t="shared" si="89"/>
        <v>98.1</v>
      </c>
      <c r="AF183" s="17" t="s">
        <v>179</v>
      </c>
      <c r="AG183" s="47">
        <v>2.0798970000000003</v>
      </c>
    </row>
    <row r="184" spans="9:33" ht="17.25" hidden="1" customHeight="1">
      <c r="I184" s="18"/>
      <c r="AB184" s="19"/>
      <c r="AC184" s="43">
        <f t="shared" si="85"/>
        <v>31.8</v>
      </c>
      <c r="AD184" s="43">
        <f t="shared" si="89"/>
        <v>98.2</v>
      </c>
      <c r="AF184" s="17" t="s">
        <v>387</v>
      </c>
      <c r="AG184" s="47">
        <v>-0.48496099999999998</v>
      </c>
    </row>
    <row r="185" spans="9:33" ht="17.25" hidden="1" customHeight="1">
      <c r="I185" s="18"/>
      <c r="AB185" s="19"/>
      <c r="AC185" s="43">
        <f t="shared" si="85"/>
        <v>31.7</v>
      </c>
      <c r="AD185" s="43">
        <f t="shared" si="89"/>
        <v>98.3</v>
      </c>
      <c r="AF185" s="17" t="s">
        <v>388</v>
      </c>
      <c r="AG185" s="47">
        <v>3.7908636342676495E-3</v>
      </c>
    </row>
    <row r="186" spans="9:33" ht="17.25" hidden="1" customHeight="1">
      <c r="I186" s="18"/>
      <c r="AB186" s="19"/>
      <c r="AC186" s="43">
        <f t="shared" si="85"/>
        <v>31.6</v>
      </c>
      <c r="AD186" s="43">
        <f t="shared" si="89"/>
        <v>98.4</v>
      </c>
      <c r="AF186" s="17" t="s">
        <v>389</v>
      </c>
      <c r="AG186" s="47">
        <v>7.5817272685352989E-3</v>
      </c>
    </row>
    <row r="187" spans="9:33" ht="17.25" hidden="1" customHeight="1">
      <c r="I187" s="18"/>
      <c r="AB187" s="19"/>
      <c r="AC187" s="43">
        <f t="shared" si="85"/>
        <v>31.5</v>
      </c>
      <c r="AD187" s="43">
        <f t="shared" si="89"/>
        <v>98.5</v>
      </c>
      <c r="AF187" s="17" t="s">
        <v>390</v>
      </c>
      <c r="AG187" s="47">
        <v>1.1372590902802949E-2</v>
      </c>
    </row>
    <row r="188" spans="9:33" ht="17.25" hidden="1" customHeight="1">
      <c r="I188" s="18"/>
      <c r="AB188" s="19"/>
      <c r="AC188" s="43">
        <f t="shared" si="85"/>
        <v>31.4</v>
      </c>
      <c r="AD188" s="43">
        <f t="shared" si="89"/>
        <v>98.6</v>
      </c>
      <c r="AF188" s="17" t="s">
        <v>391</v>
      </c>
      <c r="AG188" s="47">
        <v>1.5163454537070598E-2</v>
      </c>
    </row>
    <row r="189" spans="9:33" ht="17.25" hidden="1" customHeight="1">
      <c r="I189" s="18"/>
      <c r="AB189" s="19"/>
      <c r="AC189" s="43">
        <f t="shared" si="85"/>
        <v>31.3</v>
      </c>
      <c r="AD189" s="43">
        <f t="shared" si="89"/>
        <v>98.7</v>
      </c>
      <c r="AF189" s="17" t="s">
        <v>392</v>
      </c>
      <c r="AG189" s="47">
        <v>1.895431817133825E-2</v>
      </c>
    </row>
    <row r="190" spans="9:33" ht="17.25" hidden="1" customHeight="1">
      <c r="I190" s="18"/>
      <c r="AB190" s="19"/>
      <c r="AC190" s="43">
        <f t="shared" si="85"/>
        <v>31.2</v>
      </c>
      <c r="AD190" s="43">
        <f t="shared" si="89"/>
        <v>98.8</v>
      </c>
      <c r="AF190" s="17" t="s">
        <v>393</v>
      </c>
      <c r="AG190" s="47">
        <v>2.2745181805605898E-2</v>
      </c>
    </row>
    <row r="191" spans="9:33" ht="17.25" hidden="1" customHeight="1">
      <c r="I191" s="18"/>
      <c r="AB191" s="19"/>
      <c r="AC191" s="43">
        <f t="shared" si="85"/>
        <v>31.1</v>
      </c>
      <c r="AD191" s="43">
        <f t="shared" si="89"/>
        <v>98.9</v>
      </c>
      <c r="AF191" s="17" t="s">
        <v>394</v>
      </c>
      <c r="AG191" s="47">
        <v>2.6536045439873548E-2</v>
      </c>
    </row>
    <row r="192" spans="9:33" ht="17.25" hidden="1" customHeight="1">
      <c r="I192" s="18"/>
      <c r="AB192" s="19"/>
      <c r="AC192" s="43">
        <f t="shared" si="85"/>
        <v>31</v>
      </c>
      <c r="AD192" s="43">
        <f t="shared" si="89"/>
        <v>99</v>
      </c>
      <c r="AF192" s="17" t="s">
        <v>395</v>
      </c>
      <c r="AG192" s="47">
        <v>3.0326909074141196E-2</v>
      </c>
    </row>
    <row r="193" spans="9:33" ht="17.25" hidden="1" customHeight="1">
      <c r="I193" s="18"/>
      <c r="AB193" s="19"/>
      <c r="AC193" s="43">
        <f t="shared" si="85"/>
        <v>30.9</v>
      </c>
      <c r="AD193" s="43">
        <f t="shared" si="89"/>
        <v>99.1</v>
      </c>
      <c r="AF193" s="17" t="s">
        <v>396</v>
      </c>
      <c r="AG193" s="47">
        <v>2.7673304530153845E-3</v>
      </c>
    </row>
    <row r="194" spans="9:33" ht="17.25" hidden="1" customHeight="1">
      <c r="I194" s="18"/>
      <c r="AB194" s="19"/>
      <c r="AC194" s="43">
        <f t="shared" si="85"/>
        <v>30.8</v>
      </c>
      <c r="AD194" s="43">
        <f t="shared" si="89"/>
        <v>99.2</v>
      </c>
      <c r="AF194" s="17" t="s">
        <v>397</v>
      </c>
      <c r="AG194" s="47">
        <v>5.5346609060307689E-3</v>
      </c>
    </row>
    <row r="195" spans="9:33" ht="17.25" hidden="1" customHeight="1">
      <c r="I195" s="18"/>
      <c r="AB195" s="19"/>
      <c r="AC195" s="43">
        <f t="shared" si="85"/>
        <v>30.7</v>
      </c>
      <c r="AD195" s="43">
        <f t="shared" si="89"/>
        <v>99.3</v>
      </c>
      <c r="AF195" s="17" t="s">
        <v>398</v>
      </c>
      <c r="AG195" s="47">
        <v>8.3019913590461521E-3</v>
      </c>
    </row>
    <row r="196" spans="9:33" ht="17.25" hidden="1" customHeight="1">
      <c r="I196" s="18"/>
      <c r="AB196" s="19"/>
      <c r="AC196" s="43">
        <f t="shared" ref="AC196:AC259" si="90">ROUNDUP(AC195-0.1,1)</f>
        <v>30.6</v>
      </c>
      <c r="AD196" s="43">
        <f t="shared" ref="AD196:AD211" si="91">ROUNDUP(AD195+0.1,1)</f>
        <v>99.4</v>
      </c>
      <c r="AF196" s="17" t="s">
        <v>399</v>
      </c>
      <c r="AG196" s="47">
        <v>1.1069321812061538E-2</v>
      </c>
    </row>
    <row r="197" spans="9:33" ht="17.25" hidden="1" customHeight="1">
      <c r="I197" s="18"/>
      <c r="AB197" s="19"/>
      <c r="AC197" s="43">
        <f t="shared" si="90"/>
        <v>30.5</v>
      </c>
      <c r="AD197" s="43">
        <f t="shared" si="91"/>
        <v>99.5</v>
      </c>
      <c r="AF197" s="17" t="s">
        <v>400</v>
      </c>
      <c r="AG197" s="47">
        <v>1.3836652265076922E-2</v>
      </c>
    </row>
    <row r="198" spans="9:33" ht="17.25" hidden="1" customHeight="1">
      <c r="I198" s="18"/>
      <c r="AB198" s="19"/>
      <c r="AC198" s="43">
        <f t="shared" si="90"/>
        <v>30.4</v>
      </c>
      <c r="AD198" s="43">
        <f t="shared" si="91"/>
        <v>99.6</v>
      </c>
      <c r="AF198" s="17" t="s">
        <v>401</v>
      </c>
      <c r="AG198" s="47">
        <v>1.6603982718092304E-2</v>
      </c>
    </row>
    <row r="199" spans="9:33" ht="17.25" hidden="1" customHeight="1">
      <c r="I199" s="18"/>
      <c r="AB199" s="19"/>
      <c r="AC199" s="43">
        <f t="shared" si="90"/>
        <v>30.3</v>
      </c>
      <c r="AD199" s="43">
        <f t="shared" si="91"/>
        <v>99.7</v>
      </c>
      <c r="AF199" s="17" t="s">
        <v>402</v>
      </c>
      <c r="AG199" s="47">
        <v>1.9371313171107688E-2</v>
      </c>
    </row>
    <row r="200" spans="9:33" ht="17.25" hidden="1" customHeight="1">
      <c r="I200" s="18"/>
      <c r="AB200" s="19"/>
      <c r="AC200" s="43">
        <f t="shared" si="90"/>
        <v>30.2</v>
      </c>
      <c r="AD200" s="43">
        <f t="shared" si="91"/>
        <v>99.8</v>
      </c>
      <c r="AF200" s="17" t="s">
        <v>403</v>
      </c>
      <c r="AG200" s="47">
        <v>2.2138643624123076E-2</v>
      </c>
    </row>
    <row r="201" spans="9:33" ht="17.25" hidden="1" customHeight="1">
      <c r="I201" s="18"/>
      <c r="AB201" s="19"/>
      <c r="AC201" s="43">
        <f t="shared" si="90"/>
        <v>30.1</v>
      </c>
      <c r="AD201" s="43">
        <f t="shared" si="91"/>
        <v>99.9</v>
      </c>
      <c r="AF201" s="17" t="s">
        <v>404</v>
      </c>
      <c r="AG201" s="47">
        <v>2.4905974077138453E-2</v>
      </c>
    </row>
    <row r="202" spans="9:33" ht="17.25" hidden="1" customHeight="1">
      <c r="I202" s="18"/>
      <c r="AB202" s="19"/>
      <c r="AC202" s="43">
        <f t="shared" si="90"/>
        <v>30</v>
      </c>
      <c r="AD202" s="43">
        <f t="shared" si="91"/>
        <v>100</v>
      </c>
      <c r="AF202" s="17" t="s">
        <v>405</v>
      </c>
      <c r="AG202" s="47">
        <v>2.7673304530153844E-2</v>
      </c>
    </row>
    <row r="203" spans="9:33" ht="17.25" hidden="1" customHeight="1">
      <c r="I203" s="18"/>
      <c r="AB203" s="19"/>
      <c r="AC203" s="43">
        <f t="shared" si="90"/>
        <v>29.9</v>
      </c>
      <c r="AD203" s="43">
        <f t="shared" si="91"/>
        <v>100.1</v>
      </c>
      <c r="AF203" s="17" t="s">
        <v>406</v>
      </c>
      <c r="AG203" s="47">
        <v>3.0440634983169224E-2</v>
      </c>
    </row>
    <row r="204" spans="9:33" ht="17.25" hidden="1" customHeight="1">
      <c r="I204" s="18"/>
      <c r="AB204" s="19"/>
      <c r="AC204" s="43">
        <f t="shared" si="90"/>
        <v>29.8</v>
      </c>
      <c r="AD204" s="43">
        <f t="shared" si="91"/>
        <v>100.2</v>
      </c>
      <c r="AF204" s="17" t="s">
        <v>407</v>
      </c>
      <c r="AG204" s="47">
        <v>3.3207965436184608E-2</v>
      </c>
    </row>
    <row r="205" spans="9:33" ht="17.25" hidden="1" customHeight="1">
      <c r="I205" s="18"/>
      <c r="AB205" s="19"/>
      <c r="AC205" s="43">
        <f t="shared" si="90"/>
        <v>29.7</v>
      </c>
      <c r="AD205" s="43">
        <f t="shared" si="91"/>
        <v>100.3</v>
      </c>
      <c r="AF205" s="17" t="s">
        <v>408</v>
      </c>
      <c r="AG205" s="47">
        <v>3.5975295889199996E-2</v>
      </c>
    </row>
    <row r="206" spans="9:33" ht="17.25" hidden="1" customHeight="1">
      <c r="I206" s="18"/>
      <c r="AB206" s="19"/>
      <c r="AC206" s="43">
        <f t="shared" si="90"/>
        <v>29.6</v>
      </c>
      <c r="AD206" s="43">
        <f t="shared" si="91"/>
        <v>100.4</v>
      </c>
      <c r="AF206" s="17" t="s">
        <v>409</v>
      </c>
      <c r="AG206" s="47">
        <v>3.8742626342215376E-2</v>
      </c>
    </row>
    <row r="207" spans="9:33" ht="17.25" hidden="1" customHeight="1">
      <c r="I207" s="18"/>
      <c r="AB207" s="19"/>
      <c r="AC207" s="43">
        <f t="shared" si="90"/>
        <v>29.5</v>
      </c>
      <c r="AD207" s="43">
        <f t="shared" si="91"/>
        <v>100.5</v>
      </c>
      <c r="AF207" s="17" t="s">
        <v>410</v>
      </c>
      <c r="AG207" s="47">
        <v>4.1509956795230757E-2</v>
      </c>
    </row>
    <row r="208" spans="9:33" ht="17.25" hidden="1" customHeight="1">
      <c r="I208" s="18"/>
      <c r="AB208" s="19"/>
      <c r="AC208" s="43">
        <f t="shared" si="90"/>
        <v>29.4</v>
      </c>
      <c r="AD208" s="43">
        <f t="shared" si="91"/>
        <v>100.6</v>
      </c>
      <c r="AF208" s="17" t="s">
        <v>411</v>
      </c>
      <c r="AG208" s="47">
        <v>4.4277287248246151E-2</v>
      </c>
    </row>
    <row r="209" spans="9:33" ht="17.25" hidden="1" customHeight="1">
      <c r="I209" s="18"/>
      <c r="AB209" s="19"/>
      <c r="AC209" s="43">
        <f t="shared" si="90"/>
        <v>29.3</v>
      </c>
      <c r="AD209" s="43">
        <f t="shared" si="91"/>
        <v>100.7</v>
      </c>
      <c r="AF209" s="17" t="s">
        <v>412</v>
      </c>
      <c r="AG209" s="47">
        <v>4.7044617701261525E-2</v>
      </c>
    </row>
    <row r="210" spans="9:33" ht="17.25" hidden="1" customHeight="1">
      <c r="I210" s="18"/>
      <c r="AB210" s="19"/>
      <c r="AC210" s="43">
        <f t="shared" si="90"/>
        <v>29.2</v>
      </c>
      <c r="AD210" s="43">
        <f t="shared" si="91"/>
        <v>100.8</v>
      </c>
      <c r="AF210" s="17" t="s">
        <v>413</v>
      </c>
      <c r="AG210" s="47">
        <v>4.9811948154276905E-2</v>
      </c>
    </row>
    <row r="211" spans="9:33" ht="17.25" hidden="1" customHeight="1">
      <c r="I211" s="18"/>
      <c r="AB211" s="19"/>
      <c r="AC211" s="43">
        <f t="shared" si="90"/>
        <v>29.1</v>
      </c>
      <c r="AD211" s="43">
        <f t="shared" si="91"/>
        <v>100.9</v>
      </c>
      <c r="AF211" s="17" t="s">
        <v>416</v>
      </c>
      <c r="AG211" s="47">
        <v>4.2685124521853737E-3</v>
      </c>
    </row>
    <row r="212" spans="9:33" ht="17.25" hidden="1" customHeight="1">
      <c r="I212" s="18"/>
      <c r="AB212" s="19"/>
      <c r="AC212" s="43">
        <f t="shared" si="90"/>
        <v>29</v>
      </c>
      <c r="AD212" s="43">
        <f t="shared" ref="AD212:AD227" si="92">ROUNDUP(AD211+0.1,1)</f>
        <v>101</v>
      </c>
      <c r="AF212" s="17" t="s">
        <v>417</v>
      </c>
      <c r="AG212" s="47">
        <v>1.4784368173643833E-3</v>
      </c>
    </row>
    <row r="213" spans="9:33" ht="17.25" hidden="1" customHeight="1">
      <c r="I213" s="18"/>
      <c r="AB213" s="19"/>
      <c r="AC213" s="43">
        <f t="shared" si="90"/>
        <v>28.9</v>
      </c>
      <c r="AD213" s="43">
        <f t="shared" si="92"/>
        <v>101.1</v>
      </c>
      <c r="AF213" s="17" t="s">
        <v>418</v>
      </c>
      <c r="AG213" s="47">
        <v>0</v>
      </c>
    </row>
    <row r="214" spans="9:33" ht="15" hidden="1" customHeight="1">
      <c r="I214" s="18"/>
      <c r="AB214" s="19"/>
      <c r="AC214" s="43">
        <f t="shared" si="90"/>
        <v>28.8</v>
      </c>
      <c r="AD214" s="43">
        <f t="shared" si="92"/>
        <v>101.2</v>
      </c>
      <c r="AF214" s="17" t="s">
        <v>419</v>
      </c>
      <c r="AG214" s="47">
        <v>119.72612699999999</v>
      </c>
    </row>
    <row r="215" spans="9:33" ht="15" hidden="1" customHeight="1">
      <c r="I215" s="18"/>
      <c r="AB215" s="19"/>
      <c r="AC215" s="43">
        <f t="shared" si="90"/>
        <v>28.7</v>
      </c>
      <c r="AD215" s="43">
        <f t="shared" si="92"/>
        <v>101.3</v>
      </c>
      <c r="AF215" s="17" t="s">
        <v>420</v>
      </c>
      <c r="AG215" s="47">
        <v>48.795493</v>
      </c>
    </row>
    <row r="216" spans="9:33" ht="15" hidden="1" customHeight="1">
      <c r="I216" s="18"/>
      <c r="AB216" s="19"/>
      <c r="AC216" s="43">
        <f t="shared" si="90"/>
        <v>28.6</v>
      </c>
      <c r="AD216" s="43">
        <f t="shared" si="92"/>
        <v>101.4</v>
      </c>
      <c r="AF216" s="17" t="s">
        <v>421</v>
      </c>
      <c r="AG216" s="47">
        <v>37.595101</v>
      </c>
    </row>
    <row r="217" spans="9:33" ht="15" hidden="1" customHeight="1">
      <c r="I217" s="18"/>
      <c r="AB217" s="19"/>
      <c r="AC217" s="43">
        <f t="shared" si="90"/>
        <v>28.5</v>
      </c>
      <c r="AD217" s="43">
        <f t="shared" si="92"/>
        <v>101.5</v>
      </c>
      <c r="AF217" s="17" t="s">
        <v>422</v>
      </c>
      <c r="AG217" s="47">
        <v>9.1159979999999994</v>
      </c>
    </row>
    <row r="218" spans="9:33" ht="15" hidden="1" customHeight="1">
      <c r="I218" s="18"/>
      <c r="AB218" s="19"/>
      <c r="AC218" s="43">
        <f t="shared" si="90"/>
        <v>28.4</v>
      </c>
      <c r="AD218" s="43">
        <f t="shared" si="92"/>
        <v>101.6</v>
      </c>
      <c r="AF218" s="17" t="s">
        <v>423</v>
      </c>
      <c r="AG218" s="47">
        <v>2.5572760000000003</v>
      </c>
    </row>
    <row r="219" spans="9:33" ht="15" hidden="1" customHeight="1">
      <c r="I219" s="18"/>
      <c r="AB219" s="19"/>
      <c r="AC219" s="43">
        <f t="shared" si="90"/>
        <v>28.3</v>
      </c>
      <c r="AD219" s="43">
        <f t="shared" si="92"/>
        <v>101.7</v>
      </c>
      <c r="AF219" s="17" t="s">
        <v>424</v>
      </c>
      <c r="AG219" s="47">
        <v>0.49639999999999995</v>
      </c>
    </row>
    <row r="220" spans="9:33" ht="15" hidden="1" customHeight="1">
      <c r="I220" s="18"/>
      <c r="AB220" s="19"/>
      <c r="AC220" s="43">
        <f t="shared" si="90"/>
        <v>28.2</v>
      </c>
      <c r="AD220" s="43">
        <f t="shared" si="92"/>
        <v>101.8</v>
      </c>
    </row>
    <row r="221" spans="9:33" ht="15" hidden="1" customHeight="1">
      <c r="I221" s="18"/>
      <c r="AB221" s="19"/>
      <c r="AC221" s="43">
        <f t="shared" si="90"/>
        <v>28.1</v>
      </c>
      <c r="AD221" s="43">
        <f t="shared" si="92"/>
        <v>101.9</v>
      </c>
    </row>
    <row r="222" spans="9:33" ht="15" hidden="1" customHeight="1">
      <c r="I222" s="18"/>
      <c r="AB222" s="19"/>
      <c r="AC222" s="43">
        <f t="shared" si="90"/>
        <v>28</v>
      </c>
      <c r="AD222" s="43">
        <f t="shared" si="92"/>
        <v>102</v>
      </c>
    </row>
    <row r="223" spans="9:33" ht="15" hidden="1" customHeight="1">
      <c r="I223" s="18"/>
      <c r="AB223" s="19"/>
      <c r="AC223" s="43">
        <f t="shared" si="90"/>
        <v>27.9</v>
      </c>
      <c r="AD223" s="43">
        <f t="shared" si="92"/>
        <v>102.1</v>
      </c>
    </row>
    <row r="224" spans="9:33" ht="15" hidden="1" customHeight="1">
      <c r="I224" s="18"/>
      <c r="AB224" s="19"/>
      <c r="AC224" s="43">
        <f t="shared" si="90"/>
        <v>27.8</v>
      </c>
      <c r="AD224" s="43">
        <f t="shared" si="92"/>
        <v>102.2</v>
      </c>
    </row>
    <row r="225" spans="9:30" ht="15" hidden="1" customHeight="1">
      <c r="I225" s="18"/>
      <c r="AB225" s="19"/>
      <c r="AC225" s="43">
        <f t="shared" si="90"/>
        <v>27.7</v>
      </c>
      <c r="AD225" s="43">
        <f t="shared" si="92"/>
        <v>102.3</v>
      </c>
    </row>
    <row r="226" spans="9:30" ht="15" hidden="1" customHeight="1">
      <c r="I226" s="18"/>
      <c r="AB226" s="19"/>
      <c r="AC226" s="43">
        <f t="shared" si="90"/>
        <v>27.6</v>
      </c>
      <c r="AD226" s="43">
        <f t="shared" si="92"/>
        <v>102.4</v>
      </c>
    </row>
    <row r="227" spans="9:30" ht="15" hidden="1" customHeight="1">
      <c r="I227" s="18"/>
      <c r="AB227" s="19"/>
      <c r="AC227" s="43">
        <f t="shared" si="90"/>
        <v>27.5</v>
      </c>
      <c r="AD227" s="43">
        <f t="shared" si="92"/>
        <v>102.5</v>
      </c>
    </row>
    <row r="228" spans="9:30" ht="15" hidden="1" customHeight="1">
      <c r="I228" s="18"/>
      <c r="AB228" s="19"/>
      <c r="AC228" s="43">
        <f t="shared" si="90"/>
        <v>27.4</v>
      </c>
      <c r="AD228" s="43">
        <f t="shared" ref="AD228:AD243" si="93">ROUNDUP(AD227+0.1,1)</f>
        <v>102.6</v>
      </c>
    </row>
    <row r="229" spans="9:30" ht="15" hidden="1" customHeight="1">
      <c r="I229" s="18"/>
      <c r="J229" s="18"/>
      <c r="K229" s="18"/>
      <c r="AB229" s="19"/>
      <c r="AC229" s="43">
        <f t="shared" si="90"/>
        <v>27.3</v>
      </c>
      <c r="AD229" s="43">
        <f t="shared" si="93"/>
        <v>102.7</v>
      </c>
    </row>
    <row r="230" spans="9:30" ht="15" hidden="1" customHeight="1">
      <c r="I230" s="18"/>
      <c r="J230" s="18"/>
      <c r="K230" s="18"/>
      <c r="AB230" s="19"/>
      <c r="AC230" s="43">
        <f t="shared" si="90"/>
        <v>27.2</v>
      </c>
      <c r="AD230" s="43">
        <f t="shared" si="93"/>
        <v>102.8</v>
      </c>
    </row>
    <row r="231" spans="9:30" ht="15" hidden="1" customHeight="1">
      <c r="I231" s="18"/>
      <c r="J231" s="18"/>
      <c r="K231" s="18"/>
      <c r="AB231" s="19"/>
      <c r="AC231" s="43">
        <f t="shared" si="90"/>
        <v>27.1</v>
      </c>
      <c r="AD231" s="43">
        <f t="shared" si="93"/>
        <v>102.9</v>
      </c>
    </row>
    <row r="232" spans="9:30" ht="15" hidden="1" customHeight="1">
      <c r="I232" s="18"/>
      <c r="J232" s="18"/>
      <c r="K232" s="18"/>
      <c r="AB232" s="19"/>
      <c r="AC232" s="43">
        <f t="shared" si="90"/>
        <v>27</v>
      </c>
      <c r="AD232" s="43">
        <f t="shared" si="93"/>
        <v>103</v>
      </c>
    </row>
    <row r="233" spans="9:30" ht="15" hidden="1" customHeight="1">
      <c r="I233" s="18"/>
      <c r="J233" s="18"/>
      <c r="K233" s="18"/>
      <c r="AB233" s="19"/>
      <c r="AC233" s="43">
        <f t="shared" si="90"/>
        <v>26.9</v>
      </c>
      <c r="AD233" s="43">
        <f t="shared" si="93"/>
        <v>103.1</v>
      </c>
    </row>
    <row r="234" spans="9:30" ht="15" hidden="1" customHeight="1">
      <c r="I234" s="18"/>
      <c r="J234" s="18"/>
      <c r="K234" s="18"/>
      <c r="AB234" s="19"/>
      <c r="AC234" s="43">
        <f t="shared" si="90"/>
        <v>26.8</v>
      </c>
      <c r="AD234" s="43">
        <f t="shared" si="93"/>
        <v>103.2</v>
      </c>
    </row>
    <row r="235" spans="9:30" ht="15" hidden="1" customHeight="1">
      <c r="I235" s="18"/>
      <c r="J235" s="18"/>
      <c r="K235" s="18"/>
      <c r="AB235" s="19"/>
      <c r="AC235" s="43">
        <f t="shared" si="90"/>
        <v>26.7</v>
      </c>
      <c r="AD235" s="43">
        <f t="shared" si="93"/>
        <v>103.3</v>
      </c>
    </row>
    <row r="236" spans="9:30" ht="15" hidden="1" customHeight="1">
      <c r="I236" s="18"/>
      <c r="J236" s="18"/>
      <c r="K236" s="18"/>
      <c r="AB236" s="19"/>
      <c r="AC236" s="43">
        <f t="shared" si="90"/>
        <v>26.6</v>
      </c>
      <c r="AD236" s="43">
        <f t="shared" si="93"/>
        <v>103.4</v>
      </c>
    </row>
    <row r="237" spans="9:30" ht="15" hidden="1" customHeight="1">
      <c r="I237" s="18"/>
      <c r="J237" s="18"/>
      <c r="K237" s="18"/>
      <c r="AB237" s="19"/>
      <c r="AC237" s="43">
        <f t="shared" si="90"/>
        <v>26.5</v>
      </c>
      <c r="AD237" s="43">
        <f t="shared" si="93"/>
        <v>103.5</v>
      </c>
    </row>
    <row r="238" spans="9:30" ht="15" hidden="1" customHeight="1">
      <c r="I238" s="18"/>
      <c r="J238" s="18"/>
      <c r="K238" s="18"/>
      <c r="AB238" s="19"/>
      <c r="AC238" s="43">
        <f t="shared" si="90"/>
        <v>26.4</v>
      </c>
      <c r="AD238" s="43">
        <f t="shared" si="93"/>
        <v>103.6</v>
      </c>
    </row>
    <row r="239" spans="9:30" ht="15" hidden="1" customHeight="1">
      <c r="I239" s="18"/>
      <c r="J239" s="18"/>
      <c r="K239" s="18"/>
      <c r="AB239" s="19"/>
      <c r="AC239" s="43">
        <f t="shared" si="90"/>
        <v>26.3</v>
      </c>
      <c r="AD239" s="43">
        <f t="shared" si="93"/>
        <v>103.7</v>
      </c>
    </row>
    <row r="240" spans="9:30" ht="15" hidden="1" customHeight="1">
      <c r="I240" s="18"/>
      <c r="J240" s="18"/>
      <c r="K240" s="18"/>
      <c r="AB240" s="19"/>
      <c r="AC240" s="43">
        <f t="shared" si="90"/>
        <v>26.2</v>
      </c>
      <c r="AD240" s="43">
        <f t="shared" si="93"/>
        <v>103.8</v>
      </c>
    </row>
    <row r="241" spans="9:30" ht="15" hidden="1" customHeight="1">
      <c r="I241" s="18"/>
      <c r="J241" s="18"/>
      <c r="K241" s="18"/>
      <c r="AB241" s="19"/>
      <c r="AC241" s="43">
        <f t="shared" si="90"/>
        <v>26.1</v>
      </c>
      <c r="AD241" s="43">
        <f t="shared" si="93"/>
        <v>103.9</v>
      </c>
    </row>
    <row r="242" spans="9:30" ht="15" hidden="1" customHeight="1">
      <c r="I242" s="18"/>
      <c r="J242" s="18"/>
      <c r="K242" s="18"/>
      <c r="AB242" s="19"/>
      <c r="AC242" s="43">
        <f t="shared" si="90"/>
        <v>26</v>
      </c>
      <c r="AD242" s="43">
        <f t="shared" si="93"/>
        <v>104</v>
      </c>
    </row>
    <row r="243" spans="9:30" ht="15" hidden="1" customHeight="1">
      <c r="I243" s="18"/>
      <c r="J243" s="18"/>
      <c r="K243" s="18"/>
      <c r="AB243" s="19"/>
      <c r="AC243" s="43">
        <f t="shared" si="90"/>
        <v>25.9</v>
      </c>
      <c r="AD243" s="43">
        <f t="shared" si="93"/>
        <v>104.1</v>
      </c>
    </row>
    <row r="244" spans="9:30" ht="15" hidden="1" customHeight="1">
      <c r="I244" s="18"/>
      <c r="J244" s="18"/>
      <c r="K244" s="18"/>
      <c r="AB244" s="19"/>
      <c r="AC244" s="43">
        <f t="shared" si="90"/>
        <v>25.8</v>
      </c>
      <c r="AD244" s="43">
        <f t="shared" ref="AD244:AD259" si="94">ROUNDUP(AD243+0.1,1)</f>
        <v>104.2</v>
      </c>
    </row>
    <row r="245" spans="9:30" ht="15" hidden="1" customHeight="1">
      <c r="I245" s="18"/>
      <c r="J245" s="18"/>
      <c r="K245" s="18"/>
      <c r="AB245" s="19"/>
      <c r="AC245" s="43">
        <f t="shared" si="90"/>
        <v>25.7</v>
      </c>
      <c r="AD245" s="43">
        <f t="shared" si="94"/>
        <v>104.3</v>
      </c>
    </row>
    <row r="246" spans="9:30" ht="15" hidden="1" customHeight="1">
      <c r="I246" s="18"/>
      <c r="J246" s="18"/>
      <c r="K246" s="18"/>
      <c r="AB246" s="19"/>
      <c r="AC246" s="43">
        <f t="shared" si="90"/>
        <v>25.6</v>
      </c>
      <c r="AD246" s="43">
        <f t="shared" si="94"/>
        <v>104.4</v>
      </c>
    </row>
    <row r="247" spans="9:30" ht="15" hidden="1" customHeight="1">
      <c r="I247" s="18"/>
      <c r="J247" s="18"/>
      <c r="K247" s="18"/>
      <c r="AB247" s="19"/>
      <c r="AC247" s="43">
        <f t="shared" si="90"/>
        <v>25.5</v>
      </c>
      <c r="AD247" s="43">
        <f t="shared" si="94"/>
        <v>104.5</v>
      </c>
    </row>
    <row r="248" spans="9:30" ht="15" hidden="1" customHeight="1">
      <c r="I248" s="18"/>
      <c r="J248" s="18"/>
      <c r="K248" s="18"/>
      <c r="AB248" s="19"/>
      <c r="AC248" s="43">
        <f t="shared" si="90"/>
        <v>25.4</v>
      </c>
      <c r="AD248" s="43">
        <f t="shared" si="94"/>
        <v>104.6</v>
      </c>
    </row>
    <row r="249" spans="9:30" ht="15" hidden="1" customHeight="1">
      <c r="I249" s="18"/>
      <c r="J249" s="18"/>
      <c r="K249" s="18"/>
      <c r="AB249" s="19"/>
      <c r="AC249" s="43">
        <f t="shared" si="90"/>
        <v>25.3</v>
      </c>
      <c r="AD249" s="43">
        <f t="shared" si="94"/>
        <v>104.7</v>
      </c>
    </row>
    <row r="250" spans="9:30" ht="15" hidden="1" customHeight="1">
      <c r="I250" s="18"/>
      <c r="J250" s="18"/>
      <c r="K250" s="18"/>
      <c r="AB250" s="19"/>
      <c r="AC250" s="43">
        <f t="shared" si="90"/>
        <v>25.2</v>
      </c>
      <c r="AD250" s="43">
        <f t="shared" si="94"/>
        <v>104.8</v>
      </c>
    </row>
    <row r="251" spans="9:30" ht="15" hidden="1" customHeight="1">
      <c r="I251" s="18"/>
      <c r="J251" s="18"/>
      <c r="K251" s="18"/>
      <c r="AB251" s="19"/>
      <c r="AC251" s="43">
        <f t="shared" si="90"/>
        <v>25.1</v>
      </c>
      <c r="AD251" s="43">
        <f t="shared" si="94"/>
        <v>104.9</v>
      </c>
    </row>
    <row r="252" spans="9:30" ht="15" hidden="1" customHeight="1">
      <c r="I252" s="18"/>
      <c r="J252" s="18"/>
      <c r="K252" s="18"/>
      <c r="AB252" s="19"/>
      <c r="AC252" s="43">
        <f t="shared" si="90"/>
        <v>25</v>
      </c>
      <c r="AD252" s="43">
        <f t="shared" si="94"/>
        <v>105</v>
      </c>
    </row>
    <row r="253" spans="9:30" ht="15" hidden="1" customHeight="1">
      <c r="I253" s="18"/>
      <c r="J253" s="18"/>
      <c r="K253" s="18"/>
      <c r="AB253" s="19"/>
      <c r="AC253" s="43">
        <f t="shared" si="90"/>
        <v>24.9</v>
      </c>
      <c r="AD253" s="43">
        <f t="shared" si="94"/>
        <v>105.1</v>
      </c>
    </row>
    <row r="254" spans="9:30" ht="15" hidden="1" customHeight="1">
      <c r="I254" s="18"/>
      <c r="J254" s="18"/>
      <c r="K254" s="18"/>
      <c r="AB254" s="19"/>
      <c r="AC254" s="43">
        <f t="shared" si="90"/>
        <v>24.8</v>
      </c>
      <c r="AD254" s="43">
        <f t="shared" si="94"/>
        <v>105.2</v>
      </c>
    </row>
    <row r="255" spans="9:30" ht="15" hidden="1" customHeight="1">
      <c r="I255" s="18"/>
      <c r="J255" s="18"/>
      <c r="K255" s="18"/>
      <c r="AB255" s="19"/>
      <c r="AC255" s="43">
        <f t="shared" si="90"/>
        <v>24.7</v>
      </c>
      <c r="AD255" s="43">
        <f t="shared" si="94"/>
        <v>105.3</v>
      </c>
    </row>
    <row r="256" spans="9:30" ht="15" hidden="1" customHeight="1">
      <c r="I256" s="18"/>
      <c r="J256" s="18"/>
      <c r="K256" s="18"/>
      <c r="AB256" s="19"/>
      <c r="AC256" s="43">
        <f t="shared" si="90"/>
        <v>24.6</v>
      </c>
      <c r="AD256" s="43">
        <f t="shared" si="94"/>
        <v>105.4</v>
      </c>
    </row>
    <row r="257" spans="9:30" ht="15" hidden="1" customHeight="1">
      <c r="I257" s="18"/>
      <c r="J257" s="18"/>
      <c r="K257" s="18"/>
      <c r="AB257" s="19"/>
      <c r="AC257" s="43">
        <f t="shared" si="90"/>
        <v>24.5</v>
      </c>
      <c r="AD257" s="43">
        <f t="shared" si="94"/>
        <v>105.5</v>
      </c>
    </row>
    <row r="258" spans="9:30" ht="15" hidden="1" customHeight="1">
      <c r="I258" s="18"/>
      <c r="J258" s="18"/>
      <c r="K258" s="18"/>
      <c r="AB258" s="19"/>
      <c r="AC258" s="43">
        <f t="shared" si="90"/>
        <v>24.4</v>
      </c>
      <c r="AD258" s="43">
        <f t="shared" si="94"/>
        <v>105.6</v>
      </c>
    </row>
    <row r="259" spans="9:30" ht="15" hidden="1" customHeight="1">
      <c r="I259" s="18"/>
      <c r="J259" s="18"/>
      <c r="K259" s="18"/>
      <c r="AB259" s="19"/>
      <c r="AC259" s="43">
        <f t="shared" si="90"/>
        <v>24.3</v>
      </c>
      <c r="AD259" s="43">
        <f t="shared" si="94"/>
        <v>105.7</v>
      </c>
    </row>
    <row r="260" spans="9:30" ht="15" hidden="1" customHeight="1">
      <c r="I260" s="18"/>
      <c r="J260" s="18"/>
      <c r="K260" s="18"/>
      <c r="AB260" s="19"/>
      <c r="AC260" s="43">
        <f t="shared" ref="AC260:AC323" si="95">ROUNDUP(AC259-0.1,1)</f>
        <v>24.2</v>
      </c>
      <c r="AD260" s="43">
        <f t="shared" ref="AD260:AD275" si="96">ROUNDUP(AD259+0.1,1)</f>
        <v>105.8</v>
      </c>
    </row>
    <row r="261" spans="9:30" ht="15" hidden="1" customHeight="1">
      <c r="I261" s="18"/>
      <c r="J261" s="18"/>
      <c r="K261" s="18"/>
      <c r="AB261" s="19"/>
      <c r="AC261" s="43">
        <f t="shared" si="95"/>
        <v>24.1</v>
      </c>
      <c r="AD261" s="43">
        <f t="shared" si="96"/>
        <v>105.9</v>
      </c>
    </row>
    <row r="262" spans="9:30" ht="15" hidden="1" customHeight="1">
      <c r="I262" s="18"/>
      <c r="J262" s="18"/>
      <c r="K262" s="18"/>
      <c r="AB262" s="19"/>
      <c r="AC262" s="43">
        <f t="shared" si="95"/>
        <v>24</v>
      </c>
      <c r="AD262" s="43">
        <f t="shared" si="96"/>
        <v>106</v>
      </c>
    </row>
    <row r="263" spans="9:30" ht="15" hidden="1" customHeight="1">
      <c r="I263" s="18"/>
      <c r="J263" s="18"/>
      <c r="K263" s="18"/>
      <c r="AB263" s="19"/>
      <c r="AC263" s="43">
        <f t="shared" si="95"/>
        <v>23.9</v>
      </c>
      <c r="AD263" s="43">
        <f t="shared" si="96"/>
        <v>106.1</v>
      </c>
    </row>
    <row r="264" spans="9:30" ht="15" hidden="1" customHeight="1">
      <c r="I264" s="18"/>
      <c r="J264" s="18"/>
      <c r="K264" s="18"/>
      <c r="AB264" s="19"/>
      <c r="AC264" s="43">
        <f t="shared" si="95"/>
        <v>23.8</v>
      </c>
      <c r="AD264" s="43">
        <f t="shared" si="96"/>
        <v>106.2</v>
      </c>
    </row>
    <row r="265" spans="9:30" ht="15" hidden="1" customHeight="1">
      <c r="I265" s="18"/>
      <c r="J265" s="18"/>
      <c r="K265" s="18"/>
      <c r="AB265" s="19"/>
      <c r="AC265" s="43">
        <f t="shared" si="95"/>
        <v>23.7</v>
      </c>
      <c r="AD265" s="43">
        <f t="shared" si="96"/>
        <v>106.3</v>
      </c>
    </row>
    <row r="266" spans="9:30" ht="15" hidden="1" customHeight="1">
      <c r="I266" s="18"/>
      <c r="J266" s="18"/>
      <c r="K266" s="18"/>
      <c r="AB266" s="19"/>
      <c r="AC266" s="43">
        <f t="shared" si="95"/>
        <v>23.6</v>
      </c>
      <c r="AD266" s="43">
        <f t="shared" si="96"/>
        <v>106.4</v>
      </c>
    </row>
    <row r="267" spans="9:30" ht="15" hidden="1" customHeight="1">
      <c r="I267" s="18"/>
      <c r="J267" s="18"/>
      <c r="K267" s="18"/>
      <c r="AB267" s="19"/>
      <c r="AC267" s="43">
        <f t="shared" si="95"/>
        <v>23.5</v>
      </c>
      <c r="AD267" s="43">
        <f t="shared" si="96"/>
        <v>106.5</v>
      </c>
    </row>
    <row r="268" spans="9:30" ht="15" hidden="1" customHeight="1">
      <c r="I268" s="18"/>
      <c r="J268" s="18"/>
      <c r="K268" s="18"/>
      <c r="AB268" s="19"/>
      <c r="AC268" s="43">
        <f t="shared" si="95"/>
        <v>23.4</v>
      </c>
      <c r="AD268" s="43">
        <f t="shared" si="96"/>
        <v>106.6</v>
      </c>
    </row>
    <row r="269" spans="9:30" ht="15" hidden="1" customHeight="1">
      <c r="I269" s="18"/>
      <c r="J269" s="18"/>
      <c r="K269" s="18"/>
      <c r="AB269" s="19"/>
      <c r="AC269" s="43">
        <f t="shared" si="95"/>
        <v>23.3</v>
      </c>
      <c r="AD269" s="43">
        <f t="shared" si="96"/>
        <v>106.7</v>
      </c>
    </row>
    <row r="270" spans="9:30" ht="15" hidden="1" customHeight="1">
      <c r="I270" s="18"/>
      <c r="J270" s="18"/>
      <c r="K270" s="18"/>
      <c r="AB270" s="19"/>
      <c r="AC270" s="43">
        <f t="shared" si="95"/>
        <v>23.2</v>
      </c>
      <c r="AD270" s="43">
        <f t="shared" si="96"/>
        <v>106.8</v>
      </c>
    </row>
    <row r="271" spans="9:30" ht="15" hidden="1" customHeight="1">
      <c r="I271" s="18"/>
      <c r="J271" s="18"/>
      <c r="K271" s="18"/>
      <c r="AB271" s="19"/>
      <c r="AC271" s="43">
        <f t="shared" si="95"/>
        <v>23.1</v>
      </c>
      <c r="AD271" s="43">
        <f t="shared" si="96"/>
        <v>106.9</v>
      </c>
    </row>
    <row r="272" spans="9:30" ht="15" hidden="1" customHeight="1">
      <c r="I272" s="18"/>
      <c r="J272" s="18"/>
      <c r="K272" s="18"/>
      <c r="AB272" s="19"/>
      <c r="AC272" s="43">
        <f t="shared" si="95"/>
        <v>23</v>
      </c>
      <c r="AD272" s="43">
        <f t="shared" si="96"/>
        <v>107</v>
      </c>
    </row>
    <row r="273" spans="9:30" ht="15" hidden="1" customHeight="1">
      <c r="I273" s="18"/>
      <c r="J273" s="18"/>
      <c r="K273" s="18"/>
      <c r="AB273" s="19"/>
      <c r="AC273" s="43">
        <f t="shared" si="95"/>
        <v>22.9</v>
      </c>
      <c r="AD273" s="43">
        <f t="shared" si="96"/>
        <v>107.1</v>
      </c>
    </row>
    <row r="274" spans="9:30" ht="15" hidden="1" customHeight="1">
      <c r="I274" s="18"/>
      <c r="J274" s="18"/>
      <c r="K274" s="18"/>
      <c r="AB274" s="19"/>
      <c r="AC274" s="43">
        <f t="shared" si="95"/>
        <v>22.8</v>
      </c>
      <c r="AD274" s="43">
        <f t="shared" si="96"/>
        <v>107.2</v>
      </c>
    </row>
    <row r="275" spans="9:30" ht="15" hidden="1" customHeight="1">
      <c r="I275" s="18"/>
      <c r="J275" s="18"/>
      <c r="K275" s="18"/>
      <c r="AB275" s="19"/>
      <c r="AC275" s="43">
        <f t="shared" si="95"/>
        <v>22.7</v>
      </c>
      <c r="AD275" s="43">
        <f t="shared" si="96"/>
        <v>107.3</v>
      </c>
    </row>
    <row r="276" spans="9:30" ht="15" hidden="1" customHeight="1">
      <c r="I276" s="18"/>
      <c r="J276" s="18"/>
      <c r="K276" s="18"/>
      <c r="AB276" s="19"/>
      <c r="AC276" s="43">
        <f t="shared" si="95"/>
        <v>22.6</v>
      </c>
      <c r="AD276" s="43">
        <f t="shared" ref="AD276:AD291" si="97">ROUNDUP(AD275+0.1,1)</f>
        <v>107.4</v>
      </c>
    </row>
    <row r="277" spans="9:30" ht="15" hidden="1" customHeight="1">
      <c r="I277" s="18"/>
      <c r="J277" s="18"/>
      <c r="K277" s="18"/>
      <c r="AB277" s="19"/>
      <c r="AC277" s="43">
        <f t="shared" si="95"/>
        <v>22.5</v>
      </c>
      <c r="AD277" s="43">
        <f t="shared" si="97"/>
        <v>107.5</v>
      </c>
    </row>
    <row r="278" spans="9:30" ht="15" hidden="1" customHeight="1">
      <c r="I278" s="18"/>
      <c r="J278" s="18"/>
      <c r="K278" s="18"/>
      <c r="AB278" s="19"/>
      <c r="AC278" s="43">
        <f t="shared" si="95"/>
        <v>22.4</v>
      </c>
      <c r="AD278" s="43">
        <f t="shared" si="97"/>
        <v>107.6</v>
      </c>
    </row>
    <row r="279" spans="9:30" ht="15" hidden="1" customHeight="1">
      <c r="I279" s="18"/>
      <c r="J279" s="18"/>
      <c r="K279" s="18"/>
      <c r="AB279" s="19"/>
      <c r="AC279" s="43">
        <f t="shared" si="95"/>
        <v>22.3</v>
      </c>
      <c r="AD279" s="43">
        <f t="shared" si="97"/>
        <v>107.7</v>
      </c>
    </row>
    <row r="280" spans="9:30" ht="15" hidden="1" customHeight="1">
      <c r="I280" s="18"/>
      <c r="J280" s="18"/>
      <c r="K280" s="18"/>
      <c r="AB280" s="19"/>
      <c r="AC280" s="43">
        <f t="shared" si="95"/>
        <v>22.2</v>
      </c>
      <c r="AD280" s="43">
        <f t="shared" si="97"/>
        <v>107.8</v>
      </c>
    </row>
    <row r="281" spans="9:30" ht="15" hidden="1" customHeight="1">
      <c r="I281" s="18"/>
      <c r="J281" s="18"/>
      <c r="K281" s="18"/>
      <c r="AB281" s="19"/>
      <c r="AC281" s="43">
        <f t="shared" si="95"/>
        <v>22.1</v>
      </c>
      <c r="AD281" s="43">
        <f t="shared" si="97"/>
        <v>107.9</v>
      </c>
    </row>
    <row r="282" spans="9:30" ht="15" hidden="1" customHeight="1">
      <c r="I282" s="18"/>
      <c r="J282" s="18"/>
      <c r="K282" s="18"/>
      <c r="AB282" s="19"/>
      <c r="AC282" s="43">
        <f t="shared" si="95"/>
        <v>22</v>
      </c>
      <c r="AD282" s="43">
        <f t="shared" si="97"/>
        <v>108</v>
      </c>
    </row>
    <row r="283" spans="9:30" ht="15" hidden="1" customHeight="1">
      <c r="I283" s="18"/>
      <c r="J283" s="18"/>
      <c r="K283" s="18"/>
      <c r="AB283" s="19"/>
      <c r="AC283" s="43">
        <f t="shared" si="95"/>
        <v>21.9</v>
      </c>
      <c r="AD283" s="43">
        <f t="shared" si="97"/>
        <v>108.1</v>
      </c>
    </row>
    <row r="284" spans="9:30" ht="15" hidden="1" customHeight="1">
      <c r="I284" s="18"/>
      <c r="J284" s="18"/>
      <c r="K284" s="18"/>
      <c r="AB284" s="19"/>
      <c r="AC284" s="43">
        <f t="shared" si="95"/>
        <v>21.8</v>
      </c>
      <c r="AD284" s="43">
        <f t="shared" si="97"/>
        <v>108.2</v>
      </c>
    </row>
    <row r="285" spans="9:30" ht="15" hidden="1" customHeight="1">
      <c r="I285" s="18"/>
      <c r="J285" s="18"/>
      <c r="K285" s="18"/>
      <c r="AB285" s="19"/>
      <c r="AC285" s="43">
        <f t="shared" si="95"/>
        <v>21.7</v>
      </c>
      <c r="AD285" s="43">
        <f t="shared" si="97"/>
        <v>108.3</v>
      </c>
    </row>
    <row r="286" spans="9:30" ht="15" hidden="1" customHeight="1">
      <c r="I286" s="18"/>
      <c r="J286" s="18"/>
      <c r="K286" s="18"/>
      <c r="AB286" s="19"/>
      <c r="AC286" s="43">
        <f t="shared" si="95"/>
        <v>21.6</v>
      </c>
      <c r="AD286" s="43">
        <f t="shared" si="97"/>
        <v>108.4</v>
      </c>
    </row>
    <row r="287" spans="9:30" ht="15" hidden="1" customHeight="1">
      <c r="I287" s="18"/>
      <c r="J287" s="18"/>
      <c r="K287" s="18"/>
      <c r="AB287" s="19"/>
      <c r="AC287" s="43">
        <f t="shared" si="95"/>
        <v>21.5</v>
      </c>
      <c r="AD287" s="43">
        <f t="shared" si="97"/>
        <v>108.5</v>
      </c>
    </row>
    <row r="288" spans="9:30" ht="15" hidden="1" customHeight="1">
      <c r="I288" s="18"/>
      <c r="J288" s="18"/>
      <c r="K288" s="18"/>
      <c r="AB288" s="19"/>
      <c r="AC288" s="43">
        <f t="shared" si="95"/>
        <v>21.4</v>
      </c>
      <c r="AD288" s="43">
        <f t="shared" si="97"/>
        <v>108.6</v>
      </c>
    </row>
    <row r="289" spans="9:30" ht="15" hidden="1" customHeight="1">
      <c r="I289" s="18"/>
      <c r="J289" s="18"/>
      <c r="K289" s="18"/>
      <c r="AB289" s="19"/>
      <c r="AC289" s="43">
        <f t="shared" si="95"/>
        <v>21.3</v>
      </c>
      <c r="AD289" s="43">
        <f t="shared" si="97"/>
        <v>108.7</v>
      </c>
    </row>
    <row r="290" spans="9:30" ht="15" hidden="1" customHeight="1">
      <c r="I290" s="18"/>
      <c r="J290" s="18"/>
      <c r="K290" s="18"/>
      <c r="AB290" s="19"/>
      <c r="AC290" s="43">
        <f t="shared" si="95"/>
        <v>21.2</v>
      </c>
      <c r="AD290" s="43">
        <f t="shared" si="97"/>
        <v>108.8</v>
      </c>
    </row>
    <row r="291" spans="9:30" ht="15" hidden="1" customHeight="1">
      <c r="I291" s="18"/>
      <c r="J291" s="18"/>
      <c r="K291" s="18"/>
      <c r="AB291" s="19"/>
      <c r="AC291" s="43">
        <f t="shared" si="95"/>
        <v>21.1</v>
      </c>
      <c r="AD291" s="43">
        <f t="shared" si="97"/>
        <v>108.9</v>
      </c>
    </row>
    <row r="292" spans="9:30" ht="15" hidden="1" customHeight="1">
      <c r="I292" s="18"/>
      <c r="J292" s="18"/>
      <c r="K292" s="18"/>
      <c r="AB292" s="19"/>
      <c r="AC292" s="43">
        <f t="shared" si="95"/>
        <v>21</v>
      </c>
      <c r="AD292" s="43">
        <f t="shared" ref="AD292:AD307" si="98">ROUNDUP(AD291+0.1,1)</f>
        <v>109</v>
      </c>
    </row>
    <row r="293" spans="9:30" ht="15" hidden="1" customHeight="1">
      <c r="I293" s="18"/>
      <c r="J293" s="18"/>
      <c r="K293" s="18"/>
      <c r="AB293" s="19"/>
      <c r="AC293" s="43">
        <f t="shared" si="95"/>
        <v>20.9</v>
      </c>
      <c r="AD293" s="43">
        <f t="shared" si="98"/>
        <v>109.1</v>
      </c>
    </row>
    <row r="294" spans="9:30" ht="15" hidden="1" customHeight="1">
      <c r="I294" s="18"/>
      <c r="J294" s="18"/>
      <c r="K294" s="18"/>
      <c r="AB294" s="19"/>
      <c r="AC294" s="43">
        <f t="shared" si="95"/>
        <v>20.8</v>
      </c>
      <c r="AD294" s="43">
        <f t="shared" si="98"/>
        <v>109.2</v>
      </c>
    </row>
    <row r="295" spans="9:30" ht="15" hidden="1" customHeight="1">
      <c r="I295" s="18"/>
      <c r="J295" s="18"/>
      <c r="K295" s="18"/>
      <c r="AB295" s="19"/>
      <c r="AC295" s="43">
        <f t="shared" si="95"/>
        <v>20.7</v>
      </c>
      <c r="AD295" s="43">
        <f t="shared" si="98"/>
        <v>109.3</v>
      </c>
    </row>
    <row r="296" spans="9:30" ht="15" hidden="1" customHeight="1">
      <c r="I296" s="18"/>
      <c r="J296" s="18"/>
      <c r="K296" s="18"/>
      <c r="AB296" s="19"/>
      <c r="AC296" s="43">
        <f t="shared" si="95"/>
        <v>20.6</v>
      </c>
      <c r="AD296" s="43">
        <f t="shared" si="98"/>
        <v>109.4</v>
      </c>
    </row>
    <row r="297" spans="9:30" ht="15" hidden="1" customHeight="1">
      <c r="I297" s="18"/>
      <c r="J297" s="18"/>
      <c r="K297" s="18"/>
      <c r="AB297" s="19"/>
      <c r="AC297" s="43">
        <f t="shared" si="95"/>
        <v>20.5</v>
      </c>
      <c r="AD297" s="43">
        <f t="shared" si="98"/>
        <v>109.5</v>
      </c>
    </row>
    <row r="298" spans="9:30" ht="15" hidden="1" customHeight="1">
      <c r="I298" s="18"/>
      <c r="J298" s="18"/>
      <c r="K298" s="18"/>
      <c r="AB298" s="19"/>
      <c r="AC298" s="43">
        <f t="shared" si="95"/>
        <v>20.399999999999999</v>
      </c>
      <c r="AD298" s="43">
        <f t="shared" si="98"/>
        <v>109.6</v>
      </c>
    </row>
    <row r="299" spans="9:30" ht="15" hidden="1" customHeight="1">
      <c r="I299" s="18"/>
      <c r="J299" s="18"/>
      <c r="K299" s="18"/>
      <c r="AB299" s="19"/>
      <c r="AC299" s="43">
        <f t="shared" si="95"/>
        <v>20.3</v>
      </c>
      <c r="AD299" s="43">
        <f t="shared" si="98"/>
        <v>109.7</v>
      </c>
    </row>
    <row r="300" spans="9:30" ht="15" hidden="1" customHeight="1">
      <c r="I300" s="18"/>
      <c r="J300" s="18"/>
      <c r="K300" s="18"/>
      <c r="AB300" s="19"/>
      <c r="AC300" s="43">
        <f t="shared" si="95"/>
        <v>20.2</v>
      </c>
      <c r="AD300" s="43">
        <f t="shared" si="98"/>
        <v>109.8</v>
      </c>
    </row>
    <row r="301" spans="9:30" ht="15" hidden="1" customHeight="1">
      <c r="I301" s="18"/>
      <c r="J301" s="18"/>
      <c r="K301" s="18"/>
      <c r="AB301" s="19"/>
      <c r="AC301" s="43">
        <f t="shared" si="95"/>
        <v>20.100000000000001</v>
      </c>
      <c r="AD301" s="43">
        <f t="shared" si="98"/>
        <v>109.9</v>
      </c>
    </row>
    <row r="302" spans="9:30" ht="15" hidden="1" customHeight="1">
      <c r="I302" s="18"/>
      <c r="J302" s="18"/>
      <c r="K302" s="18"/>
      <c r="AB302" s="19"/>
      <c r="AC302" s="43">
        <f t="shared" si="95"/>
        <v>20</v>
      </c>
      <c r="AD302" s="43">
        <f t="shared" si="98"/>
        <v>110</v>
      </c>
    </row>
    <row r="303" spans="9:30" ht="15" hidden="1" customHeight="1">
      <c r="I303" s="18"/>
      <c r="J303" s="18"/>
      <c r="K303" s="18"/>
      <c r="AB303" s="19"/>
      <c r="AC303" s="43">
        <f t="shared" si="95"/>
        <v>19.899999999999999</v>
      </c>
      <c r="AD303" s="43">
        <f t="shared" si="98"/>
        <v>110.1</v>
      </c>
    </row>
    <row r="304" spans="9:30" ht="15" hidden="1" customHeight="1">
      <c r="I304" s="18"/>
      <c r="J304" s="18"/>
      <c r="K304" s="18"/>
      <c r="AB304" s="19"/>
      <c r="AC304" s="43">
        <f t="shared" si="95"/>
        <v>19.8</v>
      </c>
      <c r="AD304" s="43">
        <f t="shared" si="98"/>
        <v>110.2</v>
      </c>
    </row>
    <row r="305" spans="9:30" ht="15" hidden="1" customHeight="1">
      <c r="I305" s="18"/>
      <c r="J305" s="18"/>
      <c r="K305" s="18"/>
      <c r="AB305" s="19"/>
      <c r="AC305" s="43">
        <f t="shared" si="95"/>
        <v>19.7</v>
      </c>
      <c r="AD305" s="43">
        <f t="shared" si="98"/>
        <v>110.3</v>
      </c>
    </row>
    <row r="306" spans="9:30" ht="15" hidden="1" customHeight="1">
      <c r="I306" s="18"/>
      <c r="J306" s="18"/>
      <c r="K306" s="18"/>
      <c r="AB306" s="19"/>
      <c r="AC306" s="43">
        <f t="shared" si="95"/>
        <v>19.600000000000001</v>
      </c>
      <c r="AD306" s="43">
        <f t="shared" si="98"/>
        <v>110.4</v>
      </c>
    </row>
    <row r="307" spans="9:30" ht="15" hidden="1" customHeight="1">
      <c r="I307" s="18"/>
      <c r="J307" s="18"/>
      <c r="K307" s="18"/>
      <c r="AB307" s="19"/>
      <c r="AC307" s="43">
        <f t="shared" si="95"/>
        <v>19.5</v>
      </c>
      <c r="AD307" s="43">
        <f t="shared" si="98"/>
        <v>110.5</v>
      </c>
    </row>
    <row r="308" spans="9:30" ht="15" hidden="1" customHeight="1">
      <c r="I308" s="18"/>
      <c r="J308" s="18"/>
      <c r="K308" s="18"/>
      <c r="AB308" s="19"/>
      <c r="AC308" s="43">
        <f t="shared" si="95"/>
        <v>19.399999999999999</v>
      </c>
      <c r="AD308" s="43">
        <f t="shared" ref="AD308:AD323" si="99">ROUNDUP(AD307+0.1,1)</f>
        <v>110.6</v>
      </c>
    </row>
    <row r="309" spans="9:30" ht="15" hidden="1" customHeight="1">
      <c r="I309" s="18"/>
      <c r="J309" s="18"/>
      <c r="K309" s="18"/>
      <c r="AB309" s="19"/>
      <c r="AC309" s="43">
        <f t="shared" si="95"/>
        <v>19.3</v>
      </c>
      <c r="AD309" s="43">
        <f t="shared" si="99"/>
        <v>110.7</v>
      </c>
    </row>
    <row r="310" spans="9:30" ht="15" hidden="1" customHeight="1">
      <c r="I310" s="18"/>
      <c r="J310" s="18"/>
      <c r="K310" s="18"/>
      <c r="AB310" s="19"/>
      <c r="AC310" s="43">
        <f t="shared" si="95"/>
        <v>19.2</v>
      </c>
      <c r="AD310" s="43">
        <f t="shared" si="99"/>
        <v>110.8</v>
      </c>
    </row>
    <row r="311" spans="9:30" ht="15" hidden="1" customHeight="1">
      <c r="I311" s="18"/>
      <c r="J311" s="18"/>
      <c r="K311" s="18"/>
      <c r="AB311" s="19"/>
      <c r="AC311" s="43">
        <f t="shared" si="95"/>
        <v>19.100000000000001</v>
      </c>
      <c r="AD311" s="43">
        <f t="shared" si="99"/>
        <v>110.9</v>
      </c>
    </row>
    <row r="312" spans="9:30" ht="15" hidden="1" customHeight="1">
      <c r="I312" s="18"/>
      <c r="J312" s="18"/>
      <c r="K312" s="18"/>
      <c r="AB312" s="19"/>
      <c r="AC312" s="43">
        <f t="shared" si="95"/>
        <v>19</v>
      </c>
      <c r="AD312" s="43">
        <f t="shared" si="99"/>
        <v>111</v>
      </c>
    </row>
    <row r="313" spans="9:30" ht="15" hidden="1" customHeight="1">
      <c r="I313" s="18"/>
      <c r="J313" s="18"/>
      <c r="K313" s="18"/>
      <c r="AB313" s="19"/>
      <c r="AC313" s="43">
        <f t="shared" si="95"/>
        <v>18.899999999999999</v>
      </c>
      <c r="AD313" s="43">
        <f t="shared" si="99"/>
        <v>111.1</v>
      </c>
    </row>
    <row r="314" spans="9:30" ht="15" hidden="1" customHeight="1">
      <c r="I314" s="18"/>
      <c r="J314" s="18"/>
      <c r="K314" s="18"/>
      <c r="AB314" s="19"/>
      <c r="AC314" s="43">
        <f t="shared" si="95"/>
        <v>18.8</v>
      </c>
      <c r="AD314" s="43">
        <f t="shared" si="99"/>
        <v>111.2</v>
      </c>
    </row>
    <row r="315" spans="9:30" ht="15" hidden="1" customHeight="1">
      <c r="I315" s="18"/>
      <c r="J315" s="18"/>
      <c r="K315" s="18"/>
      <c r="AB315" s="19"/>
      <c r="AC315" s="43">
        <f t="shared" si="95"/>
        <v>18.7</v>
      </c>
      <c r="AD315" s="43">
        <f t="shared" si="99"/>
        <v>111.3</v>
      </c>
    </row>
    <row r="316" spans="9:30" ht="15" hidden="1" customHeight="1">
      <c r="I316" s="18"/>
      <c r="J316" s="18"/>
      <c r="K316" s="18"/>
      <c r="AB316" s="19"/>
      <c r="AC316" s="43">
        <f t="shared" si="95"/>
        <v>18.600000000000001</v>
      </c>
      <c r="AD316" s="43">
        <f t="shared" si="99"/>
        <v>111.4</v>
      </c>
    </row>
    <row r="317" spans="9:30" ht="15" hidden="1" customHeight="1">
      <c r="I317" s="18"/>
      <c r="J317" s="18"/>
      <c r="K317" s="18"/>
      <c r="AB317" s="19"/>
      <c r="AC317" s="43">
        <f t="shared" si="95"/>
        <v>18.5</v>
      </c>
      <c r="AD317" s="43">
        <f t="shared" si="99"/>
        <v>111.5</v>
      </c>
    </row>
    <row r="318" spans="9:30" ht="15" hidden="1" customHeight="1">
      <c r="AB318" s="19"/>
      <c r="AC318" s="43">
        <f t="shared" si="95"/>
        <v>18.399999999999999</v>
      </c>
      <c r="AD318" s="43">
        <f t="shared" si="99"/>
        <v>111.6</v>
      </c>
    </row>
    <row r="319" spans="9:30" ht="15" hidden="1" customHeight="1">
      <c r="AB319" s="19"/>
      <c r="AC319" s="43">
        <f t="shared" si="95"/>
        <v>18.3</v>
      </c>
      <c r="AD319" s="43">
        <f t="shared" si="99"/>
        <v>111.7</v>
      </c>
    </row>
    <row r="320" spans="9:30" ht="15" hidden="1" customHeight="1">
      <c r="AB320" s="19"/>
      <c r="AC320" s="43">
        <f t="shared" si="95"/>
        <v>18.2</v>
      </c>
      <c r="AD320" s="43">
        <f t="shared" si="99"/>
        <v>111.8</v>
      </c>
    </row>
    <row r="321" spans="28:30" ht="15" hidden="1" customHeight="1">
      <c r="AB321" s="19"/>
      <c r="AC321" s="43">
        <f t="shared" si="95"/>
        <v>18.100000000000001</v>
      </c>
      <c r="AD321" s="43">
        <f t="shared" si="99"/>
        <v>111.9</v>
      </c>
    </row>
    <row r="322" spans="28:30" ht="15" hidden="1" customHeight="1">
      <c r="AB322" s="19"/>
      <c r="AC322" s="43">
        <f t="shared" si="95"/>
        <v>18</v>
      </c>
      <c r="AD322" s="43">
        <f t="shared" si="99"/>
        <v>112</v>
      </c>
    </row>
    <row r="323" spans="28:30" ht="15" hidden="1" customHeight="1">
      <c r="AB323" s="19"/>
      <c r="AC323" s="43">
        <f t="shared" si="95"/>
        <v>17.899999999999999</v>
      </c>
      <c r="AD323" s="43">
        <f t="shared" si="99"/>
        <v>112.1</v>
      </c>
    </row>
    <row r="324" spans="28:30" ht="15" hidden="1" customHeight="1">
      <c r="AB324" s="19"/>
      <c r="AC324" s="43">
        <f t="shared" ref="AC324:AC387" si="100">ROUNDUP(AC323-0.1,1)</f>
        <v>17.8</v>
      </c>
      <c r="AD324" s="43">
        <f t="shared" ref="AD324:AD339" si="101">ROUNDUP(AD323+0.1,1)</f>
        <v>112.2</v>
      </c>
    </row>
    <row r="325" spans="28:30" ht="15" hidden="1" customHeight="1">
      <c r="AB325" s="19"/>
      <c r="AC325" s="43">
        <f t="shared" si="100"/>
        <v>17.7</v>
      </c>
      <c r="AD325" s="43">
        <f t="shared" si="101"/>
        <v>112.3</v>
      </c>
    </row>
    <row r="326" spans="28:30" ht="15" hidden="1" customHeight="1">
      <c r="AB326" s="19"/>
      <c r="AC326" s="43">
        <f t="shared" si="100"/>
        <v>17.600000000000001</v>
      </c>
      <c r="AD326" s="43">
        <f t="shared" si="101"/>
        <v>112.4</v>
      </c>
    </row>
    <row r="327" spans="28:30" ht="15" hidden="1" customHeight="1">
      <c r="AB327" s="19"/>
      <c r="AC327" s="43">
        <f t="shared" si="100"/>
        <v>17.5</v>
      </c>
      <c r="AD327" s="43">
        <f t="shared" si="101"/>
        <v>112.5</v>
      </c>
    </row>
    <row r="328" spans="28:30" ht="15" hidden="1" customHeight="1">
      <c r="AB328" s="19"/>
      <c r="AC328" s="43">
        <f t="shared" si="100"/>
        <v>17.399999999999999</v>
      </c>
      <c r="AD328" s="43">
        <f t="shared" si="101"/>
        <v>112.6</v>
      </c>
    </row>
    <row r="329" spans="28:30" ht="15" hidden="1" customHeight="1">
      <c r="AB329" s="19"/>
      <c r="AC329" s="43">
        <f t="shared" si="100"/>
        <v>17.3</v>
      </c>
      <c r="AD329" s="43">
        <f t="shared" si="101"/>
        <v>112.7</v>
      </c>
    </row>
    <row r="330" spans="28:30" ht="15" hidden="1" customHeight="1">
      <c r="AB330" s="19"/>
      <c r="AC330" s="43">
        <f t="shared" si="100"/>
        <v>17.2</v>
      </c>
      <c r="AD330" s="43">
        <f t="shared" si="101"/>
        <v>112.8</v>
      </c>
    </row>
    <row r="331" spans="28:30" ht="15" hidden="1" customHeight="1">
      <c r="AB331" s="19"/>
      <c r="AC331" s="43">
        <f t="shared" si="100"/>
        <v>17.100000000000001</v>
      </c>
      <c r="AD331" s="43">
        <f t="shared" si="101"/>
        <v>112.9</v>
      </c>
    </row>
    <row r="332" spans="28:30" ht="15" hidden="1" customHeight="1">
      <c r="AB332" s="19"/>
      <c r="AC332" s="43">
        <f t="shared" si="100"/>
        <v>17</v>
      </c>
      <c r="AD332" s="43">
        <f t="shared" si="101"/>
        <v>113</v>
      </c>
    </row>
    <row r="333" spans="28:30" ht="15" hidden="1" customHeight="1">
      <c r="AB333" s="19"/>
      <c r="AC333" s="43">
        <f t="shared" si="100"/>
        <v>16.899999999999999</v>
      </c>
      <c r="AD333" s="43">
        <f t="shared" si="101"/>
        <v>113.1</v>
      </c>
    </row>
    <row r="334" spans="28:30" ht="15" hidden="1" customHeight="1">
      <c r="AB334" s="19"/>
      <c r="AC334" s="43">
        <f t="shared" si="100"/>
        <v>16.8</v>
      </c>
      <c r="AD334" s="43">
        <f t="shared" si="101"/>
        <v>113.2</v>
      </c>
    </row>
    <row r="335" spans="28:30" ht="15" hidden="1" customHeight="1">
      <c r="AB335" s="19"/>
      <c r="AC335" s="43">
        <f t="shared" si="100"/>
        <v>16.7</v>
      </c>
      <c r="AD335" s="43">
        <f t="shared" si="101"/>
        <v>113.3</v>
      </c>
    </row>
    <row r="336" spans="28:30" ht="15" hidden="1" customHeight="1">
      <c r="AB336" s="19"/>
      <c r="AC336" s="43">
        <f t="shared" si="100"/>
        <v>16.600000000000001</v>
      </c>
      <c r="AD336" s="43">
        <f t="shared" si="101"/>
        <v>113.4</v>
      </c>
    </row>
    <row r="337" spans="28:30" ht="15" hidden="1" customHeight="1">
      <c r="AB337" s="19"/>
      <c r="AC337" s="43">
        <f t="shared" si="100"/>
        <v>16.5</v>
      </c>
      <c r="AD337" s="43">
        <f t="shared" si="101"/>
        <v>113.5</v>
      </c>
    </row>
    <row r="338" spans="28:30" ht="15" hidden="1" customHeight="1">
      <c r="AB338" s="19"/>
      <c r="AC338" s="43">
        <f t="shared" si="100"/>
        <v>16.399999999999999</v>
      </c>
      <c r="AD338" s="43">
        <f t="shared" si="101"/>
        <v>113.6</v>
      </c>
    </row>
    <row r="339" spans="28:30" ht="15" hidden="1" customHeight="1">
      <c r="AB339" s="19"/>
      <c r="AC339" s="43">
        <f t="shared" si="100"/>
        <v>16.3</v>
      </c>
      <c r="AD339" s="43">
        <f t="shared" si="101"/>
        <v>113.7</v>
      </c>
    </row>
    <row r="340" spans="28:30" ht="15" hidden="1" customHeight="1">
      <c r="AB340" s="19"/>
      <c r="AC340" s="43">
        <f t="shared" si="100"/>
        <v>16.2</v>
      </c>
      <c r="AD340" s="43">
        <f t="shared" ref="AD340:AD355" si="102">ROUNDUP(AD339+0.1,1)</f>
        <v>113.8</v>
      </c>
    </row>
    <row r="341" spans="28:30" ht="15" hidden="1" customHeight="1">
      <c r="AB341" s="19"/>
      <c r="AC341" s="43">
        <f t="shared" si="100"/>
        <v>16.100000000000001</v>
      </c>
      <c r="AD341" s="43">
        <f t="shared" si="102"/>
        <v>113.9</v>
      </c>
    </row>
    <row r="342" spans="28:30" ht="15" hidden="1" customHeight="1">
      <c r="AB342" s="19"/>
      <c r="AC342" s="43">
        <f t="shared" si="100"/>
        <v>16</v>
      </c>
      <c r="AD342" s="43">
        <f t="shared" si="102"/>
        <v>114</v>
      </c>
    </row>
    <row r="343" spans="28:30" ht="15" hidden="1" customHeight="1">
      <c r="AB343" s="19"/>
      <c r="AC343" s="43">
        <f t="shared" si="100"/>
        <v>15.9</v>
      </c>
      <c r="AD343" s="43">
        <f t="shared" si="102"/>
        <v>114.1</v>
      </c>
    </row>
    <row r="344" spans="28:30" ht="15" hidden="1" customHeight="1">
      <c r="AB344" s="19"/>
      <c r="AC344" s="43">
        <f t="shared" si="100"/>
        <v>15.8</v>
      </c>
      <c r="AD344" s="43">
        <f t="shared" si="102"/>
        <v>114.2</v>
      </c>
    </row>
    <row r="345" spans="28:30" ht="15" hidden="1" customHeight="1">
      <c r="AB345" s="19"/>
      <c r="AC345" s="43">
        <f t="shared" si="100"/>
        <v>15.7</v>
      </c>
      <c r="AD345" s="43">
        <f t="shared" si="102"/>
        <v>114.3</v>
      </c>
    </row>
    <row r="346" spans="28:30" ht="15" hidden="1" customHeight="1">
      <c r="AB346" s="19"/>
      <c r="AC346" s="43">
        <f t="shared" si="100"/>
        <v>15.6</v>
      </c>
      <c r="AD346" s="43">
        <f t="shared" si="102"/>
        <v>114.4</v>
      </c>
    </row>
    <row r="347" spans="28:30" ht="15" hidden="1" customHeight="1">
      <c r="AB347" s="19"/>
      <c r="AC347" s="43">
        <f t="shared" si="100"/>
        <v>15.5</v>
      </c>
      <c r="AD347" s="43">
        <f t="shared" si="102"/>
        <v>114.5</v>
      </c>
    </row>
    <row r="348" spans="28:30" ht="15" hidden="1" customHeight="1">
      <c r="AB348" s="19"/>
      <c r="AC348" s="43">
        <f t="shared" si="100"/>
        <v>15.4</v>
      </c>
      <c r="AD348" s="43">
        <f t="shared" si="102"/>
        <v>114.6</v>
      </c>
    </row>
    <row r="349" spans="28:30" ht="15" hidden="1" customHeight="1">
      <c r="AB349" s="19"/>
      <c r="AC349" s="43">
        <f t="shared" si="100"/>
        <v>15.3</v>
      </c>
      <c r="AD349" s="43">
        <f t="shared" si="102"/>
        <v>114.7</v>
      </c>
    </row>
    <row r="350" spans="28:30" ht="15" hidden="1" customHeight="1">
      <c r="AB350" s="19"/>
      <c r="AC350" s="43">
        <f t="shared" si="100"/>
        <v>15.2</v>
      </c>
      <c r="AD350" s="43">
        <f t="shared" si="102"/>
        <v>114.8</v>
      </c>
    </row>
    <row r="351" spans="28:30" ht="15" hidden="1" customHeight="1">
      <c r="AB351" s="19"/>
      <c r="AC351" s="43">
        <f t="shared" si="100"/>
        <v>15.1</v>
      </c>
      <c r="AD351" s="43">
        <f t="shared" si="102"/>
        <v>114.9</v>
      </c>
    </row>
    <row r="352" spans="28:30" ht="15" hidden="1" customHeight="1">
      <c r="AB352" s="19"/>
      <c r="AC352" s="43">
        <f t="shared" si="100"/>
        <v>15</v>
      </c>
      <c r="AD352" s="43">
        <f t="shared" si="102"/>
        <v>115</v>
      </c>
    </row>
    <row r="353" spans="28:30" ht="15" hidden="1" customHeight="1">
      <c r="AB353" s="19"/>
      <c r="AC353" s="43">
        <f t="shared" si="100"/>
        <v>14.9</v>
      </c>
      <c r="AD353" s="43">
        <f t="shared" si="102"/>
        <v>115.1</v>
      </c>
    </row>
    <row r="354" spans="28:30" ht="15" hidden="1" customHeight="1">
      <c r="AB354" s="19"/>
      <c r="AC354" s="43">
        <f t="shared" si="100"/>
        <v>14.8</v>
      </c>
      <c r="AD354" s="43">
        <f t="shared" si="102"/>
        <v>115.2</v>
      </c>
    </row>
    <row r="355" spans="28:30" ht="15" hidden="1" customHeight="1">
      <c r="AB355" s="19"/>
      <c r="AC355" s="43">
        <f t="shared" si="100"/>
        <v>14.7</v>
      </c>
      <c r="AD355" s="43">
        <f t="shared" si="102"/>
        <v>115.3</v>
      </c>
    </row>
    <row r="356" spans="28:30" ht="15" hidden="1" customHeight="1">
      <c r="AB356" s="19"/>
      <c r="AC356" s="43">
        <f t="shared" si="100"/>
        <v>14.6</v>
      </c>
      <c r="AD356" s="43">
        <f t="shared" ref="AD356:AD371" si="103">ROUNDUP(AD355+0.1,1)</f>
        <v>115.4</v>
      </c>
    </row>
    <row r="357" spans="28:30" ht="15" hidden="1" customHeight="1">
      <c r="AB357" s="19"/>
      <c r="AC357" s="43">
        <f t="shared" si="100"/>
        <v>14.5</v>
      </c>
      <c r="AD357" s="43">
        <f t="shared" si="103"/>
        <v>115.5</v>
      </c>
    </row>
    <row r="358" spans="28:30" ht="15" hidden="1" customHeight="1">
      <c r="AB358" s="19"/>
      <c r="AC358" s="43">
        <f t="shared" si="100"/>
        <v>14.4</v>
      </c>
      <c r="AD358" s="43">
        <f t="shared" si="103"/>
        <v>115.6</v>
      </c>
    </row>
    <row r="359" spans="28:30" ht="15" hidden="1" customHeight="1">
      <c r="AB359" s="19"/>
      <c r="AC359" s="43">
        <f t="shared" si="100"/>
        <v>14.3</v>
      </c>
      <c r="AD359" s="43">
        <f t="shared" si="103"/>
        <v>115.7</v>
      </c>
    </row>
    <row r="360" spans="28:30" ht="15" hidden="1" customHeight="1">
      <c r="AB360" s="19"/>
      <c r="AC360" s="43">
        <f t="shared" si="100"/>
        <v>14.2</v>
      </c>
      <c r="AD360" s="43">
        <f t="shared" si="103"/>
        <v>115.8</v>
      </c>
    </row>
    <row r="361" spans="28:30" ht="15" hidden="1" customHeight="1">
      <c r="AB361" s="19"/>
      <c r="AC361" s="43">
        <f t="shared" si="100"/>
        <v>14.1</v>
      </c>
      <c r="AD361" s="43">
        <f t="shared" si="103"/>
        <v>115.9</v>
      </c>
    </row>
    <row r="362" spans="28:30" ht="15" hidden="1" customHeight="1">
      <c r="AB362" s="19"/>
      <c r="AC362" s="43">
        <f t="shared" si="100"/>
        <v>14</v>
      </c>
      <c r="AD362" s="43">
        <f t="shared" si="103"/>
        <v>116</v>
      </c>
    </row>
    <row r="363" spans="28:30" ht="15" hidden="1" customHeight="1">
      <c r="AB363" s="19"/>
      <c r="AC363" s="43">
        <f t="shared" si="100"/>
        <v>13.9</v>
      </c>
      <c r="AD363" s="43">
        <f t="shared" si="103"/>
        <v>116.1</v>
      </c>
    </row>
    <row r="364" spans="28:30" ht="15" hidden="1" customHeight="1">
      <c r="AB364" s="19"/>
      <c r="AC364" s="43">
        <f t="shared" si="100"/>
        <v>13.8</v>
      </c>
      <c r="AD364" s="43">
        <f t="shared" si="103"/>
        <v>116.2</v>
      </c>
    </row>
    <row r="365" spans="28:30" ht="15" hidden="1" customHeight="1">
      <c r="AB365" s="19"/>
      <c r="AC365" s="43">
        <f t="shared" si="100"/>
        <v>13.7</v>
      </c>
      <c r="AD365" s="43">
        <f t="shared" si="103"/>
        <v>116.3</v>
      </c>
    </row>
    <row r="366" spans="28:30" ht="15" hidden="1" customHeight="1">
      <c r="AB366" s="19"/>
      <c r="AC366" s="43">
        <f t="shared" si="100"/>
        <v>13.6</v>
      </c>
      <c r="AD366" s="43">
        <f t="shared" si="103"/>
        <v>116.4</v>
      </c>
    </row>
    <row r="367" spans="28:30" ht="15" hidden="1" customHeight="1">
      <c r="AB367" s="19"/>
      <c r="AC367" s="43">
        <f t="shared" si="100"/>
        <v>13.5</v>
      </c>
      <c r="AD367" s="43">
        <f t="shared" si="103"/>
        <v>116.5</v>
      </c>
    </row>
    <row r="368" spans="28:30" ht="15" hidden="1" customHeight="1">
      <c r="AB368" s="19"/>
      <c r="AC368" s="43">
        <f t="shared" si="100"/>
        <v>13.4</v>
      </c>
      <c r="AD368" s="43">
        <f t="shared" si="103"/>
        <v>116.6</v>
      </c>
    </row>
    <row r="369" spans="28:30" ht="15" hidden="1" customHeight="1">
      <c r="AB369" s="19"/>
      <c r="AC369" s="43">
        <f t="shared" si="100"/>
        <v>13.3</v>
      </c>
      <c r="AD369" s="43">
        <f t="shared" si="103"/>
        <v>116.7</v>
      </c>
    </row>
    <row r="370" spans="28:30" ht="15" hidden="1" customHeight="1">
      <c r="AB370" s="19"/>
      <c r="AC370" s="43">
        <f t="shared" si="100"/>
        <v>13.2</v>
      </c>
      <c r="AD370" s="43">
        <f t="shared" si="103"/>
        <v>116.8</v>
      </c>
    </row>
    <row r="371" spans="28:30" ht="15" hidden="1" customHeight="1">
      <c r="AB371" s="19"/>
      <c r="AC371" s="43">
        <f t="shared" si="100"/>
        <v>13.1</v>
      </c>
      <c r="AD371" s="43">
        <f t="shared" si="103"/>
        <v>116.9</v>
      </c>
    </row>
    <row r="372" spans="28:30" ht="15" hidden="1" customHeight="1">
      <c r="AB372" s="19"/>
      <c r="AC372" s="43">
        <f t="shared" si="100"/>
        <v>13</v>
      </c>
      <c r="AD372" s="43">
        <f t="shared" ref="AD372:AD387" si="104">ROUNDUP(AD371+0.1,1)</f>
        <v>117</v>
      </c>
    </row>
    <row r="373" spans="28:30" ht="15" hidden="1" customHeight="1">
      <c r="AB373" s="19"/>
      <c r="AC373" s="43">
        <f t="shared" si="100"/>
        <v>12.9</v>
      </c>
      <c r="AD373" s="43">
        <f t="shared" si="104"/>
        <v>117.1</v>
      </c>
    </row>
    <row r="374" spans="28:30" ht="15" hidden="1" customHeight="1">
      <c r="AB374" s="19"/>
      <c r="AC374" s="43">
        <f t="shared" si="100"/>
        <v>12.8</v>
      </c>
      <c r="AD374" s="43">
        <f t="shared" si="104"/>
        <v>117.2</v>
      </c>
    </row>
    <row r="375" spans="28:30" ht="15" hidden="1" customHeight="1">
      <c r="AB375" s="19"/>
      <c r="AC375" s="43">
        <f t="shared" si="100"/>
        <v>12.7</v>
      </c>
      <c r="AD375" s="43">
        <f t="shared" si="104"/>
        <v>117.3</v>
      </c>
    </row>
    <row r="376" spans="28:30" ht="15" hidden="1" customHeight="1">
      <c r="AB376" s="19"/>
      <c r="AC376" s="43">
        <f t="shared" si="100"/>
        <v>12.6</v>
      </c>
      <c r="AD376" s="43">
        <f t="shared" si="104"/>
        <v>117.4</v>
      </c>
    </row>
    <row r="377" spans="28:30" ht="15" hidden="1" customHeight="1">
      <c r="AB377" s="19"/>
      <c r="AC377" s="43">
        <f t="shared" si="100"/>
        <v>12.5</v>
      </c>
      <c r="AD377" s="43">
        <f t="shared" si="104"/>
        <v>117.5</v>
      </c>
    </row>
    <row r="378" spans="28:30" ht="15" hidden="1" customHeight="1">
      <c r="AB378" s="19"/>
      <c r="AC378" s="43">
        <f t="shared" si="100"/>
        <v>12.4</v>
      </c>
      <c r="AD378" s="43">
        <f t="shared" si="104"/>
        <v>117.6</v>
      </c>
    </row>
    <row r="379" spans="28:30" ht="15" hidden="1" customHeight="1">
      <c r="AB379" s="19"/>
      <c r="AC379" s="43">
        <f t="shared" si="100"/>
        <v>12.3</v>
      </c>
      <c r="AD379" s="43">
        <f t="shared" si="104"/>
        <v>117.7</v>
      </c>
    </row>
    <row r="380" spans="28:30" ht="15" hidden="1" customHeight="1">
      <c r="AB380" s="19"/>
      <c r="AC380" s="43">
        <f t="shared" si="100"/>
        <v>12.2</v>
      </c>
      <c r="AD380" s="43">
        <f t="shared" si="104"/>
        <v>117.8</v>
      </c>
    </row>
    <row r="381" spans="28:30" ht="15" hidden="1" customHeight="1">
      <c r="AB381" s="19"/>
      <c r="AC381" s="43">
        <f t="shared" si="100"/>
        <v>12.1</v>
      </c>
      <c r="AD381" s="43">
        <f t="shared" si="104"/>
        <v>117.9</v>
      </c>
    </row>
    <row r="382" spans="28:30" ht="15" hidden="1" customHeight="1">
      <c r="AB382" s="19"/>
      <c r="AC382" s="43">
        <f t="shared" si="100"/>
        <v>12</v>
      </c>
      <c r="AD382" s="43">
        <f t="shared" si="104"/>
        <v>118</v>
      </c>
    </row>
    <row r="383" spans="28:30" ht="15" hidden="1" customHeight="1">
      <c r="AB383" s="19"/>
      <c r="AC383" s="43">
        <f t="shared" si="100"/>
        <v>11.9</v>
      </c>
      <c r="AD383" s="43">
        <f t="shared" si="104"/>
        <v>118.1</v>
      </c>
    </row>
    <row r="384" spans="28:30" ht="15" hidden="1" customHeight="1">
      <c r="AB384" s="19"/>
      <c r="AC384" s="43">
        <f t="shared" si="100"/>
        <v>11.8</v>
      </c>
      <c r="AD384" s="43">
        <f t="shared" si="104"/>
        <v>118.2</v>
      </c>
    </row>
    <row r="385" spans="28:30" ht="15" hidden="1" customHeight="1">
      <c r="AB385" s="19"/>
      <c r="AC385" s="43">
        <f t="shared" si="100"/>
        <v>11.7</v>
      </c>
      <c r="AD385" s="43">
        <f t="shared" si="104"/>
        <v>118.3</v>
      </c>
    </row>
    <row r="386" spans="28:30" ht="15" hidden="1" customHeight="1">
      <c r="AB386" s="19"/>
      <c r="AC386" s="43">
        <f t="shared" si="100"/>
        <v>11.6</v>
      </c>
      <c r="AD386" s="43">
        <f t="shared" si="104"/>
        <v>118.4</v>
      </c>
    </row>
    <row r="387" spans="28:30" ht="15" hidden="1" customHeight="1">
      <c r="AB387" s="19"/>
      <c r="AC387" s="43">
        <f t="shared" si="100"/>
        <v>11.5</v>
      </c>
      <c r="AD387" s="43">
        <f t="shared" si="104"/>
        <v>118.5</v>
      </c>
    </row>
    <row r="388" spans="28:30" ht="15" hidden="1" customHeight="1">
      <c r="AB388" s="19"/>
      <c r="AC388" s="43">
        <f t="shared" ref="AC388:AC451" si="105">ROUNDUP(AC387-0.1,1)</f>
        <v>11.4</v>
      </c>
      <c r="AD388" s="43">
        <f t="shared" ref="AD388:AD403" si="106">ROUNDUP(AD387+0.1,1)</f>
        <v>118.6</v>
      </c>
    </row>
    <row r="389" spans="28:30" ht="15" hidden="1" customHeight="1">
      <c r="AB389" s="19"/>
      <c r="AC389" s="43">
        <f t="shared" si="105"/>
        <v>11.3</v>
      </c>
      <c r="AD389" s="43">
        <f t="shared" si="106"/>
        <v>118.7</v>
      </c>
    </row>
    <row r="390" spans="28:30" ht="15" hidden="1" customHeight="1">
      <c r="AB390" s="19"/>
      <c r="AC390" s="43">
        <f t="shared" si="105"/>
        <v>11.2</v>
      </c>
      <c r="AD390" s="43">
        <f t="shared" si="106"/>
        <v>118.8</v>
      </c>
    </row>
    <row r="391" spans="28:30" ht="15" hidden="1" customHeight="1">
      <c r="AB391" s="19"/>
      <c r="AC391" s="43">
        <f t="shared" si="105"/>
        <v>11.1</v>
      </c>
      <c r="AD391" s="43">
        <f t="shared" si="106"/>
        <v>118.9</v>
      </c>
    </row>
    <row r="392" spans="28:30" ht="15" hidden="1" customHeight="1">
      <c r="AB392" s="19"/>
      <c r="AC392" s="43">
        <f t="shared" si="105"/>
        <v>11</v>
      </c>
      <c r="AD392" s="43">
        <f t="shared" si="106"/>
        <v>119</v>
      </c>
    </row>
    <row r="393" spans="28:30" ht="15" hidden="1" customHeight="1">
      <c r="AB393" s="19"/>
      <c r="AC393" s="43">
        <f t="shared" si="105"/>
        <v>10.9</v>
      </c>
      <c r="AD393" s="43">
        <f t="shared" si="106"/>
        <v>119.1</v>
      </c>
    </row>
    <row r="394" spans="28:30" ht="15" hidden="1" customHeight="1">
      <c r="AB394" s="19"/>
      <c r="AC394" s="43">
        <f t="shared" si="105"/>
        <v>10.8</v>
      </c>
      <c r="AD394" s="43">
        <f t="shared" si="106"/>
        <v>119.2</v>
      </c>
    </row>
    <row r="395" spans="28:30" ht="15" hidden="1" customHeight="1">
      <c r="AB395" s="19"/>
      <c r="AC395" s="43">
        <f t="shared" si="105"/>
        <v>10.7</v>
      </c>
      <c r="AD395" s="43">
        <f t="shared" si="106"/>
        <v>119.3</v>
      </c>
    </row>
    <row r="396" spans="28:30" ht="15" hidden="1" customHeight="1">
      <c r="AB396" s="19"/>
      <c r="AC396" s="43">
        <f t="shared" si="105"/>
        <v>10.6</v>
      </c>
      <c r="AD396" s="43">
        <f t="shared" si="106"/>
        <v>119.4</v>
      </c>
    </row>
    <row r="397" spans="28:30" ht="15" hidden="1" customHeight="1">
      <c r="AB397" s="19"/>
      <c r="AC397" s="43">
        <f t="shared" si="105"/>
        <v>10.5</v>
      </c>
      <c r="AD397" s="43">
        <f t="shared" si="106"/>
        <v>119.5</v>
      </c>
    </row>
    <row r="398" spans="28:30" ht="15" hidden="1" customHeight="1">
      <c r="AB398" s="19"/>
      <c r="AC398" s="43">
        <f t="shared" si="105"/>
        <v>10.4</v>
      </c>
      <c r="AD398" s="43">
        <f t="shared" si="106"/>
        <v>119.6</v>
      </c>
    </row>
    <row r="399" spans="28:30" ht="15" hidden="1" customHeight="1">
      <c r="AB399" s="19"/>
      <c r="AC399" s="43">
        <f t="shared" si="105"/>
        <v>10.3</v>
      </c>
      <c r="AD399" s="43">
        <f t="shared" si="106"/>
        <v>119.7</v>
      </c>
    </row>
    <row r="400" spans="28:30" ht="15" hidden="1" customHeight="1">
      <c r="AB400" s="19"/>
      <c r="AC400" s="43">
        <f t="shared" si="105"/>
        <v>10.199999999999999</v>
      </c>
      <c r="AD400" s="43">
        <f t="shared" si="106"/>
        <v>119.8</v>
      </c>
    </row>
    <row r="401" spans="28:30" ht="15" hidden="1" customHeight="1">
      <c r="AB401" s="19"/>
      <c r="AC401" s="43">
        <f t="shared" si="105"/>
        <v>10.1</v>
      </c>
      <c r="AD401" s="43">
        <f t="shared" si="106"/>
        <v>119.9</v>
      </c>
    </row>
    <row r="402" spans="28:30" ht="15" hidden="1" customHeight="1">
      <c r="AB402" s="19"/>
      <c r="AC402" s="43">
        <f t="shared" si="105"/>
        <v>10</v>
      </c>
      <c r="AD402" s="43">
        <f t="shared" si="106"/>
        <v>120</v>
      </c>
    </row>
    <row r="403" spans="28:30" ht="15" hidden="1" customHeight="1">
      <c r="AB403" s="19"/>
      <c r="AC403" s="43">
        <f t="shared" si="105"/>
        <v>9.9</v>
      </c>
      <c r="AD403" s="43">
        <f t="shared" si="106"/>
        <v>120.1</v>
      </c>
    </row>
    <row r="404" spans="28:30" ht="15" hidden="1" customHeight="1">
      <c r="AB404" s="19"/>
      <c r="AC404" s="43">
        <f t="shared" si="105"/>
        <v>9.8000000000000007</v>
      </c>
      <c r="AD404" s="43">
        <f t="shared" ref="AD404:AD419" si="107">ROUNDUP(AD403+0.1,1)</f>
        <v>120.2</v>
      </c>
    </row>
    <row r="405" spans="28:30" ht="15" hidden="1" customHeight="1">
      <c r="AB405" s="19"/>
      <c r="AC405" s="43">
        <f t="shared" si="105"/>
        <v>9.6999999999999993</v>
      </c>
      <c r="AD405" s="43">
        <f t="shared" si="107"/>
        <v>120.3</v>
      </c>
    </row>
    <row r="406" spans="28:30" ht="15" hidden="1" customHeight="1">
      <c r="AB406" s="19"/>
      <c r="AC406" s="43">
        <f t="shared" si="105"/>
        <v>9.6</v>
      </c>
      <c r="AD406" s="43">
        <f t="shared" si="107"/>
        <v>120.4</v>
      </c>
    </row>
    <row r="407" spans="28:30" ht="15" hidden="1" customHeight="1">
      <c r="AB407" s="19"/>
      <c r="AC407" s="43">
        <f t="shared" si="105"/>
        <v>9.5</v>
      </c>
      <c r="AD407" s="43">
        <f t="shared" si="107"/>
        <v>120.5</v>
      </c>
    </row>
    <row r="408" spans="28:30" ht="15" hidden="1" customHeight="1">
      <c r="AB408" s="19"/>
      <c r="AC408" s="43">
        <f t="shared" si="105"/>
        <v>9.4</v>
      </c>
      <c r="AD408" s="43">
        <f t="shared" si="107"/>
        <v>120.6</v>
      </c>
    </row>
    <row r="409" spans="28:30" ht="15" hidden="1" customHeight="1">
      <c r="AB409" s="19"/>
      <c r="AC409" s="43">
        <f t="shared" si="105"/>
        <v>9.3000000000000007</v>
      </c>
      <c r="AD409" s="43">
        <f t="shared" si="107"/>
        <v>120.7</v>
      </c>
    </row>
    <row r="410" spans="28:30" ht="15" hidden="1" customHeight="1">
      <c r="AB410" s="19"/>
      <c r="AC410" s="43">
        <f t="shared" si="105"/>
        <v>9.1999999999999993</v>
      </c>
      <c r="AD410" s="43">
        <f t="shared" si="107"/>
        <v>120.8</v>
      </c>
    </row>
    <row r="411" spans="28:30" ht="15" hidden="1" customHeight="1">
      <c r="AB411" s="19"/>
      <c r="AC411" s="43">
        <f t="shared" si="105"/>
        <v>9.1</v>
      </c>
      <c r="AD411" s="43">
        <f t="shared" si="107"/>
        <v>120.9</v>
      </c>
    </row>
    <row r="412" spans="28:30" ht="15" hidden="1" customHeight="1">
      <c r="AB412" s="19"/>
      <c r="AC412" s="43">
        <f t="shared" si="105"/>
        <v>9</v>
      </c>
      <c r="AD412" s="43">
        <f t="shared" si="107"/>
        <v>121</v>
      </c>
    </row>
    <row r="413" spans="28:30" ht="15" hidden="1" customHeight="1">
      <c r="AB413" s="19"/>
      <c r="AC413" s="43">
        <f t="shared" si="105"/>
        <v>8.9</v>
      </c>
      <c r="AD413" s="43">
        <f t="shared" si="107"/>
        <v>121.1</v>
      </c>
    </row>
    <row r="414" spans="28:30" ht="15" hidden="1" customHeight="1">
      <c r="AB414" s="19"/>
      <c r="AC414" s="43">
        <f t="shared" si="105"/>
        <v>8.8000000000000007</v>
      </c>
      <c r="AD414" s="43">
        <f t="shared" si="107"/>
        <v>121.2</v>
      </c>
    </row>
    <row r="415" spans="28:30" ht="15" hidden="1" customHeight="1">
      <c r="AB415" s="19"/>
      <c r="AC415" s="43">
        <f t="shared" si="105"/>
        <v>8.6999999999999993</v>
      </c>
      <c r="AD415" s="43">
        <f t="shared" si="107"/>
        <v>121.3</v>
      </c>
    </row>
    <row r="416" spans="28:30" ht="15" hidden="1" customHeight="1">
      <c r="AB416" s="19"/>
      <c r="AC416" s="43">
        <f t="shared" si="105"/>
        <v>8.6</v>
      </c>
      <c r="AD416" s="43">
        <f t="shared" si="107"/>
        <v>121.4</v>
      </c>
    </row>
    <row r="417" spans="28:30" ht="15" hidden="1" customHeight="1">
      <c r="AB417" s="19"/>
      <c r="AC417" s="43">
        <f t="shared" si="105"/>
        <v>8.5</v>
      </c>
      <c r="AD417" s="43">
        <f t="shared" si="107"/>
        <v>121.5</v>
      </c>
    </row>
    <row r="418" spans="28:30" ht="15" hidden="1" customHeight="1">
      <c r="AB418" s="19"/>
      <c r="AC418" s="43">
        <f t="shared" si="105"/>
        <v>8.4</v>
      </c>
      <c r="AD418" s="43">
        <f t="shared" si="107"/>
        <v>121.6</v>
      </c>
    </row>
    <row r="419" spans="28:30" ht="15" hidden="1" customHeight="1">
      <c r="AB419" s="19"/>
      <c r="AC419" s="43">
        <f t="shared" si="105"/>
        <v>8.3000000000000007</v>
      </c>
      <c r="AD419" s="43">
        <f t="shared" si="107"/>
        <v>121.7</v>
      </c>
    </row>
    <row r="420" spans="28:30" ht="15" hidden="1" customHeight="1">
      <c r="AB420" s="19"/>
      <c r="AC420" s="43">
        <f t="shared" si="105"/>
        <v>8.1999999999999993</v>
      </c>
      <c r="AD420" s="43">
        <f t="shared" ref="AD420:AD435" si="108">ROUNDUP(AD419+0.1,1)</f>
        <v>121.8</v>
      </c>
    </row>
    <row r="421" spans="28:30" ht="15" hidden="1" customHeight="1">
      <c r="AB421" s="19"/>
      <c r="AC421" s="43">
        <f t="shared" si="105"/>
        <v>8.1</v>
      </c>
      <c r="AD421" s="43">
        <f t="shared" si="108"/>
        <v>121.9</v>
      </c>
    </row>
    <row r="422" spans="28:30" ht="15" hidden="1" customHeight="1">
      <c r="AB422" s="19"/>
      <c r="AC422" s="43">
        <f t="shared" si="105"/>
        <v>8</v>
      </c>
      <c r="AD422" s="43">
        <f t="shared" si="108"/>
        <v>122</v>
      </c>
    </row>
    <row r="423" spans="28:30" ht="15" hidden="1" customHeight="1">
      <c r="AB423" s="19"/>
      <c r="AC423" s="43">
        <f t="shared" si="105"/>
        <v>7.9</v>
      </c>
      <c r="AD423" s="43">
        <f t="shared" si="108"/>
        <v>122.1</v>
      </c>
    </row>
    <row r="424" spans="28:30" ht="15" hidden="1" customHeight="1">
      <c r="AB424" s="19"/>
      <c r="AC424" s="43">
        <f t="shared" si="105"/>
        <v>7.8</v>
      </c>
      <c r="AD424" s="43">
        <f t="shared" si="108"/>
        <v>122.2</v>
      </c>
    </row>
    <row r="425" spans="28:30" ht="15" hidden="1" customHeight="1">
      <c r="AB425" s="19"/>
      <c r="AC425" s="43">
        <f t="shared" si="105"/>
        <v>7.7</v>
      </c>
      <c r="AD425" s="43">
        <f t="shared" si="108"/>
        <v>122.3</v>
      </c>
    </row>
    <row r="426" spans="28:30" ht="15" hidden="1" customHeight="1">
      <c r="AB426" s="19"/>
      <c r="AC426" s="43">
        <f t="shared" si="105"/>
        <v>7.6</v>
      </c>
      <c r="AD426" s="43">
        <f t="shared" si="108"/>
        <v>122.4</v>
      </c>
    </row>
    <row r="427" spans="28:30" ht="15" hidden="1" customHeight="1">
      <c r="AB427" s="19"/>
      <c r="AC427" s="43">
        <f t="shared" si="105"/>
        <v>7.5</v>
      </c>
      <c r="AD427" s="43">
        <f t="shared" si="108"/>
        <v>122.5</v>
      </c>
    </row>
    <row r="428" spans="28:30" ht="15" hidden="1" customHeight="1">
      <c r="AB428" s="19"/>
      <c r="AC428" s="43">
        <f t="shared" si="105"/>
        <v>7.4</v>
      </c>
      <c r="AD428" s="43">
        <f t="shared" si="108"/>
        <v>122.6</v>
      </c>
    </row>
    <row r="429" spans="28:30" ht="15" hidden="1" customHeight="1">
      <c r="AB429" s="19"/>
      <c r="AC429" s="43">
        <f t="shared" si="105"/>
        <v>7.3</v>
      </c>
      <c r="AD429" s="43">
        <f t="shared" si="108"/>
        <v>122.7</v>
      </c>
    </row>
    <row r="430" spans="28:30" ht="15" hidden="1" customHeight="1">
      <c r="AB430" s="19"/>
      <c r="AC430" s="43">
        <f t="shared" si="105"/>
        <v>7.2</v>
      </c>
      <c r="AD430" s="43">
        <f t="shared" si="108"/>
        <v>122.8</v>
      </c>
    </row>
    <row r="431" spans="28:30" ht="15" hidden="1" customHeight="1">
      <c r="AB431" s="19"/>
      <c r="AC431" s="43">
        <f t="shared" si="105"/>
        <v>7.1</v>
      </c>
      <c r="AD431" s="43">
        <f t="shared" si="108"/>
        <v>122.9</v>
      </c>
    </row>
    <row r="432" spans="28:30" ht="15" hidden="1" customHeight="1">
      <c r="AB432" s="19"/>
      <c r="AC432" s="43">
        <f t="shared" si="105"/>
        <v>7</v>
      </c>
      <c r="AD432" s="43">
        <f t="shared" si="108"/>
        <v>123</v>
      </c>
    </row>
    <row r="433" spans="28:30" ht="15" hidden="1" customHeight="1">
      <c r="AB433" s="19"/>
      <c r="AC433" s="43">
        <f t="shared" si="105"/>
        <v>6.9</v>
      </c>
      <c r="AD433" s="43">
        <f t="shared" si="108"/>
        <v>123.1</v>
      </c>
    </row>
    <row r="434" spans="28:30" ht="15" hidden="1" customHeight="1">
      <c r="AB434" s="19"/>
      <c r="AC434" s="43">
        <f t="shared" si="105"/>
        <v>6.8</v>
      </c>
      <c r="AD434" s="43">
        <f t="shared" si="108"/>
        <v>123.2</v>
      </c>
    </row>
    <row r="435" spans="28:30" ht="15" hidden="1" customHeight="1">
      <c r="AB435" s="19"/>
      <c r="AC435" s="43">
        <f t="shared" si="105"/>
        <v>6.7</v>
      </c>
      <c r="AD435" s="43">
        <f t="shared" si="108"/>
        <v>123.3</v>
      </c>
    </row>
    <row r="436" spans="28:30" ht="15" hidden="1" customHeight="1">
      <c r="AB436" s="19"/>
      <c r="AC436" s="43">
        <f t="shared" si="105"/>
        <v>6.6</v>
      </c>
      <c r="AD436" s="43">
        <f t="shared" ref="AD436:AD451" si="109">ROUNDUP(AD435+0.1,1)</f>
        <v>123.4</v>
      </c>
    </row>
    <row r="437" spans="28:30" ht="15" hidden="1" customHeight="1">
      <c r="AB437" s="19"/>
      <c r="AC437" s="43">
        <f t="shared" si="105"/>
        <v>6.5</v>
      </c>
      <c r="AD437" s="43">
        <f t="shared" si="109"/>
        <v>123.5</v>
      </c>
    </row>
    <row r="438" spans="28:30" ht="15" hidden="1" customHeight="1">
      <c r="AB438" s="19"/>
      <c r="AC438" s="43">
        <f t="shared" si="105"/>
        <v>6.4</v>
      </c>
      <c r="AD438" s="43">
        <f t="shared" si="109"/>
        <v>123.6</v>
      </c>
    </row>
    <row r="439" spans="28:30" ht="15" hidden="1" customHeight="1">
      <c r="AB439" s="19"/>
      <c r="AC439" s="43">
        <f t="shared" si="105"/>
        <v>6.3</v>
      </c>
      <c r="AD439" s="43">
        <f t="shared" si="109"/>
        <v>123.7</v>
      </c>
    </row>
    <row r="440" spans="28:30" ht="15" hidden="1" customHeight="1">
      <c r="AB440" s="19"/>
      <c r="AC440" s="43">
        <f t="shared" si="105"/>
        <v>6.2</v>
      </c>
      <c r="AD440" s="43">
        <f t="shared" si="109"/>
        <v>123.8</v>
      </c>
    </row>
    <row r="441" spans="28:30" ht="15" hidden="1" customHeight="1">
      <c r="AB441" s="19"/>
      <c r="AC441" s="43">
        <f t="shared" si="105"/>
        <v>6.1</v>
      </c>
      <c r="AD441" s="43">
        <f t="shared" si="109"/>
        <v>123.9</v>
      </c>
    </row>
    <row r="442" spans="28:30" ht="15" hidden="1" customHeight="1">
      <c r="AB442" s="19"/>
      <c r="AC442" s="43">
        <f t="shared" si="105"/>
        <v>6</v>
      </c>
      <c r="AD442" s="43">
        <f t="shared" si="109"/>
        <v>124</v>
      </c>
    </row>
    <row r="443" spans="28:30" ht="15" hidden="1" customHeight="1">
      <c r="AB443" s="19"/>
      <c r="AC443" s="43">
        <f t="shared" si="105"/>
        <v>5.9</v>
      </c>
      <c r="AD443" s="43">
        <f t="shared" si="109"/>
        <v>124.1</v>
      </c>
    </row>
    <row r="444" spans="28:30" ht="15" hidden="1" customHeight="1">
      <c r="AB444" s="19"/>
      <c r="AC444" s="43">
        <f t="shared" si="105"/>
        <v>5.8</v>
      </c>
      <c r="AD444" s="43">
        <f t="shared" si="109"/>
        <v>124.2</v>
      </c>
    </row>
    <row r="445" spans="28:30" ht="15" hidden="1" customHeight="1">
      <c r="AB445" s="19"/>
      <c r="AC445" s="43">
        <f t="shared" si="105"/>
        <v>5.7</v>
      </c>
      <c r="AD445" s="43">
        <f t="shared" si="109"/>
        <v>124.3</v>
      </c>
    </row>
    <row r="446" spans="28:30" ht="15" hidden="1" customHeight="1">
      <c r="AB446" s="19"/>
      <c r="AC446" s="43">
        <f t="shared" si="105"/>
        <v>5.6</v>
      </c>
      <c r="AD446" s="43">
        <f t="shared" si="109"/>
        <v>124.4</v>
      </c>
    </row>
    <row r="447" spans="28:30" ht="15" hidden="1" customHeight="1">
      <c r="AB447" s="19"/>
      <c r="AC447" s="43">
        <f t="shared" si="105"/>
        <v>5.5</v>
      </c>
      <c r="AD447" s="43">
        <f t="shared" si="109"/>
        <v>124.5</v>
      </c>
    </row>
    <row r="448" spans="28:30" ht="15" hidden="1" customHeight="1">
      <c r="AB448" s="19"/>
      <c r="AC448" s="43">
        <f t="shared" si="105"/>
        <v>5.4</v>
      </c>
      <c r="AD448" s="43">
        <f t="shared" si="109"/>
        <v>124.6</v>
      </c>
    </row>
    <row r="449" spans="28:30" ht="15" hidden="1" customHeight="1">
      <c r="AB449" s="19"/>
      <c r="AC449" s="43">
        <f t="shared" si="105"/>
        <v>5.3</v>
      </c>
      <c r="AD449" s="43">
        <f t="shared" si="109"/>
        <v>124.7</v>
      </c>
    </row>
    <row r="450" spans="28:30" ht="15" hidden="1" customHeight="1">
      <c r="AB450" s="19"/>
      <c r="AC450" s="43">
        <f t="shared" si="105"/>
        <v>5.2</v>
      </c>
      <c r="AD450" s="43">
        <f t="shared" si="109"/>
        <v>124.8</v>
      </c>
    </row>
    <row r="451" spans="28:30" ht="15" hidden="1" customHeight="1">
      <c r="AB451" s="19"/>
      <c r="AC451" s="43">
        <f t="shared" si="105"/>
        <v>5.0999999999999996</v>
      </c>
      <c r="AD451" s="43">
        <f t="shared" si="109"/>
        <v>124.9</v>
      </c>
    </row>
    <row r="452" spans="28:30" ht="15" hidden="1" customHeight="1">
      <c r="AB452" s="19"/>
      <c r="AC452" s="43">
        <f t="shared" ref="AC452:AC515" si="110">ROUNDUP(AC451-0.1,1)</f>
        <v>5</v>
      </c>
      <c r="AD452" s="43">
        <f t="shared" ref="AD452:AD467" si="111">ROUNDUP(AD451+0.1,1)</f>
        <v>125</v>
      </c>
    </row>
    <row r="453" spans="28:30" ht="15" hidden="1" customHeight="1">
      <c r="AB453" s="19"/>
      <c r="AC453" s="43">
        <f t="shared" si="110"/>
        <v>4.9000000000000004</v>
      </c>
      <c r="AD453" s="43">
        <f t="shared" si="111"/>
        <v>125.1</v>
      </c>
    </row>
    <row r="454" spans="28:30" ht="15" hidden="1" customHeight="1">
      <c r="AB454" s="19"/>
      <c r="AC454" s="43">
        <f t="shared" si="110"/>
        <v>4.8</v>
      </c>
      <c r="AD454" s="43">
        <f t="shared" si="111"/>
        <v>125.2</v>
      </c>
    </row>
    <row r="455" spans="28:30" ht="15" hidden="1" customHeight="1">
      <c r="AB455" s="19"/>
      <c r="AC455" s="43">
        <f t="shared" si="110"/>
        <v>4.7</v>
      </c>
      <c r="AD455" s="43">
        <f t="shared" si="111"/>
        <v>125.3</v>
      </c>
    </row>
    <row r="456" spans="28:30" ht="15" hidden="1" customHeight="1">
      <c r="AB456" s="19"/>
      <c r="AC456" s="43">
        <f t="shared" si="110"/>
        <v>4.5999999999999996</v>
      </c>
      <c r="AD456" s="43">
        <f t="shared" si="111"/>
        <v>125.4</v>
      </c>
    </row>
    <row r="457" spans="28:30" ht="15" hidden="1" customHeight="1">
      <c r="AB457" s="19"/>
      <c r="AC457" s="43">
        <f t="shared" si="110"/>
        <v>4.5</v>
      </c>
      <c r="AD457" s="43">
        <f t="shared" si="111"/>
        <v>125.5</v>
      </c>
    </row>
    <row r="458" spans="28:30" ht="15" hidden="1" customHeight="1">
      <c r="AB458" s="19"/>
      <c r="AC458" s="43">
        <f t="shared" si="110"/>
        <v>4.4000000000000004</v>
      </c>
      <c r="AD458" s="43">
        <f t="shared" si="111"/>
        <v>125.6</v>
      </c>
    </row>
    <row r="459" spans="28:30" ht="15" hidden="1" customHeight="1">
      <c r="AB459" s="19"/>
      <c r="AC459" s="43">
        <f t="shared" si="110"/>
        <v>4.3</v>
      </c>
      <c r="AD459" s="43">
        <f t="shared" si="111"/>
        <v>125.7</v>
      </c>
    </row>
    <row r="460" spans="28:30" ht="15" hidden="1" customHeight="1">
      <c r="AB460" s="19"/>
      <c r="AC460" s="43">
        <f t="shared" si="110"/>
        <v>4.2</v>
      </c>
      <c r="AD460" s="43">
        <f t="shared" si="111"/>
        <v>125.8</v>
      </c>
    </row>
    <row r="461" spans="28:30" ht="15" hidden="1" customHeight="1">
      <c r="AB461" s="19"/>
      <c r="AC461" s="43">
        <f t="shared" si="110"/>
        <v>4.0999999999999996</v>
      </c>
      <c r="AD461" s="43">
        <f t="shared" si="111"/>
        <v>125.9</v>
      </c>
    </row>
    <row r="462" spans="28:30" ht="15" hidden="1" customHeight="1">
      <c r="AB462" s="19"/>
      <c r="AC462" s="43">
        <f t="shared" si="110"/>
        <v>4</v>
      </c>
      <c r="AD462" s="43">
        <f t="shared" si="111"/>
        <v>126</v>
      </c>
    </row>
    <row r="463" spans="28:30" ht="15" hidden="1" customHeight="1">
      <c r="AB463" s="19"/>
      <c r="AC463" s="43">
        <f t="shared" si="110"/>
        <v>3.9</v>
      </c>
      <c r="AD463" s="43">
        <f t="shared" si="111"/>
        <v>126.1</v>
      </c>
    </row>
    <row r="464" spans="28:30" ht="15" hidden="1" customHeight="1">
      <c r="AB464" s="19"/>
      <c r="AC464" s="43">
        <f t="shared" si="110"/>
        <v>3.8</v>
      </c>
      <c r="AD464" s="43">
        <f t="shared" si="111"/>
        <v>126.2</v>
      </c>
    </row>
    <row r="465" spans="28:30" ht="15" hidden="1" customHeight="1">
      <c r="AB465" s="19"/>
      <c r="AC465" s="43">
        <f t="shared" si="110"/>
        <v>3.7</v>
      </c>
      <c r="AD465" s="43">
        <f t="shared" si="111"/>
        <v>126.3</v>
      </c>
    </row>
    <row r="466" spans="28:30" ht="15" hidden="1" customHeight="1">
      <c r="AB466" s="19"/>
      <c r="AC466" s="43">
        <f t="shared" si="110"/>
        <v>3.6</v>
      </c>
      <c r="AD466" s="43">
        <f t="shared" si="111"/>
        <v>126.4</v>
      </c>
    </row>
    <row r="467" spans="28:30" ht="15" hidden="1" customHeight="1">
      <c r="AB467" s="19"/>
      <c r="AC467" s="43">
        <f t="shared" si="110"/>
        <v>3.5</v>
      </c>
      <c r="AD467" s="43">
        <f t="shared" si="111"/>
        <v>126.5</v>
      </c>
    </row>
    <row r="468" spans="28:30" ht="15" hidden="1" customHeight="1">
      <c r="AB468" s="19"/>
      <c r="AC468" s="43">
        <f t="shared" si="110"/>
        <v>3.4</v>
      </c>
      <c r="AD468" s="43">
        <f t="shared" ref="AD468:AD483" si="112">ROUNDUP(AD467+0.1,1)</f>
        <v>126.6</v>
      </c>
    </row>
    <row r="469" spans="28:30" ht="15" hidden="1" customHeight="1">
      <c r="AB469" s="19"/>
      <c r="AC469" s="43">
        <f t="shared" si="110"/>
        <v>3.3</v>
      </c>
      <c r="AD469" s="43">
        <f t="shared" si="112"/>
        <v>126.7</v>
      </c>
    </row>
    <row r="470" spans="28:30" ht="15" hidden="1" customHeight="1">
      <c r="AB470" s="19"/>
      <c r="AC470" s="43">
        <f t="shared" si="110"/>
        <v>3.2</v>
      </c>
      <c r="AD470" s="43">
        <f t="shared" si="112"/>
        <v>126.8</v>
      </c>
    </row>
    <row r="471" spans="28:30" ht="15" hidden="1" customHeight="1">
      <c r="AB471" s="19"/>
      <c r="AC471" s="43">
        <f t="shared" si="110"/>
        <v>3.1</v>
      </c>
      <c r="AD471" s="43">
        <f t="shared" si="112"/>
        <v>126.9</v>
      </c>
    </row>
    <row r="472" spans="28:30" ht="15" hidden="1" customHeight="1">
      <c r="AB472" s="19"/>
      <c r="AC472" s="43">
        <f t="shared" si="110"/>
        <v>3</v>
      </c>
      <c r="AD472" s="43">
        <f t="shared" si="112"/>
        <v>127</v>
      </c>
    </row>
    <row r="473" spans="28:30" ht="15" hidden="1" customHeight="1">
      <c r="AB473" s="19"/>
      <c r="AC473" s="43">
        <f t="shared" si="110"/>
        <v>2.9</v>
      </c>
      <c r="AD473" s="43">
        <f t="shared" si="112"/>
        <v>127.1</v>
      </c>
    </row>
    <row r="474" spans="28:30" ht="15" hidden="1" customHeight="1">
      <c r="AB474" s="19"/>
      <c r="AC474" s="43">
        <f t="shared" si="110"/>
        <v>2.8</v>
      </c>
      <c r="AD474" s="43">
        <f t="shared" si="112"/>
        <v>127.2</v>
      </c>
    </row>
    <row r="475" spans="28:30" ht="15" hidden="1" customHeight="1">
      <c r="AB475" s="19"/>
      <c r="AC475" s="43">
        <f t="shared" si="110"/>
        <v>2.7</v>
      </c>
      <c r="AD475" s="43">
        <f t="shared" si="112"/>
        <v>127.3</v>
      </c>
    </row>
    <row r="476" spans="28:30" ht="15" hidden="1" customHeight="1">
      <c r="AB476" s="19"/>
      <c r="AC476" s="43">
        <f t="shared" si="110"/>
        <v>2.6</v>
      </c>
      <c r="AD476" s="43">
        <f t="shared" si="112"/>
        <v>127.4</v>
      </c>
    </row>
    <row r="477" spans="28:30" ht="15" hidden="1" customHeight="1">
      <c r="AB477" s="19"/>
      <c r="AC477" s="43">
        <f t="shared" si="110"/>
        <v>2.5</v>
      </c>
      <c r="AD477" s="43">
        <f t="shared" si="112"/>
        <v>127.5</v>
      </c>
    </row>
    <row r="478" spans="28:30" ht="15" hidden="1" customHeight="1">
      <c r="AB478" s="19"/>
      <c r="AC478" s="43">
        <f t="shared" si="110"/>
        <v>2.4</v>
      </c>
      <c r="AD478" s="43">
        <f t="shared" si="112"/>
        <v>127.6</v>
      </c>
    </row>
    <row r="479" spans="28:30" ht="15" hidden="1" customHeight="1">
      <c r="AB479" s="19"/>
      <c r="AC479" s="43">
        <f t="shared" si="110"/>
        <v>2.2999999999999998</v>
      </c>
      <c r="AD479" s="43">
        <f t="shared" si="112"/>
        <v>127.7</v>
      </c>
    </row>
    <row r="480" spans="28:30" ht="15" hidden="1" customHeight="1">
      <c r="AB480" s="19"/>
      <c r="AC480" s="43">
        <f t="shared" si="110"/>
        <v>2.2000000000000002</v>
      </c>
      <c r="AD480" s="43">
        <f t="shared" si="112"/>
        <v>127.8</v>
      </c>
    </row>
    <row r="481" spans="28:30" ht="15" hidden="1" customHeight="1">
      <c r="AB481" s="19"/>
      <c r="AC481" s="43">
        <f t="shared" si="110"/>
        <v>2.1</v>
      </c>
      <c r="AD481" s="43">
        <f t="shared" si="112"/>
        <v>127.9</v>
      </c>
    </row>
    <row r="482" spans="28:30" ht="15" hidden="1" customHeight="1">
      <c r="AB482" s="19"/>
      <c r="AC482" s="43">
        <f t="shared" si="110"/>
        <v>2</v>
      </c>
      <c r="AD482" s="43">
        <f t="shared" si="112"/>
        <v>128</v>
      </c>
    </row>
    <row r="483" spans="28:30" ht="15" hidden="1" customHeight="1">
      <c r="AB483" s="19"/>
      <c r="AC483" s="43">
        <f t="shared" si="110"/>
        <v>1.9</v>
      </c>
      <c r="AD483" s="43">
        <f t="shared" si="112"/>
        <v>128.1</v>
      </c>
    </row>
    <row r="484" spans="28:30" ht="15" hidden="1" customHeight="1">
      <c r="AB484" s="19"/>
      <c r="AC484" s="43">
        <f t="shared" si="110"/>
        <v>1.8</v>
      </c>
      <c r="AD484" s="43">
        <f t="shared" ref="AD484:AD499" si="113">ROUNDUP(AD483+0.1,1)</f>
        <v>128.19999999999999</v>
      </c>
    </row>
    <row r="485" spans="28:30" ht="15" hidden="1" customHeight="1">
      <c r="AB485" s="19"/>
      <c r="AC485" s="43">
        <f t="shared" si="110"/>
        <v>1.7</v>
      </c>
      <c r="AD485" s="43">
        <f t="shared" si="113"/>
        <v>128.30000000000001</v>
      </c>
    </row>
    <row r="486" spans="28:30" ht="15" hidden="1" customHeight="1">
      <c r="AB486" s="19"/>
      <c r="AC486" s="43">
        <f t="shared" si="110"/>
        <v>1.6</v>
      </c>
      <c r="AD486" s="43">
        <f t="shared" si="113"/>
        <v>128.4</v>
      </c>
    </row>
    <row r="487" spans="28:30" ht="15" hidden="1" customHeight="1">
      <c r="AB487" s="19"/>
      <c r="AC487" s="43">
        <f t="shared" si="110"/>
        <v>1.5</v>
      </c>
      <c r="AD487" s="43">
        <f t="shared" si="113"/>
        <v>128.5</v>
      </c>
    </row>
    <row r="488" spans="28:30" ht="15" hidden="1" customHeight="1">
      <c r="AB488" s="19"/>
      <c r="AC488" s="43">
        <f t="shared" si="110"/>
        <v>1.4</v>
      </c>
      <c r="AD488" s="43">
        <f t="shared" si="113"/>
        <v>128.6</v>
      </c>
    </row>
    <row r="489" spans="28:30" ht="15" hidden="1" customHeight="1">
      <c r="AB489" s="19"/>
      <c r="AC489" s="43">
        <f t="shared" si="110"/>
        <v>1.3</v>
      </c>
      <c r="AD489" s="43">
        <f t="shared" si="113"/>
        <v>128.69999999999999</v>
      </c>
    </row>
    <row r="490" spans="28:30" ht="15" hidden="1" customHeight="1">
      <c r="AB490" s="19"/>
      <c r="AC490" s="43">
        <f t="shared" si="110"/>
        <v>1.2</v>
      </c>
      <c r="AD490" s="43">
        <f t="shared" si="113"/>
        <v>128.80000000000001</v>
      </c>
    </row>
    <row r="491" spans="28:30" ht="15" hidden="1" customHeight="1">
      <c r="AB491" s="19"/>
      <c r="AC491" s="43">
        <f t="shared" si="110"/>
        <v>1.1000000000000001</v>
      </c>
      <c r="AD491" s="43">
        <f t="shared" si="113"/>
        <v>128.9</v>
      </c>
    </row>
    <row r="492" spans="28:30" ht="15" hidden="1" customHeight="1">
      <c r="AB492" s="19"/>
      <c r="AC492" s="43">
        <f t="shared" si="110"/>
        <v>1</v>
      </c>
      <c r="AD492" s="43">
        <f t="shared" si="113"/>
        <v>129</v>
      </c>
    </row>
    <row r="493" spans="28:30" ht="15" hidden="1" customHeight="1">
      <c r="AB493" s="19"/>
      <c r="AC493" s="43">
        <f t="shared" si="110"/>
        <v>0.9</v>
      </c>
      <c r="AD493" s="43">
        <f t="shared" si="113"/>
        <v>129.1</v>
      </c>
    </row>
    <row r="494" spans="28:30" ht="15" hidden="1" customHeight="1">
      <c r="AB494" s="19"/>
      <c r="AC494" s="43">
        <f t="shared" si="110"/>
        <v>0.8</v>
      </c>
      <c r="AD494" s="43">
        <f t="shared" si="113"/>
        <v>129.19999999999999</v>
      </c>
    </row>
    <row r="495" spans="28:30" ht="15" hidden="1" customHeight="1">
      <c r="AB495" s="19"/>
      <c r="AC495" s="43">
        <f t="shared" si="110"/>
        <v>0.7</v>
      </c>
      <c r="AD495" s="43">
        <f t="shared" si="113"/>
        <v>129.30000000000001</v>
      </c>
    </row>
    <row r="496" spans="28:30" ht="15" hidden="1" customHeight="1">
      <c r="AB496" s="19"/>
      <c r="AC496" s="43">
        <f t="shared" si="110"/>
        <v>0.6</v>
      </c>
      <c r="AD496" s="43">
        <f t="shared" si="113"/>
        <v>129.4</v>
      </c>
    </row>
    <row r="497" spans="28:30" ht="15" hidden="1" customHeight="1">
      <c r="AB497" s="19"/>
      <c r="AC497" s="43">
        <f t="shared" si="110"/>
        <v>0.5</v>
      </c>
      <c r="AD497" s="43">
        <f t="shared" si="113"/>
        <v>129.5</v>
      </c>
    </row>
    <row r="498" spans="28:30" ht="15" hidden="1" customHeight="1">
      <c r="AB498" s="19"/>
      <c r="AC498" s="43">
        <f t="shared" si="110"/>
        <v>0.4</v>
      </c>
      <c r="AD498" s="43">
        <f t="shared" si="113"/>
        <v>129.6</v>
      </c>
    </row>
    <row r="499" spans="28:30" ht="15" hidden="1" customHeight="1">
      <c r="AB499" s="19"/>
      <c r="AC499" s="43">
        <f t="shared" si="110"/>
        <v>0.3</v>
      </c>
      <c r="AD499" s="43">
        <f t="shared" si="113"/>
        <v>129.69999999999999</v>
      </c>
    </row>
    <row r="500" spans="28:30" ht="15" hidden="1" customHeight="1">
      <c r="AB500" s="19"/>
      <c r="AC500" s="43">
        <f t="shared" si="110"/>
        <v>0.2</v>
      </c>
      <c r="AD500" s="43">
        <f t="shared" ref="AD500:AD515" si="114">ROUNDUP(AD499+0.1,1)</f>
        <v>129.80000000000001</v>
      </c>
    </row>
    <row r="501" spans="28:30" ht="15" hidden="1" customHeight="1">
      <c r="AB501" s="19"/>
      <c r="AC501" s="43">
        <f t="shared" si="110"/>
        <v>0.1</v>
      </c>
      <c r="AD501" s="43">
        <f t="shared" si="114"/>
        <v>129.9</v>
      </c>
    </row>
    <row r="502" spans="28:30" ht="15" hidden="1" customHeight="1">
      <c r="AB502" s="19"/>
      <c r="AC502" s="43">
        <f t="shared" si="110"/>
        <v>0</v>
      </c>
      <c r="AD502" s="43">
        <f t="shared" si="114"/>
        <v>130</v>
      </c>
    </row>
    <row r="503" spans="28:30" ht="15" hidden="1" customHeight="1">
      <c r="AB503" s="19"/>
      <c r="AC503" s="43">
        <f t="shared" si="110"/>
        <v>-0.1</v>
      </c>
      <c r="AD503" s="43">
        <f t="shared" si="114"/>
        <v>130.1</v>
      </c>
    </row>
    <row r="504" spans="28:30" ht="15" hidden="1" customHeight="1">
      <c r="AB504" s="19"/>
      <c r="AC504" s="43">
        <f t="shared" si="110"/>
        <v>-0.2</v>
      </c>
      <c r="AD504" s="43">
        <f t="shared" si="114"/>
        <v>130.19999999999999</v>
      </c>
    </row>
    <row r="505" spans="28:30" ht="15" hidden="1" customHeight="1">
      <c r="AB505" s="19"/>
      <c r="AC505" s="43">
        <f t="shared" si="110"/>
        <v>-0.3</v>
      </c>
      <c r="AD505" s="43">
        <f t="shared" si="114"/>
        <v>130.30000000000001</v>
      </c>
    </row>
    <row r="506" spans="28:30" ht="15" hidden="1" customHeight="1">
      <c r="AB506" s="19"/>
      <c r="AC506" s="43">
        <f t="shared" si="110"/>
        <v>-0.4</v>
      </c>
      <c r="AD506" s="43">
        <f t="shared" si="114"/>
        <v>130.4</v>
      </c>
    </row>
    <row r="507" spans="28:30" ht="15" hidden="1" customHeight="1">
      <c r="AB507" s="19"/>
      <c r="AC507" s="43">
        <f t="shared" si="110"/>
        <v>-0.5</v>
      </c>
      <c r="AD507" s="43">
        <f t="shared" si="114"/>
        <v>130.5</v>
      </c>
    </row>
    <row r="508" spans="28:30" ht="15" hidden="1" customHeight="1">
      <c r="AB508" s="19"/>
      <c r="AC508" s="43">
        <f t="shared" si="110"/>
        <v>-0.6</v>
      </c>
      <c r="AD508" s="43">
        <f t="shared" si="114"/>
        <v>130.6</v>
      </c>
    </row>
    <row r="509" spans="28:30" ht="15" hidden="1" customHeight="1">
      <c r="AB509" s="19"/>
      <c r="AC509" s="43">
        <f t="shared" si="110"/>
        <v>-0.7</v>
      </c>
      <c r="AD509" s="43">
        <f t="shared" si="114"/>
        <v>130.69999999999999</v>
      </c>
    </row>
    <row r="510" spans="28:30" ht="15" hidden="1" customHeight="1">
      <c r="AB510" s="19"/>
      <c r="AC510" s="43">
        <f t="shared" si="110"/>
        <v>-0.8</v>
      </c>
      <c r="AD510" s="43">
        <f t="shared" si="114"/>
        <v>130.80000000000001</v>
      </c>
    </row>
    <row r="511" spans="28:30" ht="15" hidden="1" customHeight="1">
      <c r="AB511" s="19"/>
      <c r="AC511" s="43">
        <f t="shared" si="110"/>
        <v>-0.9</v>
      </c>
      <c r="AD511" s="43">
        <f t="shared" si="114"/>
        <v>130.9</v>
      </c>
    </row>
    <row r="512" spans="28:30" ht="15" hidden="1" customHeight="1">
      <c r="AB512" s="19"/>
      <c r="AC512" s="43">
        <f t="shared" si="110"/>
        <v>-1</v>
      </c>
      <c r="AD512" s="43">
        <f t="shared" si="114"/>
        <v>131</v>
      </c>
    </row>
    <row r="513" spans="28:30" ht="15" hidden="1" customHeight="1">
      <c r="AB513" s="19"/>
      <c r="AC513" s="43">
        <f t="shared" si="110"/>
        <v>-1.1000000000000001</v>
      </c>
      <c r="AD513" s="43">
        <f t="shared" si="114"/>
        <v>131.1</v>
      </c>
    </row>
    <row r="514" spans="28:30" ht="15" hidden="1" customHeight="1">
      <c r="AB514" s="19"/>
      <c r="AC514" s="43">
        <f t="shared" si="110"/>
        <v>-1.2</v>
      </c>
      <c r="AD514" s="43">
        <f t="shared" si="114"/>
        <v>131.19999999999999</v>
      </c>
    </row>
    <row r="515" spans="28:30" ht="15" hidden="1" customHeight="1">
      <c r="AB515" s="19"/>
      <c r="AC515" s="43">
        <f t="shared" si="110"/>
        <v>-1.3</v>
      </c>
      <c r="AD515" s="43">
        <f t="shared" si="114"/>
        <v>131.30000000000001</v>
      </c>
    </row>
    <row r="516" spans="28:30" ht="15" hidden="1" customHeight="1">
      <c r="AB516" s="19"/>
      <c r="AC516" s="43">
        <f t="shared" ref="AC516:AC579" si="115">ROUNDUP(AC515-0.1,1)</f>
        <v>-1.4</v>
      </c>
      <c r="AD516" s="43">
        <f t="shared" ref="AD516:AD531" si="116">ROUNDUP(AD515+0.1,1)</f>
        <v>131.4</v>
      </c>
    </row>
    <row r="517" spans="28:30" ht="15" hidden="1" customHeight="1">
      <c r="AB517" s="19"/>
      <c r="AC517" s="43">
        <f t="shared" si="115"/>
        <v>-1.5</v>
      </c>
      <c r="AD517" s="43">
        <f t="shared" si="116"/>
        <v>131.5</v>
      </c>
    </row>
    <row r="518" spans="28:30" ht="15" hidden="1" customHeight="1">
      <c r="AB518" s="19"/>
      <c r="AC518" s="43">
        <f t="shared" si="115"/>
        <v>-1.6</v>
      </c>
      <c r="AD518" s="43">
        <f t="shared" si="116"/>
        <v>131.6</v>
      </c>
    </row>
    <row r="519" spans="28:30" ht="15" hidden="1" customHeight="1">
      <c r="AB519" s="19"/>
      <c r="AC519" s="43">
        <f t="shared" si="115"/>
        <v>-1.7</v>
      </c>
      <c r="AD519" s="43">
        <f t="shared" si="116"/>
        <v>131.69999999999999</v>
      </c>
    </row>
    <row r="520" spans="28:30" ht="15" hidden="1" customHeight="1">
      <c r="AB520" s="19"/>
      <c r="AC520" s="43">
        <f t="shared" si="115"/>
        <v>-1.8</v>
      </c>
      <c r="AD520" s="43">
        <f t="shared" si="116"/>
        <v>131.80000000000001</v>
      </c>
    </row>
    <row r="521" spans="28:30" ht="15" hidden="1" customHeight="1">
      <c r="AB521" s="19"/>
      <c r="AC521" s="43">
        <f t="shared" si="115"/>
        <v>-1.9</v>
      </c>
      <c r="AD521" s="43">
        <f t="shared" si="116"/>
        <v>131.9</v>
      </c>
    </row>
    <row r="522" spans="28:30" ht="15" hidden="1" customHeight="1">
      <c r="AB522" s="19"/>
      <c r="AC522" s="43">
        <f t="shared" si="115"/>
        <v>-2</v>
      </c>
      <c r="AD522" s="43">
        <f t="shared" si="116"/>
        <v>132</v>
      </c>
    </row>
    <row r="523" spans="28:30" ht="15" hidden="1" customHeight="1">
      <c r="AB523" s="19"/>
      <c r="AC523" s="43">
        <f t="shared" si="115"/>
        <v>-2.1</v>
      </c>
      <c r="AD523" s="43">
        <f t="shared" si="116"/>
        <v>132.1</v>
      </c>
    </row>
    <row r="524" spans="28:30" ht="15" hidden="1" customHeight="1">
      <c r="AB524" s="19"/>
      <c r="AC524" s="43">
        <f t="shared" si="115"/>
        <v>-2.2000000000000002</v>
      </c>
      <c r="AD524" s="43">
        <f t="shared" si="116"/>
        <v>132.19999999999999</v>
      </c>
    </row>
    <row r="525" spans="28:30" ht="15" hidden="1" customHeight="1">
      <c r="AB525" s="19"/>
      <c r="AC525" s="43">
        <f t="shared" si="115"/>
        <v>-2.2999999999999998</v>
      </c>
      <c r="AD525" s="43">
        <f t="shared" si="116"/>
        <v>132.30000000000001</v>
      </c>
    </row>
    <row r="526" spans="28:30" ht="15" hidden="1" customHeight="1">
      <c r="AB526" s="19"/>
      <c r="AC526" s="43">
        <f t="shared" si="115"/>
        <v>-2.4</v>
      </c>
      <c r="AD526" s="43">
        <f t="shared" si="116"/>
        <v>132.4</v>
      </c>
    </row>
    <row r="527" spans="28:30" ht="15" hidden="1" customHeight="1">
      <c r="AB527" s="19"/>
      <c r="AC527" s="43">
        <f t="shared" si="115"/>
        <v>-2.5</v>
      </c>
      <c r="AD527" s="43">
        <f t="shared" si="116"/>
        <v>132.5</v>
      </c>
    </row>
    <row r="528" spans="28:30" ht="15" hidden="1" customHeight="1">
      <c r="AB528" s="19"/>
      <c r="AC528" s="43">
        <f t="shared" si="115"/>
        <v>-2.6</v>
      </c>
      <c r="AD528" s="43">
        <f t="shared" si="116"/>
        <v>132.6</v>
      </c>
    </row>
    <row r="529" spans="28:30" ht="15" hidden="1" customHeight="1">
      <c r="AB529" s="19"/>
      <c r="AC529" s="43">
        <f t="shared" si="115"/>
        <v>-2.7</v>
      </c>
      <c r="AD529" s="43">
        <f t="shared" si="116"/>
        <v>132.69999999999999</v>
      </c>
    </row>
    <row r="530" spans="28:30" ht="15" hidden="1" customHeight="1">
      <c r="AB530" s="19"/>
      <c r="AC530" s="43">
        <f t="shared" si="115"/>
        <v>-2.8</v>
      </c>
      <c r="AD530" s="43">
        <f t="shared" si="116"/>
        <v>132.80000000000001</v>
      </c>
    </row>
    <row r="531" spans="28:30" ht="15" hidden="1" customHeight="1">
      <c r="AB531" s="19"/>
      <c r="AC531" s="43">
        <f t="shared" si="115"/>
        <v>-2.9</v>
      </c>
      <c r="AD531" s="43">
        <f t="shared" si="116"/>
        <v>132.9</v>
      </c>
    </row>
    <row r="532" spans="28:30" ht="15" hidden="1" customHeight="1">
      <c r="AB532" s="19"/>
      <c r="AC532" s="43">
        <f t="shared" si="115"/>
        <v>-3</v>
      </c>
      <c r="AD532" s="43">
        <f t="shared" ref="AD532:AD547" si="117">ROUNDUP(AD531+0.1,1)</f>
        <v>133</v>
      </c>
    </row>
    <row r="533" spans="28:30" ht="15" hidden="1" customHeight="1">
      <c r="AB533" s="19"/>
      <c r="AC533" s="43">
        <f t="shared" si="115"/>
        <v>-3.1</v>
      </c>
      <c r="AD533" s="43">
        <f t="shared" si="117"/>
        <v>133.1</v>
      </c>
    </row>
    <row r="534" spans="28:30" ht="15" hidden="1" customHeight="1">
      <c r="AB534" s="19"/>
      <c r="AC534" s="43">
        <f t="shared" si="115"/>
        <v>-3.2</v>
      </c>
      <c r="AD534" s="43">
        <f t="shared" si="117"/>
        <v>133.19999999999999</v>
      </c>
    </row>
    <row r="535" spans="28:30" ht="15" hidden="1" customHeight="1">
      <c r="AB535" s="19"/>
      <c r="AC535" s="43">
        <f t="shared" si="115"/>
        <v>-3.3</v>
      </c>
      <c r="AD535" s="43">
        <f t="shared" si="117"/>
        <v>133.30000000000001</v>
      </c>
    </row>
    <row r="536" spans="28:30" ht="15" hidden="1" customHeight="1">
      <c r="AB536" s="19"/>
      <c r="AC536" s="43">
        <f t="shared" si="115"/>
        <v>-3.4</v>
      </c>
      <c r="AD536" s="43">
        <f t="shared" si="117"/>
        <v>133.4</v>
      </c>
    </row>
    <row r="537" spans="28:30" ht="15" hidden="1" customHeight="1">
      <c r="AB537" s="19"/>
      <c r="AC537" s="43">
        <f t="shared" si="115"/>
        <v>-3.5</v>
      </c>
      <c r="AD537" s="43">
        <f t="shared" si="117"/>
        <v>133.5</v>
      </c>
    </row>
    <row r="538" spans="28:30" ht="15" hidden="1" customHeight="1">
      <c r="AB538" s="19"/>
      <c r="AC538" s="43">
        <f t="shared" si="115"/>
        <v>-3.6</v>
      </c>
      <c r="AD538" s="43">
        <f t="shared" si="117"/>
        <v>133.6</v>
      </c>
    </row>
    <row r="539" spans="28:30" ht="15" hidden="1" customHeight="1">
      <c r="AB539" s="19"/>
      <c r="AC539" s="43">
        <f t="shared" si="115"/>
        <v>-3.7</v>
      </c>
      <c r="AD539" s="43">
        <f t="shared" si="117"/>
        <v>133.69999999999999</v>
      </c>
    </row>
    <row r="540" spans="28:30" ht="15" hidden="1" customHeight="1">
      <c r="AB540" s="19"/>
      <c r="AC540" s="43">
        <f t="shared" si="115"/>
        <v>-3.8</v>
      </c>
      <c r="AD540" s="43">
        <f t="shared" si="117"/>
        <v>133.80000000000001</v>
      </c>
    </row>
    <row r="541" spans="28:30" ht="15" hidden="1" customHeight="1">
      <c r="AB541" s="19"/>
      <c r="AC541" s="43">
        <f t="shared" si="115"/>
        <v>-3.9</v>
      </c>
      <c r="AD541" s="43">
        <f t="shared" si="117"/>
        <v>133.9</v>
      </c>
    </row>
    <row r="542" spans="28:30" ht="15" hidden="1" customHeight="1">
      <c r="AB542" s="19"/>
      <c r="AC542" s="43">
        <f t="shared" si="115"/>
        <v>-4</v>
      </c>
      <c r="AD542" s="43">
        <f t="shared" si="117"/>
        <v>134</v>
      </c>
    </row>
    <row r="543" spans="28:30" ht="15" hidden="1" customHeight="1">
      <c r="AB543" s="19"/>
      <c r="AC543" s="43">
        <f t="shared" si="115"/>
        <v>-4.0999999999999996</v>
      </c>
      <c r="AD543" s="43">
        <f t="shared" si="117"/>
        <v>134.1</v>
      </c>
    </row>
    <row r="544" spans="28:30" ht="15" hidden="1" customHeight="1">
      <c r="AB544" s="19"/>
      <c r="AC544" s="43">
        <f t="shared" si="115"/>
        <v>-4.2</v>
      </c>
      <c r="AD544" s="43">
        <f t="shared" si="117"/>
        <v>134.19999999999999</v>
      </c>
    </row>
    <row r="545" spans="28:30" ht="15" hidden="1" customHeight="1">
      <c r="AB545" s="19"/>
      <c r="AC545" s="43">
        <f t="shared" si="115"/>
        <v>-4.3</v>
      </c>
      <c r="AD545" s="43">
        <f t="shared" si="117"/>
        <v>134.30000000000001</v>
      </c>
    </row>
    <row r="546" spans="28:30" ht="15" hidden="1" customHeight="1">
      <c r="AB546" s="19"/>
      <c r="AC546" s="43">
        <f t="shared" si="115"/>
        <v>-4.4000000000000004</v>
      </c>
      <c r="AD546" s="43">
        <f t="shared" si="117"/>
        <v>134.4</v>
      </c>
    </row>
    <row r="547" spans="28:30" ht="15" hidden="1" customHeight="1">
      <c r="AB547" s="19"/>
      <c r="AC547" s="43">
        <f t="shared" si="115"/>
        <v>-4.5</v>
      </c>
      <c r="AD547" s="43">
        <f t="shared" si="117"/>
        <v>134.5</v>
      </c>
    </row>
    <row r="548" spans="28:30" ht="15" hidden="1" customHeight="1">
      <c r="AB548" s="19"/>
      <c r="AC548" s="43">
        <f t="shared" si="115"/>
        <v>-4.5999999999999996</v>
      </c>
      <c r="AD548" s="43">
        <f t="shared" ref="AD548:AD563" si="118">ROUNDUP(AD547+0.1,1)</f>
        <v>134.6</v>
      </c>
    </row>
    <row r="549" spans="28:30" ht="15" hidden="1" customHeight="1">
      <c r="AB549" s="19"/>
      <c r="AC549" s="43">
        <f t="shared" si="115"/>
        <v>-4.7</v>
      </c>
      <c r="AD549" s="43">
        <f t="shared" si="118"/>
        <v>134.69999999999999</v>
      </c>
    </row>
    <row r="550" spans="28:30" ht="15" hidden="1" customHeight="1">
      <c r="AB550" s="19"/>
      <c r="AC550" s="43">
        <f t="shared" si="115"/>
        <v>-4.8</v>
      </c>
      <c r="AD550" s="43">
        <f t="shared" si="118"/>
        <v>134.80000000000001</v>
      </c>
    </row>
    <row r="551" spans="28:30" ht="15" hidden="1" customHeight="1">
      <c r="AB551" s="19"/>
      <c r="AC551" s="43">
        <f t="shared" si="115"/>
        <v>-4.9000000000000004</v>
      </c>
      <c r="AD551" s="43">
        <f t="shared" si="118"/>
        <v>134.9</v>
      </c>
    </row>
    <row r="552" spans="28:30" ht="15" hidden="1" customHeight="1">
      <c r="AB552" s="19"/>
      <c r="AC552" s="43">
        <f t="shared" si="115"/>
        <v>-5</v>
      </c>
      <c r="AD552" s="43">
        <f t="shared" si="118"/>
        <v>135</v>
      </c>
    </row>
    <row r="553" spans="28:30" ht="15" hidden="1" customHeight="1">
      <c r="AB553" s="19"/>
      <c r="AC553" s="43">
        <f t="shared" si="115"/>
        <v>-5.0999999999999996</v>
      </c>
      <c r="AD553" s="43">
        <f t="shared" si="118"/>
        <v>135.1</v>
      </c>
    </row>
    <row r="554" spans="28:30" ht="15" hidden="1" customHeight="1">
      <c r="AB554" s="19"/>
      <c r="AC554" s="43">
        <f t="shared" si="115"/>
        <v>-5.2</v>
      </c>
      <c r="AD554" s="43">
        <f t="shared" si="118"/>
        <v>135.19999999999999</v>
      </c>
    </row>
    <row r="555" spans="28:30" ht="15" hidden="1" customHeight="1">
      <c r="AB555" s="19"/>
      <c r="AC555" s="43">
        <f t="shared" si="115"/>
        <v>-5.3</v>
      </c>
      <c r="AD555" s="43">
        <f t="shared" si="118"/>
        <v>135.30000000000001</v>
      </c>
    </row>
    <row r="556" spans="28:30" ht="15" hidden="1" customHeight="1">
      <c r="AB556" s="19"/>
      <c r="AC556" s="43">
        <f t="shared" si="115"/>
        <v>-5.4</v>
      </c>
      <c r="AD556" s="43">
        <f t="shared" si="118"/>
        <v>135.4</v>
      </c>
    </row>
    <row r="557" spans="28:30" ht="15" hidden="1" customHeight="1">
      <c r="AB557" s="19"/>
      <c r="AC557" s="43">
        <f t="shared" si="115"/>
        <v>-5.5</v>
      </c>
      <c r="AD557" s="43">
        <f t="shared" si="118"/>
        <v>135.5</v>
      </c>
    </row>
    <row r="558" spans="28:30" ht="15" hidden="1" customHeight="1">
      <c r="AB558" s="19"/>
      <c r="AC558" s="43">
        <f t="shared" si="115"/>
        <v>-5.6</v>
      </c>
      <c r="AD558" s="43">
        <f t="shared" si="118"/>
        <v>135.6</v>
      </c>
    </row>
    <row r="559" spans="28:30" ht="15" hidden="1" customHeight="1">
      <c r="AB559" s="19"/>
      <c r="AC559" s="43">
        <f t="shared" si="115"/>
        <v>-5.7</v>
      </c>
      <c r="AD559" s="43">
        <f t="shared" si="118"/>
        <v>135.69999999999999</v>
      </c>
    </row>
    <row r="560" spans="28:30" ht="15" hidden="1" customHeight="1">
      <c r="AB560" s="19"/>
      <c r="AC560" s="43">
        <f t="shared" si="115"/>
        <v>-5.8</v>
      </c>
      <c r="AD560" s="43">
        <f t="shared" si="118"/>
        <v>135.80000000000001</v>
      </c>
    </row>
    <row r="561" spans="28:30" ht="15" hidden="1" customHeight="1">
      <c r="AB561" s="19"/>
      <c r="AC561" s="43">
        <f t="shared" si="115"/>
        <v>-5.9</v>
      </c>
      <c r="AD561" s="43">
        <f t="shared" si="118"/>
        <v>135.9</v>
      </c>
    </row>
    <row r="562" spans="28:30" ht="15" hidden="1" customHeight="1">
      <c r="AB562" s="19"/>
      <c r="AC562" s="43">
        <f t="shared" si="115"/>
        <v>-6</v>
      </c>
      <c r="AD562" s="43">
        <f t="shared" si="118"/>
        <v>136</v>
      </c>
    </row>
    <row r="563" spans="28:30" ht="15" hidden="1" customHeight="1">
      <c r="AB563" s="19"/>
      <c r="AC563" s="43">
        <f t="shared" si="115"/>
        <v>-6.1</v>
      </c>
      <c r="AD563" s="43">
        <f t="shared" si="118"/>
        <v>136.1</v>
      </c>
    </row>
    <row r="564" spans="28:30" ht="15" hidden="1" customHeight="1">
      <c r="AB564" s="19"/>
      <c r="AC564" s="43">
        <f t="shared" si="115"/>
        <v>-6.2</v>
      </c>
      <c r="AD564" s="43">
        <f t="shared" ref="AD564:AD579" si="119">ROUNDUP(AD563+0.1,1)</f>
        <v>136.19999999999999</v>
      </c>
    </row>
    <row r="565" spans="28:30" ht="15" hidden="1" customHeight="1">
      <c r="AB565" s="19"/>
      <c r="AC565" s="43">
        <f t="shared" si="115"/>
        <v>-6.3</v>
      </c>
      <c r="AD565" s="43">
        <f t="shared" si="119"/>
        <v>136.30000000000001</v>
      </c>
    </row>
    <row r="566" spans="28:30" ht="15" hidden="1" customHeight="1">
      <c r="AB566" s="19"/>
      <c r="AC566" s="43">
        <f t="shared" si="115"/>
        <v>-6.4</v>
      </c>
      <c r="AD566" s="43">
        <f t="shared" si="119"/>
        <v>136.4</v>
      </c>
    </row>
    <row r="567" spans="28:30" ht="15" hidden="1" customHeight="1">
      <c r="AB567" s="19"/>
      <c r="AC567" s="43">
        <f t="shared" si="115"/>
        <v>-6.5</v>
      </c>
      <c r="AD567" s="43">
        <f t="shared" si="119"/>
        <v>136.5</v>
      </c>
    </row>
    <row r="568" spans="28:30" ht="15" hidden="1" customHeight="1">
      <c r="AB568" s="19"/>
      <c r="AC568" s="43">
        <f t="shared" si="115"/>
        <v>-6.6</v>
      </c>
      <c r="AD568" s="43">
        <f t="shared" si="119"/>
        <v>136.6</v>
      </c>
    </row>
    <row r="569" spans="28:30" ht="15" hidden="1" customHeight="1">
      <c r="AB569" s="19"/>
      <c r="AC569" s="43">
        <f t="shared" si="115"/>
        <v>-6.7</v>
      </c>
      <c r="AD569" s="43">
        <f t="shared" si="119"/>
        <v>136.69999999999999</v>
      </c>
    </row>
    <row r="570" spans="28:30" ht="15" hidden="1" customHeight="1">
      <c r="AB570" s="19"/>
      <c r="AC570" s="43">
        <f t="shared" si="115"/>
        <v>-6.8</v>
      </c>
      <c r="AD570" s="43">
        <f t="shared" si="119"/>
        <v>136.80000000000001</v>
      </c>
    </row>
    <row r="571" spans="28:30" ht="15" hidden="1" customHeight="1">
      <c r="AB571" s="19"/>
      <c r="AC571" s="43">
        <f t="shared" si="115"/>
        <v>-6.9</v>
      </c>
      <c r="AD571" s="43">
        <f t="shared" si="119"/>
        <v>136.9</v>
      </c>
    </row>
    <row r="572" spans="28:30" ht="15" hidden="1" customHeight="1">
      <c r="AB572" s="19"/>
      <c r="AC572" s="43">
        <f t="shared" si="115"/>
        <v>-7</v>
      </c>
      <c r="AD572" s="43">
        <f t="shared" si="119"/>
        <v>137</v>
      </c>
    </row>
    <row r="573" spans="28:30" ht="15" hidden="1" customHeight="1">
      <c r="AB573" s="19"/>
      <c r="AC573" s="43">
        <f t="shared" si="115"/>
        <v>-7.1</v>
      </c>
      <c r="AD573" s="43">
        <f t="shared" si="119"/>
        <v>137.1</v>
      </c>
    </row>
    <row r="574" spans="28:30" ht="15" hidden="1" customHeight="1">
      <c r="AB574" s="19"/>
      <c r="AC574" s="43">
        <f t="shared" si="115"/>
        <v>-7.2</v>
      </c>
      <c r="AD574" s="43">
        <f t="shared" si="119"/>
        <v>137.19999999999999</v>
      </c>
    </row>
    <row r="575" spans="28:30" ht="15" hidden="1" customHeight="1">
      <c r="AB575" s="19"/>
      <c r="AC575" s="43">
        <f t="shared" si="115"/>
        <v>-7.3</v>
      </c>
      <c r="AD575" s="43">
        <f t="shared" si="119"/>
        <v>137.30000000000001</v>
      </c>
    </row>
    <row r="576" spans="28:30" ht="15" hidden="1" customHeight="1">
      <c r="AB576" s="19"/>
      <c r="AC576" s="43">
        <f t="shared" si="115"/>
        <v>-7.4</v>
      </c>
      <c r="AD576" s="43">
        <f t="shared" si="119"/>
        <v>137.4</v>
      </c>
    </row>
    <row r="577" spans="28:30" ht="15" hidden="1" customHeight="1">
      <c r="AB577" s="19"/>
      <c r="AC577" s="43">
        <f t="shared" si="115"/>
        <v>-7.5</v>
      </c>
      <c r="AD577" s="43">
        <f t="shared" si="119"/>
        <v>137.5</v>
      </c>
    </row>
    <row r="578" spans="28:30" ht="15" hidden="1" customHeight="1">
      <c r="AB578" s="19"/>
      <c r="AC578" s="43">
        <f t="shared" si="115"/>
        <v>-7.6</v>
      </c>
      <c r="AD578" s="43">
        <f t="shared" si="119"/>
        <v>137.6</v>
      </c>
    </row>
    <row r="579" spans="28:30" ht="15" hidden="1" customHeight="1">
      <c r="AB579" s="19"/>
      <c r="AC579" s="43">
        <f t="shared" si="115"/>
        <v>-7.7</v>
      </c>
      <c r="AD579" s="43">
        <f t="shared" si="119"/>
        <v>137.69999999999999</v>
      </c>
    </row>
    <row r="580" spans="28:30" ht="15" hidden="1" customHeight="1">
      <c r="AB580" s="19"/>
      <c r="AC580" s="43">
        <f t="shared" ref="AC580:AC602" si="120">ROUNDUP(AC579-0.1,1)</f>
        <v>-7.8</v>
      </c>
      <c r="AD580" s="43">
        <f t="shared" ref="AD580:AD587" si="121">ROUNDUP(AD579+0.1,1)</f>
        <v>137.80000000000001</v>
      </c>
    </row>
    <row r="581" spans="28:30" ht="15" hidden="1" customHeight="1">
      <c r="AB581" s="19"/>
      <c r="AC581" s="43">
        <f t="shared" si="120"/>
        <v>-7.9</v>
      </c>
      <c r="AD581" s="43">
        <f t="shared" si="121"/>
        <v>137.9</v>
      </c>
    </row>
    <row r="582" spans="28:30" ht="15" hidden="1" customHeight="1">
      <c r="AB582" s="19"/>
      <c r="AC582" s="43">
        <f t="shared" si="120"/>
        <v>-8</v>
      </c>
      <c r="AD582" s="43">
        <f t="shared" si="121"/>
        <v>138</v>
      </c>
    </row>
    <row r="583" spans="28:30" ht="15" hidden="1" customHeight="1">
      <c r="AB583" s="19"/>
      <c r="AC583" s="43">
        <f t="shared" si="120"/>
        <v>-8.1</v>
      </c>
      <c r="AD583" s="43">
        <f t="shared" si="121"/>
        <v>138.1</v>
      </c>
    </row>
    <row r="584" spans="28:30" ht="15" hidden="1" customHeight="1">
      <c r="AB584" s="19"/>
      <c r="AC584" s="43">
        <f t="shared" si="120"/>
        <v>-8.1999999999999993</v>
      </c>
      <c r="AD584" s="43">
        <f t="shared" si="121"/>
        <v>138.19999999999999</v>
      </c>
    </row>
    <row r="585" spans="28:30" ht="15" hidden="1" customHeight="1">
      <c r="AB585" s="19"/>
      <c r="AC585" s="43">
        <f t="shared" si="120"/>
        <v>-8.3000000000000007</v>
      </c>
      <c r="AD585" s="43">
        <f t="shared" si="121"/>
        <v>138.30000000000001</v>
      </c>
    </row>
    <row r="586" spans="28:30" ht="15" hidden="1" customHeight="1">
      <c r="AB586" s="19"/>
      <c r="AC586" s="43">
        <f t="shared" si="120"/>
        <v>-8.4</v>
      </c>
      <c r="AD586" s="43">
        <f t="shared" si="121"/>
        <v>138.4</v>
      </c>
    </row>
    <row r="587" spans="28:30" ht="15" hidden="1" customHeight="1">
      <c r="AB587" s="19"/>
      <c r="AC587" s="43">
        <f t="shared" si="120"/>
        <v>-8.5</v>
      </c>
      <c r="AD587" s="43">
        <f t="shared" si="121"/>
        <v>138.5</v>
      </c>
    </row>
    <row r="588" spans="28:30" ht="15" hidden="1" customHeight="1">
      <c r="AB588" s="19"/>
      <c r="AC588" s="43">
        <f t="shared" si="120"/>
        <v>-8.6</v>
      </c>
      <c r="AD588" s="43">
        <f t="shared" ref="AD588:AD602" si="122">ROUNDUP(AD587+0.1,1)</f>
        <v>138.6</v>
      </c>
    </row>
    <row r="589" spans="28:30" ht="15" hidden="1" customHeight="1">
      <c r="AB589" s="19"/>
      <c r="AC589" s="43">
        <f t="shared" si="120"/>
        <v>-8.6999999999999993</v>
      </c>
      <c r="AD589" s="43">
        <f t="shared" si="122"/>
        <v>138.69999999999999</v>
      </c>
    </row>
    <row r="590" spans="28:30" ht="15" hidden="1" customHeight="1">
      <c r="AB590" s="19"/>
      <c r="AC590" s="43">
        <f t="shared" si="120"/>
        <v>-8.8000000000000007</v>
      </c>
      <c r="AD590" s="43">
        <f t="shared" si="122"/>
        <v>138.80000000000001</v>
      </c>
    </row>
    <row r="591" spans="28:30" ht="15" hidden="1" customHeight="1">
      <c r="AB591" s="19"/>
      <c r="AC591" s="43">
        <f t="shared" si="120"/>
        <v>-8.9</v>
      </c>
      <c r="AD591" s="43">
        <f t="shared" si="122"/>
        <v>138.9</v>
      </c>
    </row>
    <row r="592" spans="28:30" ht="15" hidden="1" customHeight="1">
      <c r="AB592" s="19"/>
      <c r="AC592" s="43">
        <f t="shared" si="120"/>
        <v>-9</v>
      </c>
      <c r="AD592" s="43">
        <f t="shared" si="122"/>
        <v>139</v>
      </c>
    </row>
    <row r="593" spans="28:30" ht="15" hidden="1" customHeight="1">
      <c r="AB593" s="19"/>
      <c r="AC593" s="43">
        <f t="shared" si="120"/>
        <v>-9.1</v>
      </c>
      <c r="AD593" s="43">
        <f t="shared" si="122"/>
        <v>139.1</v>
      </c>
    </row>
    <row r="594" spans="28:30" ht="15" hidden="1" customHeight="1">
      <c r="AB594" s="19"/>
      <c r="AC594" s="43">
        <f t="shared" si="120"/>
        <v>-9.1999999999999993</v>
      </c>
      <c r="AD594" s="43">
        <f t="shared" si="122"/>
        <v>139.19999999999999</v>
      </c>
    </row>
    <row r="595" spans="28:30" ht="15" hidden="1" customHeight="1">
      <c r="AB595" s="19"/>
      <c r="AC595" s="43">
        <f t="shared" si="120"/>
        <v>-9.3000000000000007</v>
      </c>
      <c r="AD595" s="43">
        <f t="shared" si="122"/>
        <v>139.30000000000001</v>
      </c>
    </row>
    <row r="596" spans="28:30" ht="15" hidden="1" customHeight="1">
      <c r="AB596" s="19"/>
      <c r="AC596" s="43">
        <f t="shared" si="120"/>
        <v>-9.4</v>
      </c>
      <c r="AD596" s="43">
        <f t="shared" si="122"/>
        <v>139.4</v>
      </c>
    </row>
    <row r="597" spans="28:30" ht="15" hidden="1" customHeight="1">
      <c r="AB597" s="19"/>
      <c r="AC597" s="43">
        <f t="shared" si="120"/>
        <v>-9.5</v>
      </c>
      <c r="AD597" s="43">
        <f t="shared" si="122"/>
        <v>139.5</v>
      </c>
    </row>
    <row r="598" spans="28:30" ht="15" hidden="1" customHeight="1">
      <c r="AB598" s="19"/>
      <c r="AC598" s="43">
        <f t="shared" si="120"/>
        <v>-9.6</v>
      </c>
      <c r="AD598" s="43">
        <f t="shared" si="122"/>
        <v>139.6</v>
      </c>
    </row>
    <row r="599" spans="28:30" ht="15" hidden="1" customHeight="1">
      <c r="AB599" s="19"/>
      <c r="AC599" s="43">
        <f t="shared" si="120"/>
        <v>-9.6999999999999993</v>
      </c>
      <c r="AD599" s="43">
        <f t="shared" si="122"/>
        <v>139.69999999999999</v>
      </c>
    </row>
    <row r="600" spans="28:30" ht="15" hidden="1" customHeight="1">
      <c r="AB600" s="19"/>
      <c r="AC600" s="43">
        <f t="shared" si="120"/>
        <v>-9.8000000000000007</v>
      </c>
      <c r="AD600" s="43">
        <f t="shared" si="122"/>
        <v>139.80000000000001</v>
      </c>
    </row>
    <row r="601" spans="28:30" ht="15" hidden="1" customHeight="1">
      <c r="AB601" s="19"/>
      <c r="AC601" s="43">
        <f t="shared" si="120"/>
        <v>-9.9</v>
      </c>
      <c r="AD601" s="43">
        <f t="shared" si="122"/>
        <v>139.9</v>
      </c>
    </row>
    <row r="602" spans="28:30" ht="15" hidden="1" customHeight="1">
      <c r="AB602" s="19"/>
      <c r="AC602" s="43">
        <f t="shared" si="120"/>
        <v>-10</v>
      </c>
      <c r="AD602" s="43">
        <f t="shared" si="122"/>
        <v>140</v>
      </c>
    </row>
    <row r="603" spans="28:30" ht="0" hidden="1" customHeight="1">
      <c r="AB603" s="19"/>
    </row>
    <row r="604" spans="28:30" ht="0" hidden="1" customHeight="1">
      <c r="AB604" s="19"/>
    </row>
    <row r="605" spans="28:30" ht="0" hidden="1" customHeight="1">
      <c r="AB605" s="19"/>
    </row>
    <row r="606" spans="28:30" ht="0" hidden="1" customHeight="1">
      <c r="AB606" s="19"/>
    </row>
    <row r="607" spans="28:30" ht="0" hidden="1" customHeight="1">
      <c r="AB607" s="19"/>
    </row>
    <row r="608" spans="28:30" ht="0" hidden="1" customHeight="1">
      <c r="AB608" s="19"/>
    </row>
    <row r="609" spans="28:28" ht="0" hidden="1" customHeight="1">
      <c r="AB609" s="19"/>
    </row>
    <row r="610" spans="28:28" ht="0" hidden="1" customHeight="1">
      <c r="AB610" s="19"/>
    </row>
    <row r="611" spans="28:28" ht="0" hidden="1" customHeight="1">
      <c r="AB611" s="19"/>
    </row>
    <row r="612" spans="28:28" ht="0" hidden="1" customHeight="1">
      <c r="AB612" s="19"/>
    </row>
    <row r="613" spans="28:28" ht="0" hidden="1" customHeight="1">
      <c r="AB613" s="19"/>
    </row>
    <row r="614" spans="28:28" ht="0" hidden="1" customHeight="1">
      <c r="AB614" s="19"/>
    </row>
    <row r="615" spans="28:28" ht="0" hidden="1" customHeight="1">
      <c r="AB615" s="19"/>
    </row>
    <row r="616" spans="28:28" ht="0" hidden="1" customHeight="1">
      <c r="AB616" s="19"/>
    </row>
  </sheetData>
  <sheetProtection sheet="1" objects="1" scenarios="1"/>
  <mergeCells count="181">
    <mergeCell ref="B98:D98"/>
    <mergeCell ref="B99:E99"/>
    <mergeCell ref="B96:E97"/>
    <mergeCell ref="B34:D34"/>
    <mergeCell ref="F98:H98"/>
    <mergeCell ref="F99:H99"/>
    <mergeCell ref="E27:F28"/>
    <mergeCell ref="E29:F29"/>
    <mergeCell ref="B33:D33"/>
    <mergeCell ref="B31:D31"/>
    <mergeCell ref="B32:D32"/>
    <mergeCell ref="B30:D30"/>
    <mergeCell ref="T37:V37"/>
    <mergeCell ref="J37:M37"/>
    <mergeCell ref="S18:Z18"/>
    <mergeCell ref="S26:Z26"/>
    <mergeCell ref="T22:X23"/>
    <mergeCell ref="T24:X24"/>
    <mergeCell ref="R17:R20"/>
    <mergeCell ref="T38:V38"/>
    <mergeCell ref="B46:B49"/>
    <mergeCell ref="C46:C47"/>
    <mergeCell ref="D46:D48"/>
    <mergeCell ref="E46:E48"/>
    <mergeCell ref="F46:F49"/>
    <mergeCell ref="G46:G48"/>
    <mergeCell ref="H46:H48"/>
    <mergeCell ref="I46:I48"/>
    <mergeCell ref="K46:Z46"/>
    <mergeCell ref="J44:J45"/>
    <mergeCell ref="P47:Q47"/>
    <mergeCell ref="K44:Z44"/>
    <mergeCell ref="J46:J48"/>
    <mergeCell ref="T39:V39"/>
    <mergeCell ref="T42:X42"/>
    <mergeCell ref="I44:I45"/>
    <mergeCell ref="W6:X7"/>
    <mergeCell ref="W8:X8"/>
    <mergeCell ref="B11:E11"/>
    <mergeCell ref="J9:L9"/>
    <mergeCell ref="B36:D36"/>
    <mergeCell ref="J33:P33"/>
    <mergeCell ref="R24:R27"/>
    <mergeCell ref="J29:N29"/>
    <mergeCell ref="J31:N31"/>
    <mergeCell ref="J35:M36"/>
    <mergeCell ref="S17:Z17"/>
    <mergeCell ref="R21:R23"/>
    <mergeCell ref="T36:V36"/>
    <mergeCell ref="J17:L17"/>
    <mergeCell ref="J25:P26"/>
    <mergeCell ref="J32:O32"/>
    <mergeCell ref="J27:N27"/>
    <mergeCell ref="J28:N28"/>
    <mergeCell ref="Y22:Z22"/>
    <mergeCell ref="Y23:Z23"/>
    <mergeCell ref="Y24:Z24"/>
    <mergeCell ref="S27:Z27"/>
    <mergeCell ref="Y32:Y33"/>
    <mergeCell ref="Z32:Z33"/>
    <mergeCell ref="T9:V9"/>
    <mergeCell ref="B14:G15"/>
    <mergeCell ref="G27:G28"/>
    <mergeCell ref="B27:D29"/>
    <mergeCell ref="B35:D35"/>
    <mergeCell ref="B25:H26"/>
    <mergeCell ref="J16:L16"/>
    <mergeCell ref="H19:J21"/>
    <mergeCell ref="J18:L18"/>
    <mergeCell ref="B16:G17"/>
    <mergeCell ref="B18:G18"/>
    <mergeCell ref="T30:Z31"/>
    <mergeCell ref="T35:V35"/>
    <mergeCell ref="T32:V34"/>
    <mergeCell ref="W34:X34"/>
    <mergeCell ref="T20:Z21"/>
    <mergeCell ref="T28:Z29"/>
    <mergeCell ref="W32:X33"/>
    <mergeCell ref="K22:Q22"/>
    <mergeCell ref="B22:G22"/>
    <mergeCell ref="H22:J22"/>
    <mergeCell ref="B23:G23"/>
    <mergeCell ref="K23:Q23"/>
    <mergeCell ref="J11:L11"/>
    <mergeCell ref="B6:E6"/>
    <mergeCell ref="B7:E7"/>
    <mergeCell ref="B8:E8"/>
    <mergeCell ref="J6:L8"/>
    <mergeCell ref="B9:E9"/>
    <mergeCell ref="B10:E10"/>
    <mergeCell ref="P6:P7"/>
    <mergeCell ref="M6:N7"/>
    <mergeCell ref="M8:N8"/>
    <mergeCell ref="AL1:AM1"/>
    <mergeCell ref="AI1:AI3"/>
    <mergeCell ref="T15:Z16"/>
    <mergeCell ref="T4:Z5"/>
    <mergeCell ref="A1:Z1"/>
    <mergeCell ref="A2:Z2"/>
    <mergeCell ref="AF1:AF3"/>
    <mergeCell ref="T12:V12"/>
    <mergeCell ref="T13:V13"/>
    <mergeCell ref="J15:L15"/>
    <mergeCell ref="J4:P5"/>
    <mergeCell ref="B4:H5"/>
    <mergeCell ref="Y6:Y7"/>
    <mergeCell ref="Z6:Z7"/>
    <mergeCell ref="T10:V10"/>
    <mergeCell ref="T11:V11"/>
    <mergeCell ref="O6:O7"/>
    <mergeCell ref="T6:V8"/>
    <mergeCell ref="J13:L13"/>
    <mergeCell ref="J14:L14"/>
    <mergeCell ref="B12:E12"/>
    <mergeCell ref="K3:N3"/>
    <mergeCell ref="B3:E3"/>
    <mergeCell ref="J10:L10"/>
    <mergeCell ref="BM48:BO48"/>
    <mergeCell ref="BP48:BQ48"/>
    <mergeCell ref="BU48:BX48"/>
    <mergeCell ref="BY48:CA48"/>
    <mergeCell ref="CB48:CD48"/>
    <mergeCell ref="CE48:CF48"/>
    <mergeCell ref="F96:H97"/>
    <mergeCell ref="BD46:BD49"/>
    <mergeCell ref="BS46:BS49"/>
    <mergeCell ref="BA48:BB48"/>
    <mergeCell ref="AX48:AZ48"/>
    <mergeCell ref="AU48:AW48"/>
    <mergeCell ref="AQ48:AT48"/>
    <mergeCell ref="J96:L97"/>
    <mergeCell ref="N96:P97"/>
    <mergeCell ref="P112:P116"/>
    <mergeCell ref="N113:O113"/>
    <mergeCell ref="N114:O114"/>
    <mergeCell ref="N115:O115"/>
    <mergeCell ref="N116:O116"/>
    <mergeCell ref="N111:O111"/>
    <mergeCell ref="J111:K111"/>
    <mergeCell ref="BF48:BI48"/>
    <mergeCell ref="BJ48:BL48"/>
    <mergeCell ref="J98:L98"/>
    <mergeCell ref="J99:L99"/>
    <mergeCell ref="N98:P98"/>
    <mergeCell ref="N99:P99"/>
    <mergeCell ref="L112:L116"/>
    <mergeCell ref="N112:O112"/>
    <mergeCell ref="G114:H114"/>
    <mergeCell ref="G115:H115"/>
    <mergeCell ref="B117:H117"/>
    <mergeCell ref="J112:K112"/>
    <mergeCell ref="J113:K113"/>
    <mergeCell ref="J114:K114"/>
    <mergeCell ref="J115:K115"/>
    <mergeCell ref="J116:K116"/>
    <mergeCell ref="B112:E116"/>
    <mergeCell ref="G116:H116"/>
    <mergeCell ref="B101:E102"/>
    <mergeCell ref="J12:L12"/>
    <mergeCell ref="H27:H28"/>
    <mergeCell ref="B104:E104"/>
    <mergeCell ref="B38:D38"/>
    <mergeCell ref="E44:E45"/>
    <mergeCell ref="G111:H111"/>
    <mergeCell ref="G112:H112"/>
    <mergeCell ref="G113:H113"/>
    <mergeCell ref="B111:E111"/>
    <mergeCell ref="B37:D37"/>
    <mergeCell ref="G44:H45"/>
    <mergeCell ref="F44:F45"/>
    <mergeCell ref="B44:D45"/>
    <mergeCell ref="B110:E110"/>
    <mergeCell ref="B108:E109"/>
    <mergeCell ref="J39:M39"/>
    <mergeCell ref="J40:M40"/>
    <mergeCell ref="J38:M38"/>
    <mergeCell ref="J41:P41"/>
    <mergeCell ref="B103:E103"/>
    <mergeCell ref="B39:D39"/>
    <mergeCell ref="B105:E105"/>
    <mergeCell ref="B106:E106"/>
  </mergeCells>
  <conditionalFormatting sqref="B22 K22 R17:R27 S27 S17 Y24 Z9:Z14 P9:P19 H30:H40 P31 P29 Z42 Z35:Z40 F98 J98 N98">
    <cfRule type="colorScale" priority="14">
      <colorScale>
        <cfvo type="min"/>
        <cfvo type="percentile" val="50"/>
        <cfvo type="max"/>
        <color rgb="FF63BE7B"/>
        <color rgb="FFFFEB84"/>
        <color rgb="FFF8696B"/>
      </colorScale>
    </cfRule>
  </conditionalFormatting>
  <conditionalFormatting sqref="L111:L116 P111:P116">
    <cfRule type="colorScale" priority="12">
      <colorScale>
        <cfvo type="num" val="-0.05"/>
        <cfvo type="num" val="0"/>
        <cfvo type="num" val="0.05"/>
        <color rgb="FF63BE7B"/>
        <color rgb="FFFFEB84"/>
        <color rgb="FFF8696B"/>
      </colorScale>
    </cfRule>
  </conditionalFormatting>
  <conditionalFormatting sqref="J103 F103 N103">
    <cfRule type="colorScale" priority="11">
      <colorScale>
        <cfvo type="min"/>
        <cfvo type="percentile" val="50"/>
        <cfvo type="max"/>
        <color rgb="FFF8696B"/>
        <color rgb="FFFFEB84"/>
        <color rgb="FF63BE7B"/>
      </colorScale>
    </cfRule>
  </conditionalFormatting>
  <conditionalFormatting sqref="F104 J104 N104">
    <cfRule type="colorScale" priority="10">
      <colorScale>
        <cfvo type="min"/>
        <cfvo type="percentile" val="50"/>
        <cfvo type="max"/>
        <color rgb="FFF8696B"/>
        <color rgb="FFFFEB84"/>
        <color rgb="FF63BE7B"/>
      </colorScale>
    </cfRule>
  </conditionalFormatting>
  <conditionalFormatting sqref="J105 F105 N105">
    <cfRule type="colorScale" priority="9">
      <colorScale>
        <cfvo type="min"/>
        <cfvo type="percentile" val="50"/>
        <cfvo type="max"/>
        <color rgb="FFF8696B"/>
        <color rgb="FFFFEB84"/>
        <color rgb="FF63BE7B"/>
      </colorScale>
    </cfRule>
  </conditionalFormatting>
  <conditionalFormatting sqref="J106 F106 N106">
    <cfRule type="colorScale" priority="8">
      <colorScale>
        <cfvo type="min"/>
        <cfvo type="percentile" val="50"/>
        <cfvo type="max"/>
        <color rgb="FFF8696B"/>
        <color rgb="FFFFEB84"/>
        <color rgb="FF63BE7B"/>
      </colorScale>
    </cfRule>
  </conditionalFormatting>
  <conditionalFormatting sqref="G111:H111 J111:K111 N111:O111">
    <cfRule type="colorScale" priority="7">
      <colorScale>
        <cfvo type="min"/>
        <cfvo type="percentile" val="50"/>
        <cfvo type="max"/>
        <color rgb="FF63BE7B"/>
        <color rgb="FFFFEB84"/>
        <color rgb="FFF8696B"/>
      </colorScale>
    </cfRule>
  </conditionalFormatting>
  <conditionalFormatting sqref="G112:H112 J112:K112 N112:O112">
    <cfRule type="colorScale" priority="5">
      <colorScale>
        <cfvo type="min"/>
        <cfvo type="percentile" val="50"/>
        <cfvo type="max"/>
        <color rgb="FF63BE7B"/>
        <color rgb="FFFFEB84"/>
        <color rgb="FFF8696B"/>
      </colorScale>
    </cfRule>
  </conditionalFormatting>
  <conditionalFormatting sqref="G113:H113 J113:K113 N113:O113">
    <cfRule type="colorScale" priority="4">
      <colorScale>
        <cfvo type="min"/>
        <cfvo type="percentile" val="50"/>
        <cfvo type="max"/>
        <color rgb="FF63BE7B"/>
        <color rgb="FFFFEB84"/>
        <color rgb="FFF8696B"/>
      </colorScale>
    </cfRule>
  </conditionalFormatting>
  <conditionalFormatting sqref="G114:H114 J114:K114 N114:O114">
    <cfRule type="colorScale" priority="3">
      <colorScale>
        <cfvo type="min"/>
        <cfvo type="percentile" val="50"/>
        <cfvo type="max"/>
        <color rgb="FF63BE7B"/>
        <color rgb="FFFFEB84"/>
        <color rgb="FFF8696B"/>
      </colorScale>
    </cfRule>
  </conditionalFormatting>
  <conditionalFormatting sqref="G115:H115 J115:K115 N115:O115">
    <cfRule type="colorScale" priority="2">
      <colorScale>
        <cfvo type="min"/>
        <cfvo type="percentile" val="50"/>
        <cfvo type="max"/>
        <color rgb="FF63BE7B"/>
        <color rgb="FFFFEB84"/>
        <color rgb="FFF8696B"/>
      </colorScale>
    </cfRule>
  </conditionalFormatting>
  <conditionalFormatting sqref="G116:H116 J116:K116 N116:O116">
    <cfRule type="colorScale" priority="1">
      <colorScale>
        <cfvo type="min"/>
        <cfvo type="percentile" val="50"/>
        <cfvo type="max"/>
        <color rgb="FF63BE7B"/>
        <color rgb="FFFFEB84"/>
        <color rgb="FFF8696B"/>
      </colorScale>
    </cfRule>
  </conditionalFormatting>
  <dataValidations xWindow="566" yWindow="392" count="8">
    <dataValidation type="list" errorStyle="warning" allowBlank="1" showInputMessage="1" showErrorMessage="1" errorTitle="Select a Valid Temperature" error="You need to select  a temperature from the drop down list. Alternatively you can enter a corresponding number here." promptTitle="Temperature Selection" prompt="You need to select  a temperature from the drop down list. Alternatively you can enter a corresponding number here. Failure to inlcude a value here will mean that a default air density of 1.2 kg/m³ will be presumed._x000a_" sqref="H7:H8">
      <formula1>$AC$2:$AC$602</formula1>
    </dataValidation>
    <dataValidation type="list" errorStyle="warning" allowBlank="1" showInputMessage="1" showErrorMessage="1" errorTitle="Select a Valid Pressure!" error="You need to select  a pressure from the drop down list. Alternatively you can enter a corresponding number here." promptTitle="Barometric Pressure Selection" prompt="You need to select  a pressure from the drop down list. Alternatively you can enter a corresponding number here. Failure to inlcude a value here will mean that a default air density of 1.2 kg/m³ will be presumed." sqref="H9">
      <formula1>$AD$2:$AD$602</formula1>
    </dataValidation>
    <dataValidation type="whole" errorStyle="warning" allowBlank="1" showInputMessage="1" showErrorMessage="1" errorTitle="Choose a Number!" error="You need to select the number of the duct components you wish to use between 0 and 2000." promptTitle="Duct Component Quantity" prompt="You need to select the number of the duct components you wish to use." sqref="E30:E39 M9:M18 W9:W13 W35:W39">
      <formula1>0</formula1>
      <formula2>2000</formula2>
    </dataValidation>
    <dataValidation type="list" errorStyle="warning" allowBlank="1" showInputMessage="1" showErrorMessage="1" errorTitle="Select a Valid Duct Component!" error="You need to select one of the duct components in the drop down list." promptTitle="Duct Component Selection" prompt="You need to select one of the duct components in the drop down list." sqref="T24">
      <formula1>$AI$4:$AI$17</formula1>
    </dataValidation>
    <dataValidation type="list" errorStyle="warning" allowBlank="1" showInputMessage="1" showErrorMessage="1" errorTitle="Select a Valid Duct Component!" error="You need to select one of the duct components in the drop down list." promptTitle="Duct Component Selection" prompt="You need to select one of the duct components in the drop down list." sqref="B30:D30 T9:T13 T35:T39 B31:B39 J9 J11:J18 J10:L10">
      <formula1>$AF$4:$AF$219</formula1>
    </dataValidation>
    <dataValidation errorStyle="warning" allowBlank="1" errorTitle="Select a Valid Duct Component!" error="You need to select one of the duct components in the drop down list." promptTitle="Duct Component Selection" prompt="You need to select one of the duct components in the drop down list." sqref="X35:X39 X9:X13 N9:N18 F30:F39"/>
    <dataValidation type="list" allowBlank="1" showInputMessage="1" showErrorMessage="1" errorTitle="Choose a Valid Fan!" error="You need to select one of the fans in the drop down list." promptTitle="Fan Selection" prompt="You need to select one of the fans in the drop down list." sqref="B16">
      <formula1>$AM$2:$AM$24</formula1>
    </dataValidation>
    <dataValidation type="decimal" errorStyle="warning" allowBlank="1" showInputMessage="1" showErrorMessage="1" errorTitle="Select a Valid  Power Cost" error="You need to select  a Power Cost in Rand terms less than R10.00." promptTitle="Power Cost Selection" prompt="You need to insert a power cost. By default this number is set to R0.52 / kWhr." sqref="H12">
      <formula1>0</formula1>
      <formula2>10</formula2>
    </dataValidation>
  </dataValidations>
  <hyperlinks>
    <hyperlink ref="B3" location="INDEX!A1" display="INDEX!A1"/>
  </hyperlinks>
  <pageMargins left="0.23622047244094491" right="0.23622047244094491" top="0.74803149606299213" bottom="0.74803149606299213" header="0.31496062992125984" footer="0.31496062992125984"/>
  <pageSetup paperSize="9" scale="69" fitToHeight="0" orientation="landscape" r:id="rId1"/>
  <rowBreaks count="2" manualBreakCount="2">
    <brk id="43" max="16383" man="1"/>
    <brk id="95"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2071" r:id="rId4" name="Scroll Bar 23">
              <controlPr defaultSize="0" print="0" autoPict="0">
                <anchor moveWithCells="1">
                  <from>
                    <xdr:col>13</xdr:col>
                    <xdr:colOff>19050</xdr:colOff>
                    <xdr:row>8</xdr:row>
                    <xdr:rowOff>19050</xdr:rowOff>
                  </from>
                  <to>
                    <xdr:col>13</xdr:col>
                    <xdr:colOff>571500</xdr:colOff>
                    <xdr:row>8</xdr:row>
                    <xdr:rowOff>180975</xdr:rowOff>
                  </to>
                </anchor>
              </controlPr>
            </control>
          </mc:Choice>
        </mc:AlternateContent>
        <mc:AlternateContent xmlns:mc="http://schemas.openxmlformats.org/markup-compatibility/2006">
          <mc:Choice Requires="x14">
            <control shapeId="2095" r:id="rId5" name="Scroll Bar 47">
              <controlPr defaultSize="0" print="0" autoPict="0">
                <anchor moveWithCells="1">
                  <from>
                    <xdr:col>13</xdr:col>
                    <xdr:colOff>19050</xdr:colOff>
                    <xdr:row>9</xdr:row>
                    <xdr:rowOff>19050</xdr:rowOff>
                  </from>
                  <to>
                    <xdr:col>13</xdr:col>
                    <xdr:colOff>571500</xdr:colOff>
                    <xdr:row>9</xdr:row>
                    <xdr:rowOff>180975</xdr:rowOff>
                  </to>
                </anchor>
              </controlPr>
            </control>
          </mc:Choice>
        </mc:AlternateContent>
        <mc:AlternateContent xmlns:mc="http://schemas.openxmlformats.org/markup-compatibility/2006">
          <mc:Choice Requires="x14">
            <control shapeId="2096" r:id="rId6" name="Scroll Bar 48">
              <controlPr defaultSize="0" print="0" autoPict="0">
                <anchor moveWithCells="1">
                  <from>
                    <xdr:col>13</xdr:col>
                    <xdr:colOff>19050</xdr:colOff>
                    <xdr:row>10</xdr:row>
                    <xdr:rowOff>19050</xdr:rowOff>
                  </from>
                  <to>
                    <xdr:col>13</xdr:col>
                    <xdr:colOff>571500</xdr:colOff>
                    <xdr:row>10</xdr:row>
                    <xdr:rowOff>180975</xdr:rowOff>
                  </to>
                </anchor>
              </controlPr>
            </control>
          </mc:Choice>
        </mc:AlternateContent>
        <mc:AlternateContent xmlns:mc="http://schemas.openxmlformats.org/markup-compatibility/2006">
          <mc:Choice Requires="x14">
            <control shapeId="2097" r:id="rId7" name="Scroll Bar 49">
              <controlPr defaultSize="0" print="0" autoPict="0">
                <anchor moveWithCells="1">
                  <from>
                    <xdr:col>13</xdr:col>
                    <xdr:colOff>19050</xdr:colOff>
                    <xdr:row>11</xdr:row>
                    <xdr:rowOff>19050</xdr:rowOff>
                  </from>
                  <to>
                    <xdr:col>13</xdr:col>
                    <xdr:colOff>571500</xdr:colOff>
                    <xdr:row>11</xdr:row>
                    <xdr:rowOff>180975</xdr:rowOff>
                  </to>
                </anchor>
              </controlPr>
            </control>
          </mc:Choice>
        </mc:AlternateContent>
        <mc:AlternateContent xmlns:mc="http://schemas.openxmlformats.org/markup-compatibility/2006">
          <mc:Choice Requires="x14">
            <control shapeId="2098" r:id="rId8" name="Scroll Bar 50">
              <controlPr defaultSize="0" print="0" autoPict="0">
                <anchor moveWithCells="1">
                  <from>
                    <xdr:col>13</xdr:col>
                    <xdr:colOff>19050</xdr:colOff>
                    <xdr:row>12</xdr:row>
                    <xdr:rowOff>19050</xdr:rowOff>
                  </from>
                  <to>
                    <xdr:col>13</xdr:col>
                    <xdr:colOff>571500</xdr:colOff>
                    <xdr:row>12</xdr:row>
                    <xdr:rowOff>180975</xdr:rowOff>
                  </to>
                </anchor>
              </controlPr>
            </control>
          </mc:Choice>
        </mc:AlternateContent>
        <mc:AlternateContent xmlns:mc="http://schemas.openxmlformats.org/markup-compatibility/2006">
          <mc:Choice Requires="x14">
            <control shapeId="2099" r:id="rId9" name="Scroll Bar 51">
              <controlPr defaultSize="0" print="0" autoPict="0">
                <anchor moveWithCells="1">
                  <from>
                    <xdr:col>13</xdr:col>
                    <xdr:colOff>19050</xdr:colOff>
                    <xdr:row>13</xdr:row>
                    <xdr:rowOff>19050</xdr:rowOff>
                  </from>
                  <to>
                    <xdr:col>13</xdr:col>
                    <xdr:colOff>571500</xdr:colOff>
                    <xdr:row>13</xdr:row>
                    <xdr:rowOff>180975</xdr:rowOff>
                  </to>
                </anchor>
              </controlPr>
            </control>
          </mc:Choice>
        </mc:AlternateContent>
        <mc:AlternateContent xmlns:mc="http://schemas.openxmlformats.org/markup-compatibility/2006">
          <mc:Choice Requires="x14">
            <control shapeId="2100" r:id="rId10" name="Scroll Bar 52">
              <controlPr defaultSize="0" print="0" autoPict="0">
                <anchor moveWithCells="1">
                  <from>
                    <xdr:col>13</xdr:col>
                    <xdr:colOff>19050</xdr:colOff>
                    <xdr:row>14</xdr:row>
                    <xdr:rowOff>19050</xdr:rowOff>
                  </from>
                  <to>
                    <xdr:col>13</xdr:col>
                    <xdr:colOff>571500</xdr:colOff>
                    <xdr:row>14</xdr:row>
                    <xdr:rowOff>180975</xdr:rowOff>
                  </to>
                </anchor>
              </controlPr>
            </control>
          </mc:Choice>
        </mc:AlternateContent>
        <mc:AlternateContent xmlns:mc="http://schemas.openxmlformats.org/markup-compatibility/2006">
          <mc:Choice Requires="x14">
            <control shapeId="2101" r:id="rId11" name="Scroll Bar 53">
              <controlPr defaultSize="0" print="0" autoPict="0">
                <anchor moveWithCells="1">
                  <from>
                    <xdr:col>13</xdr:col>
                    <xdr:colOff>19050</xdr:colOff>
                    <xdr:row>15</xdr:row>
                    <xdr:rowOff>19050</xdr:rowOff>
                  </from>
                  <to>
                    <xdr:col>13</xdr:col>
                    <xdr:colOff>571500</xdr:colOff>
                    <xdr:row>15</xdr:row>
                    <xdr:rowOff>180975</xdr:rowOff>
                  </to>
                </anchor>
              </controlPr>
            </control>
          </mc:Choice>
        </mc:AlternateContent>
        <mc:AlternateContent xmlns:mc="http://schemas.openxmlformats.org/markup-compatibility/2006">
          <mc:Choice Requires="x14">
            <control shapeId="2102" r:id="rId12" name="Scroll Bar 54">
              <controlPr defaultSize="0" print="0" autoPict="0">
                <anchor moveWithCells="1">
                  <from>
                    <xdr:col>13</xdr:col>
                    <xdr:colOff>19050</xdr:colOff>
                    <xdr:row>16</xdr:row>
                    <xdr:rowOff>19050</xdr:rowOff>
                  </from>
                  <to>
                    <xdr:col>13</xdr:col>
                    <xdr:colOff>571500</xdr:colOff>
                    <xdr:row>16</xdr:row>
                    <xdr:rowOff>180975</xdr:rowOff>
                  </to>
                </anchor>
              </controlPr>
            </control>
          </mc:Choice>
        </mc:AlternateContent>
        <mc:AlternateContent xmlns:mc="http://schemas.openxmlformats.org/markup-compatibility/2006">
          <mc:Choice Requires="x14">
            <control shapeId="2103" r:id="rId13" name="Scroll Bar 55">
              <controlPr defaultSize="0" print="0" autoPict="0">
                <anchor moveWithCells="1">
                  <from>
                    <xdr:col>13</xdr:col>
                    <xdr:colOff>19050</xdr:colOff>
                    <xdr:row>17</xdr:row>
                    <xdr:rowOff>19050</xdr:rowOff>
                  </from>
                  <to>
                    <xdr:col>13</xdr:col>
                    <xdr:colOff>571500</xdr:colOff>
                    <xdr:row>17</xdr:row>
                    <xdr:rowOff>180975</xdr:rowOff>
                  </to>
                </anchor>
              </controlPr>
            </control>
          </mc:Choice>
        </mc:AlternateContent>
        <mc:AlternateContent xmlns:mc="http://schemas.openxmlformats.org/markup-compatibility/2006">
          <mc:Choice Requires="x14">
            <control shapeId="2104" r:id="rId14" name="Scroll Bar 56">
              <controlPr defaultSize="0" print="0" autoPict="0">
                <anchor moveWithCells="1">
                  <from>
                    <xdr:col>5</xdr:col>
                    <xdr:colOff>19050</xdr:colOff>
                    <xdr:row>29</xdr:row>
                    <xdr:rowOff>19050</xdr:rowOff>
                  </from>
                  <to>
                    <xdr:col>5</xdr:col>
                    <xdr:colOff>571500</xdr:colOff>
                    <xdr:row>29</xdr:row>
                    <xdr:rowOff>180975</xdr:rowOff>
                  </to>
                </anchor>
              </controlPr>
            </control>
          </mc:Choice>
        </mc:AlternateContent>
        <mc:AlternateContent xmlns:mc="http://schemas.openxmlformats.org/markup-compatibility/2006">
          <mc:Choice Requires="x14">
            <control shapeId="2105" r:id="rId15" name="Scroll Bar 57">
              <controlPr defaultSize="0" print="0" autoPict="0">
                <anchor moveWithCells="1">
                  <from>
                    <xdr:col>5</xdr:col>
                    <xdr:colOff>19050</xdr:colOff>
                    <xdr:row>30</xdr:row>
                    <xdr:rowOff>19050</xdr:rowOff>
                  </from>
                  <to>
                    <xdr:col>5</xdr:col>
                    <xdr:colOff>571500</xdr:colOff>
                    <xdr:row>30</xdr:row>
                    <xdr:rowOff>180975</xdr:rowOff>
                  </to>
                </anchor>
              </controlPr>
            </control>
          </mc:Choice>
        </mc:AlternateContent>
        <mc:AlternateContent xmlns:mc="http://schemas.openxmlformats.org/markup-compatibility/2006">
          <mc:Choice Requires="x14">
            <control shapeId="2106" r:id="rId16" name="Scroll Bar 58">
              <controlPr defaultSize="0" print="0" autoPict="0">
                <anchor moveWithCells="1">
                  <from>
                    <xdr:col>5</xdr:col>
                    <xdr:colOff>19050</xdr:colOff>
                    <xdr:row>31</xdr:row>
                    <xdr:rowOff>19050</xdr:rowOff>
                  </from>
                  <to>
                    <xdr:col>5</xdr:col>
                    <xdr:colOff>571500</xdr:colOff>
                    <xdr:row>31</xdr:row>
                    <xdr:rowOff>180975</xdr:rowOff>
                  </to>
                </anchor>
              </controlPr>
            </control>
          </mc:Choice>
        </mc:AlternateContent>
        <mc:AlternateContent xmlns:mc="http://schemas.openxmlformats.org/markup-compatibility/2006">
          <mc:Choice Requires="x14">
            <control shapeId="2107" r:id="rId17" name="Scroll Bar 59">
              <controlPr defaultSize="0" print="0" autoPict="0">
                <anchor moveWithCells="1">
                  <from>
                    <xdr:col>5</xdr:col>
                    <xdr:colOff>19050</xdr:colOff>
                    <xdr:row>32</xdr:row>
                    <xdr:rowOff>19050</xdr:rowOff>
                  </from>
                  <to>
                    <xdr:col>5</xdr:col>
                    <xdr:colOff>571500</xdr:colOff>
                    <xdr:row>32</xdr:row>
                    <xdr:rowOff>180975</xdr:rowOff>
                  </to>
                </anchor>
              </controlPr>
            </control>
          </mc:Choice>
        </mc:AlternateContent>
        <mc:AlternateContent xmlns:mc="http://schemas.openxmlformats.org/markup-compatibility/2006">
          <mc:Choice Requires="x14">
            <control shapeId="2108" r:id="rId18" name="Scroll Bar 60">
              <controlPr defaultSize="0" print="0" autoPict="0">
                <anchor moveWithCells="1">
                  <from>
                    <xdr:col>5</xdr:col>
                    <xdr:colOff>19050</xdr:colOff>
                    <xdr:row>33</xdr:row>
                    <xdr:rowOff>19050</xdr:rowOff>
                  </from>
                  <to>
                    <xdr:col>5</xdr:col>
                    <xdr:colOff>571500</xdr:colOff>
                    <xdr:row>33</xdr:row>
                    <xdr:rowOff>180975</xdr:rowOff>
                  </to>
                </anchor>
              </controlPr>
            </control>
          </mc:Choice>
        </mc:AlternateContent>
        <mc:AlternateContent xmlns:mc="http://schemas.openxmlformats.org/markup-compatibility/2006">
          <mc:Choice Requires="x14">
            <control shapeId="2109" r:id="rId19" name="Scroll Bar 61">
              <controlPr defaultSize="0" print="0" autoPict="0">
                <anchor moveWithCells="1">
                  <from>
                    <xdr:col>5</xdr:col>
                    <xdr:colOff>19050</xdr:colOff>
                    <xdr:row>34</xdr:row>
                    <xdr:rowOff>19050</xdr:rowOff>
                  </from>
                  <to>
                    <xdr:col>5</xdr:col>
                    <xdr:colOff>571500</xdr:colOff>
                    <xdr:row>34</xdr:row>
                    <xdr:rowOff>180975</xdr:rowOff>
                  </to>
                </anchor>
              </controlPr>
            </control>
          </mc:Choice>
        </mc:AlternateContent>
        <mc:AlternateContent xmlns:mc="http://schemas.openxmlformats.org/markup-compatibility/2006">
          <mc:Choice Requires="x14">
            <control shapeId="2110" r:id="rId20" name="Scroll Bar 62">
              <controlPr defaultSize="0" print="0" autoPict="0">
                <anchor moveWithCells="1">
                  <from>
                    <xdr:col>5</xdr:col>
                    <xdr:colOff>19050</xdr:colOff>
                    <xdr:row>35</xdr:row>
                    <xdr:rowOff>19050</xdr:rowOff>
                  </from>
                  <to>
                    <xdr:col>5</xdr:col>
                    <xdr:colOff>571500</xdr:colOff>
                    <xdr:row>35</xdr:row>
                    <xdr:rowOff>180975</xdr:rowOff>
                  </to>
                </anchor>
              </controlPr>
            </control>
          </mc:Choice>
        </mc:AlternateContent>
        <mc:AlternateContent xmlns:mc="http://schemas.openxmlformats.org/markup-compatibility/2006">
          <mc:Choice Requires="x14">
            <control shapeId="2111" r:id="rId21" name="Scroll Bar 63">
              <controlPr defaultSize="0" print="0" autoPict="0">
                <anchor moveWithCells="1">
                  <from>
                    <xdr:col>5</xdr:col>
                    <xdr:colOff>19050</xdr:colOff>
                    <xdr:row>36</xdr:row>
                    <xdr:rowOff>19050</xdr:rowOff>
                  </from>
                  <to>
                    <xdr:col>5</xdr:col>
                    <xdr:colOff>571500</xdr:colOff>
                    <xdr:row>36</xdr:row>
                    <xdr:rowOff>180975</xdr:rowOff>
                  </to>
                </anchor>
              </controlPr>
            </control>
          </mc:Choice>
        </mc:AlternateContent>
        <mc:AlternateContent xmlns:mc="http://schemas.openxmlformats.org/markup-compatibility/2006">
          <mc:Choice Requires="x14">
            <control shapeId="2112" r:id="rId22" name="Scroll Bar 64">
              <controlPr defaultSize="0" print="0" autoPict="0">
                <anchor moveWithCells="1">
                  <from>
                    <xdr:col>5</xdr:col>
                    <xdr:colOff>19050</xdr:colOff>
                    <xdr:row>37</xdr:row>
                    <xdr:rowOff>19050</xdr:rowOff>
                  </from>
                  <to>
                    <xdr:col>5</xdr:col>
                    <xdr:colOff>571500</xdr:colOff>
                    <xdr:row>37</xdr:row>
                    <xdr:rowOff>180975</xdr:rowOff>
                  </to>
                </anchor>
              </controlPr>
            </control>
          </mc:Choice>
        </mc:AlternateContent>
        <mc:AlternateContent xmlns:mc="http://schemas.openxmlformats.org/markup-compatibility/2006">
          <mc:Choice Requires="x14">
            <control shapeId="2113" r:id="rId23" name="Scroll Bar 65">
              <controlPr defaultSize="0" print="0" autoPict="0">
                <anchor moveWithCells="1">
                  <from>
                    <xdr:col>5</xdr:col>
                    <xdr:colOff>19050</xdr:colOff>
                    <xdr:row>38</xdr:row>
                    <xdr:rowOff>19050</xdr:rowOff>
                  </from>
                  <to>
                    <xdr:col>5</xdr:col>
                    <xdr:colOff>571500</xdr:colOff>
                    <xdr:row>38</xdr:row>
                    <xdr:rowOff>180975</xdr:rowOff>
                  </to>
                </anchor>
              </controlPr>
            </control>
          </mc:Choice>
        </mc:AlternateContent>
        <mc:AlternateContent xmlns:mc="http://schemas.openxmlformats.org/markup-compatibility/2006">
          <mc:Choice Requires="x14">
            <control shapeId="2114" r:id="rId24" name="Scroll Bar 66">
              <controlPr defaultSize="0" print="0" autoPict="0">
                <anchor moveWithCells="1">
                  <from>
                    <xdr:col>23</xdr:col>
                    <xdr:colOff>19050</xdr:colOff>
                    <xdr:row>8</xdr:row>
                    <xdr:rowOff>19050</xdr:rowOff>
                  </from>
                  <to>
                    <xdr:col>23</xdr:col>
                    <xdr:colOff>571500</xdr:colOff>
                    <xdr:row>8</xdr:row>
                    <xdr:rowOff>180975</xdr:rowOff>
                  </to>
                </anchor>
              </controlPr>
            </control>
          </mc:Choice>
        </mc:AlternateContent>
        <mc:AlternateContent xmlns:mc="http://schemas.openxmlformats.org/markup-compatibility/2006">
          <mc:Choice Requires="x14">
            <control shapeId="2115" r:id="rId25" name="Scroll Bar 67">
              <controlPr defaultSize="0" print="0" autoPict="0">
                <anchor moveWithCells="1">
                  <from>
                    <xdr:col>23</xdr:col>
                    <xdr:colOff>19050</xdr:colOff>
                    <xdr:row>9</xdr:row>
                    <xdr:rowOff>19050</xdr:rowOff>
                  </from>
                  <to>
                    <xdr:col>23</xdr:col>
                    <xdr:colOff>571500</xdr:colOff>
                    <xdr:row>9</xdr:row>
                    <xdr:rowOff>180975</xdr:rowOff>
                  </to>
                </anchor>
              </controlPr>
            </control>
          </mc:Choice>
        </mc:AlternateContent>
        <mc:AlternateContent xmlns:mc="http://schemas.openxmlformats.org/markup-compatibility/2006">
          <mc:Choice Requires="x14">
            <control shapeId="2116" r:id="rId26" name="Scroll Bar 68">
              <controlPr defaultSize="0" print="0" autoPict="0">
                <anchor moveWithCells="1">
                  <from>
                    <xdr:col>23</xdr:col>
                    <xdr:colOff>19050</xdr:colOff>
                    <xdr:row>10</xdr:row>
                    <xdr:rowOff>19050</xdr:rowOff>
                  </from>
                  <to>
                    <xdr:col>23</xdr:col>
                    <xdr:colOff>571500</xdr:colOff>
                    <xdr:row>10</xdr:row>
                    <xdr:rowOff>180975</xdr:rowOff>
                  </to>
                </anchor>
              </controlPr>
            </control>
          </mc:Choice>
        </mc:AlternateContent>
        <mc:AlternateContent xmlns:mc="http://schemas.openxmlformats.org/markup-compatibility/2006">
          <mc:Choice Requires="x14">
            <control shapeId="2117" r:id="rId27" name="Scroll Bar 69">
              <controlPr defaultSize="0" print="0" autoPict="0">
                <anchor moveWithCells="1">
                  <from>
                    <xdr:col>23</xdr:col>
                    <xdr:colOff>19050</xdr:colOff>
                    <xdr:row>11</xdr:row>
                    <xdr:rowOff>19050</xdr:rowOff>
                  </from>
                  <to>
                    <xdr:col>23</xdr:col>
                    <xdr:colOff>571500</xdr:colOff>
                    <xdr:row>11</xdr:row>
                    <xdr:rowOff>180975</xdr:rowOff>
                  </to>
                </anchor>
              </controlPr>
            </control>
          </mc:Choice>
        </mc:AlternateContent>
        <mc:AlternateContent xmlns:mc="http://schemas.openxmlformats.org/markup-compatibility/2006">
          <mc:Choice Requires="x14">
            <control shapeId="2118" r:id="rId28" name="Scroll Bar 70">
              <controlPr defaultSize="0" print="0" autoPict="0">
                <anchor moveWithCells="1">
                  <from>
                    <xdr:col>23</xdr:col>
                    <xdr:colOff>19050</xdr:colOff>
                    <xdr:row>12</xdr:row>
                    <xdr:rowOff>19050</xdr:rowOff>
                  </from>
                  <to>
                    <xdr:col>23</xdr:col>
                    <xdr:colOff>571500</xdr:colOff>
                    <xdr:row>12</xdr:row>
                    <xdr:rowOff>180975</xdr:rowOff>
                  </to>
                </anchor>
              </controlPr>
            </control>
          </mc:Choice>
        </mc:AlternateContent>
        <mc:AlternateContent xmlns:mc="http://schemas.openxmlformats.org/markup-compatibility/2006">
          <mc:Choice Requires="x14">
            <control shapeId="2119" r:id="rId29" name="Scroll Bar 71">
              <controlPr defaultSize="0" print="0" autoPict="0">
                <anchor moveWithCells="1">
                  <from>
                    <xdr:col>23</xdr:col>
                    <xdr:colOff>19050</xdr:colOff>
                    <xdr:row>34</xdr:row>
                    <xdr:rowOff>19050</xdr:rowOff>
                  </from>
                  <to>
                    <xdr:col>23</xdr:col>
                    <xdr:colOff>571500</xdr:colOff>
                    <xdr:row>34</xdr:row>
                    <xdr:rowOff>180975</xdr:rowOff>
                  </to>
                </anchor>
              </controlPr>
            </control>
          </mc:Choice>
        </mc:AlternateContent>
        <mc:AlternateContent xmlns:mc="http://schemas.openxmlformats.org/markup-compatibility/2006">
          <mc:Choice Requires="x14">
            <control shapeId="2120" r:id="rId30" name="Scroll Bar 72">
              <controlPr defaultSize="0" print="0" autoPict="0">
                <anchor moveWithCells="1">
                  <from>
                    <xdr:col>23</xdr:col>
                    <xdr:colOff>19050</xdr:colOff>
                    <xdr:row>35</xdr:row>
                    <xdr:rowOff>19050</xdr:rowOff>
                  </from>
                  <to>
                    <xdr:col>23</xdr:col>
                    <xdr:colOff>571500</xdr:colOff>
                    <xdr:row>35</xdr:row>
                    <xdr:rowOff>180975</xdr:rowOff>
                  </to>
                </anchor>
              </controlPr>
            </control>
          </mc:Choice>
        </mc:AlternateContent>
        <mc:AlternateContent xmlns:mc="http://schemas.openxmlformats.org/markup-compatibility/2006">
          <mc:Choice Requires="x14">
            <control shapeId="2121" r:id="rId31" name="Scroll Bar 73">
              <controlPr defaultSize="0" print="0" autoPict="0">
                <anchor moveWithCells="1">
                  <from>
                    <xdr:col>23</xdr:col>
                    <xdr:colOff>19050</xdr:colOff>
                    <xdr:row>36</xdr:row>
                    <xdr:rowOff>19050</xdr:rowOff>
                  </from>
                  <to>
                    <xdr:col>23</xdr:col>
                    <xdr:colOff>571500</xdr:colOff>
                    <xdr:row>36</xdr:row>
                    <xdr:rowOff>180975</xdr:rowOff>
                  </to>
                </anchor>
              </controlPr>
            </control>
          </mc:Choice>
        </mc:AlternateContent>
        <mc:AlternateContent xmlns:mc="http://schemas.openxmlformats.org/markup-compatibility/2006">
          <mc:Choice Requires="x14">
            <control shapeId="2122" r:id="rId32" name="Scroll Bar 74">
              <controlPr defaultSize="0" print="0" autoPict="0">
                <anchor moveWithCells="1">
                  <from>
                    <xdr:col>23</xdr:col>
                    <xdr:colOff>19050</xdr:colOff>
                    <xdr:row>37</xdr:row>
                    <xdr:rowOff>19050</xdr:rowOff>
                  </from>
                  <to>
                    <xdr:col>23</xdr:col>
                    <xdr:colOff>571500</xdr:colOff>
                    <xdr:row>37</xdr:row>
                    <xdr:rowOff>180975</xdr:rowOff>
                  </to>
                </anchor>
              </controlPr>
            </control>
          </mc:Choice>
        </mc:AlternateContent>
        <mc:AlternateContent xmlns:mc="http://schemas.openxmlformats.org/markup-compatibility/2006">
          <mc:Choice Requires="x14">
            <control shapeId="2123" r:id="rId33" name="Scroll Bar 75">
              <controlPr defaultSize="0" print="0" autoPict="0">
                <anchor moveWithCells="1">
                  <from>
                    <xdr:col>23</xdr:col>
                    <xdr:colOff>19050</xdr:colOff>
                    <xdr:row>38</xdr:row>
                    <xdr:rowOff>19050</xdr:rowOff>
                  </from>
                  <to>
                    <xdr:col>23</xdr:col>
                    <xdr:colOff>571500</xdr:colOff>
                    <xdr:row>38</xdr:row>
                    <xdr:rowOff>180975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BA16AE"/>
  </sheetPr>
  <dimension ref="A1:U115"/>
  <sheetViews>
    <sheetView zoomScale="55" zoomScaleNormal="55" workbookViewId="0">
      <selection activeCell="C44" sqref="C44"/>
    </sheetView>
  </sheetViews>
  <sheetFormatPr defaultColWidth="8.85546875" defaultRowHeight="15"/>
  <cols>
    <col min="1" max="1" width="5" style="56" bestFit="1" customWidth="1"/>
    <col min="2" max="2" width="43.7109375" style="56" customWidth="1"/>
    <col min="3" max="3" width="16.42578125" style="56" customWidth="1"/>
    <col min="4" max="4" width="16.28515625" style="56" customWidth="1"/>
    <col min="5" max="18" width="11.7109375" style="56" customWidth="1"/>
    <col min="19" max="19" width="8.5703125" style="56" bestFit="1" customWidth="1"/>
    <col min="20" max="16384" width="8.85546875" style="56"/>
  </cols>
  <sheetData>
    <row r="1" spans="2:19" ht="24" thickBot="1">
      <c r="B1" s="2356" t="s">
        <v>2033</v>
      </c>
      <c r="F1" s="3193" t="s">
        <v>1749</v>
      </c>
      <c r="G1" s="3194"/>
      <c r="H1" s="3194"/>
      <c r="I1" s="3195"/>
    </row>
    <row r="5" spans="2:19" ht="30">
      <c r="C5" s="2357" t="s">
        <v>2077</v>
      </c>
    </row>
    <row r="6" spans="2:19">
      <c r="B6" s="2358" t="s">
        <v>2078</v>
      </c>
      <c r="C6" s="2359">
        <v>1</v>
      </c>
      <c r="D6" s="2360">
        <v>0.4</v>
      </c>
      <c r="E6" s="2361" t="s">
        <v>2020</v>
      </c>
    </row>
    <row r="7" spans="2:19">
      <c r="B7" s="2362" t="s">
        <v>2079</v>
      </c>
      <c r="C7" s="2363">
        <v>0</v>
      </c>
      <c r="D7" s="2364">
        <v>0.5</v>
      </c>
      <c r="E7" s="2365" t="s">
        <v>2020</v>
      </c>
    </row>
    <row r="8" spans="2:19">
      <c r="D8" s="2366">
        <f>D7+D6</f>
        <v>0.9</v>
      </c>
      <c r="E8" s="2361" t="s">
        <v>2020</v>
      </c>
    </row>
    <row r="9" spans="2:19" ht="15.75" thickBot="1"/>
    <row r="10" spans="2:19" ht="24" thickBot="1">
      <c r="B10" s="2367" t="s">
        <v>2080</v>
      </c>
      <c r="C10" s="2368">
        <v>50</v>
      </c>
      <c r="D10" s="2369" t="s">
        <v>357</v>
      </c>
      <c r="S10" s="2370"/>
    </row>
    <row r="11" spans="2:19" ht="15.75" thickBot="1">
      <c r="B11" s="2371" t="s">
        <v>2081</v>
      </c>
      <c r="C11" s="2372">
        <v>32.5</v>
      </c>
      <c r="D11" s="2373">
        <f t="shared" ref="D11:R14" si="0">$C11</f>
        <v>32.5</v>
      </c>
      <c r="E11" s="2374">
        <f t="shared" si="0"/>
        <v>32.5</v>
      </c>
      <c r="F11" s="2373">
        <f t="shared" si="0"/>
        <v>32.5</v>
      </c>
      <c r="G11" s="2373">
        <f t="shared" si="0"/>
        <v>32.5</v>
      </c>
      <c r="H11" s="2373">
        <f t="shared" si="0"/>
        <v>32.5</v>
      </c>
      <c r="I11" s="2373">
        <f t="shared" si="0"/>
        <v>32.5</v>
      </c>
      <c r="J11" s="2373">
        <f t="shared" si="0"/>
        <v>32.5</v>
      </c>
      <c r="K11" s="2373">
        <f t="shared" si="0"/>
        <v>32.5</v>
      </c>
      <c r="L11" s="2373">
        <f t="shared" si="0"/>
        <v>32.5</v>
      </c>
      <c r="M11" s="2373">
        <f t="shared" si="0"/>
        <v>32.5</v>
      </c>
      <c r="N11" s="2373">
        <f t="shared" si="0"/>
        <v>32.5</v>
      </c>
      <c r="O11" s="2373">
        <f t="shared" si="0"/>
        <v>32.5</v>
      </c>
      <c r="P11" s="2373">
        <f t="shared" si="0"/>
        <v>32.5</v>
      </c>
      <c r="Q11" s="2373">
        <f t="shared" si="0"/>
        <v>32.5</v>
      </c>
      <c r="R11" s="2373">
        <f t="shared" si="0"/>
        <v>32.5</v>
      </c>
      <c r="S11" s="2375" t="s">
        <v>575</v>
      </c>
    </row>
    <row r="12" spans="2:19" ht="15.75" thickBot="1">
      <c r="B12" s="2376" t="s">
        <v>2082</v>
      </c>
      <c r="C12" s="2377">
        <v>27.5</v>
      </c>
      <c r="D12" s="2378">
        <f t="shared" si="0"/>
        <v>27.5</v>
      </c>
      <c r="E12" s="2374">
        <f t="shared" si="0"/>
        <v>27.5</v>
      </c>
      <c r="F12" s="2378">
        <f t="shared" si="0"/>
        <v>27.5</v>
      </c>
      <c r="G12" s="2378">
        <f t="shared" si="0"/>
        <v>27.5</v>
      </c>
      <c r="H12" s="2378">
        <f t="shared" si="0"/>
        <v>27.5</v>
      </c>
      <c r="I12" s="2378">
        <f t="shared" si="0"/>
        <v>27.5</v>
      </c>
      <c r="J12" s="2378">
        <f t="shared" si="0"/>
        <v>27.5</v>
      </c>
      <c r="K12" s="2378">
        <f t="shared" si="0"/>
        <v>27.5</v>
      </c>
      <c r="L12" s="2378">
        <f t="shared" si="0"/>
        <v>27.5</v>
      </c>
      <c r="M12" s="2378">
        <f t="shared" si="0"/>
        <v>27.5</v>
      </c>
      <c r="N12" s="2378">
        <f t="shared" si="0"/>
        <v>27.5</v>
      </c>
      <c r="O12" s="2378">
        <f t="shared" si="0"/>
        <v>27.5</v>
      </c>
      <c r="P12" s="2378">
        <f t="shared" si="0"/>
        <v>27.5</v>
      </c>
      <c r="Q12" s="2378">
        <f t="shared" si="0"/>
        <v>27.5</v>
      </c>
      <c r="R12" s="2378">
        <f t="shared" si="0"/>
        <v>27.5</v>
      </c>
      <c r="S12" s="2379" t="s">
        <v>575</v>
      </c>
    </row>
    <row r="13" spans="2:19">
      <c r="B13" s="2380" t="s">
        <v>2083</v>
      </c>
      <c r="C13" s="2381">
        <v>27.5</v>
      </c>
      <c r="D13" s="2382">
        <f>$C13</f>
        <v>27.5</v>
      </c>
      <c r="E13" s="2383">
        <f t="shared" si="0"/>
        <v>27.5</v>
      </c>
      <c r="F13" s="2383">
        <f t="shared" si="0"/>
        <v>27.5</v>
      </c>
      <c r="G13" s="2383">
        <f t="shared" si="0"/>
        <v>27.5</v>
      </c>
      <c r="H13" s="2383">
        <f t="shared" si="0"/>
        <v>27.5</v>
      </c>
      <c r="I13" s="2383">
        <f t="shared" si="0"/>
        <v>27.5</v>
      </c>
      <c r="J13" s="2383">
        <f t="shared" si="0"/>
        <v>27.5</v>
      </c>
      <c r="K13" s="2383">
        <f t="shared" si="0"/>
        <v>27.5</v>
      </c>
      <c r="L13" s="2383">
        <f t="shared" si="0"/>
        <v>27.5</v>
      </c>
      <c r="M13" s="2383">
        <f t="shared" si="0"/>
        <v>27.5</v>
      </c>
      <c r="N13" s="2383">
        <f t="shared" si="0"/>
        <v>27.5</v>
      </c>
      <c r="O13" s="2383">
        <f t="shared" si="0"/>
        <v>27.5</v>
      </c>
      <c r="P13" s="2383">
        <f t="shared" si="0"/>
        <v>27.5</v>
      </c>
      <c r="Q13" s="2383">
        <f t="shared" si="0"/>
        <v>27.5</v>
      </c>
      <c r="R13" s="2383">
        <f t="shared" si="0"/>
        <v>27.5</v>
      </c>
      <c r="S13" s="2384" t="s">
        <v>575</v>
      </c>
    </row>
    <row r="14" spans="2:19">
      <c r="B14" s="2385" t="s">
        <v>2084</v>
      </c>
      <c r="C14" s="2386">
        <v>36</v>
      </c>
      <c r="D14" s="2382">
        <f>$C14</f>
        <v>36</v>
      </c>
      <c r="E14" s="2383">
        <f t="shared" si="0"/>
        <v>36</v>
      </c>
      <c r="F14" s="2383">
        <f t="shared" si="0"/>
        <v>36</v>
      </c>
      <c r="G14" s="2383">
        <f t="shared" si="0"/>
        <v>36</v>
      </c>
      <c r="H14" s="2383">
        <f t="shared" si="0"/>
        <v>36</v>
      </c>
      <c r="I14" s="2383">
        <f t="shared" si="0"/>
        <v>36</v>
      </c>
      <c r="J14" s="2383">
        <f t="shared" si="0"/>
        <v>36</v>
      </c>
      <c r="K14" s="2383">
        <f t="shared" si="0"/>
        <v>36</v>
      </c>
      <c r="L14" s="2383">
        <f t="shared" si="0"/>
        <v>36</v>
      </c>
      <c r="M14" s="2383">
        <f t="shared" si="0"/>
        <v>36</v>
      </c>
      <c r="N14" s="2383">
        <f t="shared" si="0"/>
        <v>36</v>
      </c>
      <c r="O14" s="2383">
        <f t="shared" si="0"/>
        <v>36</v>
      </c>
      <c r="P14" s="2383">
        <f t="shared" si="0"/>
        <v>36</v>
      </c>
      <c r="Q14" s="2383">
        <f t="shared" si="0"/>
        <v>36</v>
      </c>
      <c r="R14" s="2383">
        <f t="shared" si="0"/>
        <v>36</v>
      </c>
      <c r="S14" s="2387" t="s">
        <v>575</v>
      </c>
    </row>
    <row r="15" spans="2:19" ht="15.75" thickBot="1">
      <c r="B15" s="2385" t="s">
        <v>689</v>
      </c>
      <c r="C15" s="2388">
        <v>113.5</v>
      </c>
      <c r="D15" s="2389">
        <f>$C$15</f>
        <v>113.5</v>
      </c>
      <c r="E15" s="2390">
        <f t="shared" ref="E15:R15" si="1">$C$15</f>
        <v>113.5</v>
      </c>
      <c r="F15" s="2390">
        <f t="shared" si="1"/>
        <v>113.5</v>
      </c>
      <c r="G15" s="2390">
        <f t="shared" si="1"/>
        <v>113.5</v>
      </c>
      <c r="H15" s="2390">
        <f t="shared" si="1"/>
        <v>113.5</v>
      </c>
      <c r="I15" s="2390">
        <f t="shared" si="1"/>
        <v>113.5</v>
      </c>
      <c r="J15" s="2390">
        <f t="shared" si="1"/>
        <v>113.5</v>
      </c>
      <c r="K15" s="2390">
        <f t="shared" si="1"/>
        <v>113.5</v>
      </c>
      <c r="L15" s="2390">
        <f t="shared" si="1"/>
        <v>113.5</v>
      </c>
      <c r="M15" s="2390">
        <f t="shared" si="1"/>
        <v>113.5</v>
      </c>
      <c r="N15" s="2390">
        <f t="shared" si="1"/>
        <v>113.5</v>
      </c>
      <c r="O15" s="2390">
        <f t="shared" si="1"/>
        <v>113.5</v>
      </c>
      <c r="P15" s="2390">
        <f t="shared" si="1"/>
        <v>113.5</v>
      </c>
      <c r="Q15" s="2390">
        <f t="shared" si="1"/>
        <v>113.5</v>
      </c>
      <c r="R15" s="2390">
        <f t="shared" si="1"/>
        <v>113.5</v>
      </c>
      <c r="S15" s="2387" t="s">
        <v>721</v>
      </c>
    </row>
    <row r="16" spans="2:19" ht="14.45" hidden="1" customHeight="1">
      <c r="B16" s="2385" t="s">
        <v>726</v>
      </c>
      <c r="C16" s="2391">
        <f>EXP(SUM(17.27*C13)/(SUM(237.3+C13)))*0.6105-((0.000644*C15)*(C14-C13))</f>
        <v>3.0481680313892991</v>
      </c>
      <c r="D16" s="2392">
        <f>EXP(SUM(17.27*D13)/(SUM(237.3+D13)))*0.6105-((0.000644*D15)*(D14-D13))</f>
        <v>3.0481680313892991</v>
      </c>
      <c r="E16" s="2392">
        <f t="shared" ref="E16:R16" si="2">EXP(SUM(17.27*E13)/(SUM(237.3+E13)))*0.6105-((0.000644*E15)*(E14-E13))</f>
        <v>3.0481680313892991</v>
      </c>
      <c r="F16" s="2392">
        <f t="shared" si="2"/>
        <v>3.0481680313892991</v>
      </c>
      <c r="G16" s="2392">
        <f t="shared" si="2"/>
        <v>3.0481680313892991</v>
      </c>
      <c r="H16" s="2392">
        <f t="shared" si="2"/>
        <v>3.0481680313892991</v>
      </c>
      <c r="I16" s="2392">
        <f t="shared" si="2"/>
        <v>3.0481680313892991</v>
      </c>
      <c r="J16" s="2392">
        <f t="shared" si="2"/>
        <v>3.0481680313892991</v>
      </c>
      <c r="K16" s="2392">
        <f t="shared" si="2"/>
        <v>3.0481680313892991</v>
      </c>
      <c r="L16" s="2392">
        <f t="shared" si="2"/>
        <v>3.0481680313892991</v>
      </c>
      <c r="M16" s="2392">
        <f t="shared" si="2"/>
        <v>3.0481680313892991</v>
      </c>
      <c r="N16" s="2392">
        <f t="shared" si="2"/>
        <v>3.0481680313892991</v>
      </c>
      <c r="O16" s="2392">
        <f t="shared" si="2"/>
        <v>3.0481680313892991</v>
      </c>
      <c r="P16" s="2392">
        <f t="shared" si="2"/>
        <v>3.0481680313892991</v>
      </c>
      <c r="Q16" s="2392">
        <f t="shared" si="2"/>
        <v>3.0481680313892991</v>
      </c>
      <c r="R16" s="2392">
        <f t="shared" si="2"/>
        <v>3.0481680313892991</v>
      </c>
      <c r="S16" s="2387" t="s">
        <v>721</v>
      </c>
    </row>
    <row r="17" spans="2:19" ht="14.45" hidden="1" customHeight="1">
      <c r="B17" s="2393" t="s">
        <v>729</v>
      </c>
      <c r="C17" s="2394">
        <f>SUM((0.622*C16)/(C15-C16))</f>
        <v>1.7165496322984999E-2</v>
      </c>
      <c r="D17" s="2392">
        <f>SUM((0.622*D16)/(D15-D16))</f>
        <v>1.7165496322984999E-2</v>
      </c>
      <c r="E17" s="2392">
        <f t="shared" ref="E17:R17" si="3">SUM((0.622*E16)/(E15-E16))</f>
        <v>1.7165496322984999E-2</v>
      </c>
      <c r="F17" s="2392">
        <f t="shared" si="3"/>
        <v>1.7165496322984999E-2</v>
      </c>
      <c r="G17" s="2392">
        <f t="shared" si="3"/>
        <v>1.7165496322984999E-2</v>
      </c>
      <c r="H17" s="2392">
        <f t="shared" si="3"/>
        <v>1.7165496322984999E-2</v>
      </c>
      <c r="I17" s="2392">
        <f t="shared" si="3"/>
        <v>1.7165496322984999E-2</v>
      </c>
      <c r="J17" s="2392">
        <f t="shared" si="3"/>
        <v>1.7165496322984999E-2</v>
      </c>
      <c r="K17" s="2392">
        <f t="shared" si="3"/>
        <v>1.7165496322984999E-2</v>
      </c>
      <c r="L17" s="2392">
        <f t="shared" si="3"/>
        <v>1.7165496322984999E-2</v>
      </c>
      <c r="M17" s="2392">
        <f t="shared" si="3"/>
        <v>1.7165496322984999E-2</v>
      </c>
      <c r="N17" s="2392">
        <f t="shared" si="3"/>
        <v>1.7165496322984999E-2</v>
      </c>
      <c r="O17" s="2392">
        <f t="shared" si="3"/>
        <v>1.7165496322984999E-2</v>
      </c>
      <c r="P17" s="2392">
        <f t="shared" si="3"/>
        <v>1.7165496322984999E-2</v>
      </c>
      <c r="Q17" s="2392">
        <f t="shared" si="3"/>
        <v>1.7165496322984999E-2</v>
      </c>
      <c r="R17" s="2392">
        <f t="shared" si="3"/>
        <v>1.7165496322984999E-2</v>
      </c>
      <c r="S17" s="2387" t="s">
        <v>730</v>
      </c>
    </row>
    <row r="18" spans="2:19" ht="14.45" hidden="1" customHeight="1">
      <c r="B18" s="2393" t="s">
        <v>733</v>
      </c>
      <c r="C18" s="2395">
        <f>C17*1000</f>
        <v>17.165496322985</v>
      </c>
      <c r="D18" s="2396">
        <f>D17*1000</f>
        <v>17.165496322985</v>
      </c>
      <c r="E18" s="2396">
        <f t="shared" ref="E18:R18" si="4">E17*1000</f>
        <v>17.165496322985</v>
      </c>
      <c r="F18" s="2396">
        <f t="shared" si="4"/>
        <v>17.165496322985</v>
      </c>
      <c r="G18" s="2396">
        <f t="shared" si="4"/>
        <v>17.165496322985</v>
      </c>
      <c r="H18" s="2396">
        <f t="shared" si="4"/>
        <v>17.165496322985</v>
      </c>
      <c r="I18" s="2396">
        <f t="shared" si="4"/>
        <v>17.165496322985</v>
      </c>
      <c r="J18" s="2396">
        <f t="shared" si="4"/>
        <v>17.165496322985</v>
      </c>
      <c r="K18" s="2396">
        <f t="shared" si="4"/>
        <v>17.165496322985</v>
      </c>
      <c r="L18" s="2396">
        <f t="shared" si="4"/>
        <v>17.165496322985</v>
      </c>
      <c r="M18" s="2396">
        <f t="shared" si="4"/>
        <v>17.165496322985</v>
      </c>
      <c r="N18" s="2396">
        <f t="shared" si="4"/>
        <v>17.165496322985</v>
      </c>
      <c r="O18" s="2396">
        <f t="shared" si="4"/>
        <v>17.165496322985</v>
      </c>
      <c r="P18" s="2396">
        <f t="shared" si="4"/>
        <v>17.165496322985</v>
      </c>
      <c r="Q18" s="2396">
        <f t="shared" si="4"/>
        <v>17.165496322985</v>
      </c>
      <c r="R18" s="2396">
        <f t="shared" si="4"/>
        <v>17.165496322985</v>
      </c>
      <c r="S18" s="2387" t="s">
        <v>730</v>
      </c>
    </row>
    <row r="19" spans="2:19" ht="14.45" hidden="1" customHeight="1">
      <c r="B19" s="2385" t="s">
        <v>735</v>
      </c>
      <c r="C19" s="2394">
        <f>SUM((0.287*(273.15+C14))/(C15-C16))</f>
        <v>0.80330084543292168</v>
      </c>
      <c r="D19" s="2392">
        <f>SUM((0.287*(273.15+D14))/(D15-D16))</f>
        <v>0.80330084543292168</v>
      </c>
      <c r="E19" s="2392">
        <f t="shared" ref="E19:R19" si="5">SUM((0.287*(273.15+E14))/(E15-E16))</f>
        <v>0.80330084543292168</v>
      </c>
      <c r="F19" s="2392">
        <f t="shared" si="5"/>
        <v>0.80330084543292168</v>
      </c>
      <c r="G19" s="2392">
        <f t="shared" si="5"/>
        <v>0.80330084543292168</v>
      </c>
      <c r="H19" s="2392">
        <f t="shared" si="5"/>
        <v>0.80330084543292168</v>
      </c>
      <c r="I19" s="2392">
        <f t="shared" si="5"/>
        <v>0.80330084543292168</v>
      </c>
      <c r="J19" s="2392">
        <f t="shared" si="5"/>
        <v>0.80330084543292168</v>
      </c>
      <c r="K19" s="2392">
        <f t="shared" si="5"/>
        <v>0.80330084543292168</v>
      </c>
      <c r="L19" s="2392">
        <f t="shared" si="5"/>
        <v>0.80330084543292168</v>
      </c>
      <c r="M19" s="2392">
        <f t="shared" si="5"/>
        <v>0.80330084543292168</v>
      </c>
      <c r="N19" s="2392">
        <f t="shared" si="5"/>
        <v>0.80330084543292168</v>
      </c>
      <c r="O19" s="2392">
        <f t="shared" si="5"/>
        <v>0.80330084543292168</v>
      </c>
      <c r="P19" s="2392">
        <f t="shared" si="5"/>
        <v>0.80330084543292168</v>
      </c>
      <c r="Q19" s="2392">
        <f t="shared" si="5"/>
        <v>0.80330084543292168</v>
      </c>
      <c r="R19" s="2392">
        <f t="shared" si="5"/>
        <v>0.80330084543292168</v>
      </c>
      <c r="S19" s="2387" t="s">
        <v>736</v>
      </c>
    </row>
    <row r="20" spans="2:19">
      <c r="B20" s="2397" t="s">
        <v>738</v>
      </c>
      <c r="C20" s="2398">
        <f>SUM(1+C17)/C19</f>
        <v>1.2662323239244266</v>
      </c>
      <c r="D20" s="2399">
        <f>SUM(1+D17)/D19</f>
        <v>1.2662323239244266</v>
      </c>
      <c r="E20" s="2399">
        <f t="shared" ref="E20:R20" si="6">SUM(1+E17)/E19</f>
        <v>1.2662323239244266</v>
      </c>
      <c r="F20" s="2399">
        <f t="shared" si="6"/>
        <v>1.2662323239244266</v>
      </c>
      <c r="G20" s="2399">
        <f t="shared" si="6"/>
        <v>1.2662323239244266</v>
      </c>
      <c r="H20" s="2399">
        <f t="shared" si="6"/>
        <v>1.2662323239244266</v>
      </c>
      <c r="I20" s="2399">
        <f t="shared" si="6"/>
        <v>1.2662323239244266</v>
      </c>
      <c r="J20" s="2399">
        <f t="shared" si="6"/>
        <v>1.2662323239244266</v>
      </c>
      <c r="K20" s="2399">
        <f t="shared" si="6"/>
        <v>1.2662323239244266</v>
      </c>
      <c r="L20" s="2399">
        <f t="shared" si="6"/>
        <v>1.2662323239244266</v>
      </c>
      <c r="M20" s="2399">
        <f t="shared" si="6"/>
        <v>1.2662323239244266</v>
      </c>
      <c r="N20" s="2399">
        <f t="shared" si="6"/>
        <v>1.2662323239244266</v>
      </c>
      <c r="O20" s="2399">
        <f t="shared" si="6"/>
        <v>1.2662323239244266</v>
      </c>
      <c r="P20" s="2399">
        <f t="shared" si="6"/>
        <v>1.2662323239244266</v>
      </c>
      <c r="Q20" s="2399">
        <f t="shared" si="6"/>
        <v>1.2662323239244266</v>
      </c>
      <c r="R20" s="2399">
        <f t="shared" si="6"/>
        <v>1.2662323239244266</v>
      </c>
      <c r="S20" s="2400" t="s">
        <v>728</v>
      </c>
    </row>
    <row r="21" spans="2:19">
      <c r="B21" s="2397" t="s">
        <v>740</v>
      </c>
      <c r="C21" s="2398">
        <f>(1.005*C14)+SUM((C17*((1.8*C14)+2501)))</f>
        <v>80.223230465514902</v>
      </c>
      <c r="D21" s="2399">
        <f>(1.005*D14)+SUM((D17*((1.8*D14)+2501)))</f>
        <v>80.223230465514902</v>
      </c>
      <c r="E21" s="2399">
        <f t="shared" ref="E21:R21" si="7">(1.005*E14)+SUM((E17*((1.8*E14)+2501)))</f>
        <v>80.223230465514902</v>
      </c>
      <c r="F21" s="2399">
        <f t="shared" si="7"/>
        <v>80.223230465514902</v>
      </c>
      <c r="G21" s="2399">
        <f t="shared" si="7"/>
        <v>80.223230465514902</v>
      </c>
      <c r="H21" s="2399">
        <f t="shared" si="7"/>
        <v>80.223230465514902</v>
      </c>
      <c r="I21" s="2399">
        <f t="shared" si="7"/>
        <v>80.223230465514902</v>
      </c>
      <c r="J21" s="2399">
        <f t="shared" si="7"/>
        <v>80.223230465514902</v>
      </c>
      <c r="K21" s="2399">
        <f t="shared" si="7"/>
        <v>80.223230465514902</v>
      </c>
      <c r="L21" s="2399">
        <f t="shared" si="7"/>
        <v>80.223230465514902</v>
      </c>
      <c r="M21" s="2399">
        <f t="shared" si="7"/>
        <v>80.223230465514902</v>
      </c>
      <c r="N21" s="2399">
        <f t="shared" si="7"/>
        <v>80.223230465514902</v>
      </c>
      <c r="O21" s="2399">
        <f t="shared" si="7"/>
        <v>80.223230465514902</v>
      </c>
      <c r="P21" s="2399">
        <f t="shared" si="7"/>
        <v>80.223230465514902</v>
      </c>
      <c r="Q21" s="2399">
        <f t="shared" si="7"/>
        <v>80.223230465514902</v>
      </c>
      <c r="R21" s="2399">
        <f t="shared" si="7"/>
        <v>80.223230465514902</v>
      </c>
      <c r="S21" s="2400" t="s">
        <v>724</v>
      </c>
    </row>
    <row r="22" spans="2:19" ht="15.75" thickBot="1">
      <c r="B22" s="2401" t="s">
        <v>741</v>
      </c>
      <c r="C22" s="2402">
        <f>SUM(C21-(C17*(4.18*C13)))</f>
        <v>78.250056663187777</v>
      </c>
      <c r="D22" s="2403">
        <f>SUM(D21-(D17*(4.18*D13)))</f>
        <v>78.250056663187777</v>
      </c>
      <c r="E22" s="2403">
        <f t="shared" ref="E22:R22" si="8">SUM(E21-(E17*(4.18*E13)))</f>
        <v>78.250056663187777</v>
      </c>
      <c r="F22" s="2403">
        <f t="shared" si="8"/>
        <v>78.250056663187777</v>
      </c>
      <c r="G22" s="2403">
        <f t="shared" si="8"/>
        <v>78.250056663187777</v>
      </c>
      <c r="H22" s="2403">
        <f t="shared" si="8"/>
        <v>78.250056663187777</v>
      </c>
      <c r="I22" s="2403">
        <f t="shared" si="8"/>
        <v>78.250056663187777</v>
      </c>
      <c r="J22" s="2403">
        <f t="shared" si="8"/>
        <v>78.250056663187777</v>
      </c>
      <c r="K22" s="2403">
        <f t="shared" si="8"/>
        <v>78.250056663187777</v>
      </c>
      <c r="L22" s="2403">
        <f t="shared" si="8"/>
        <v>78.250056663187777</v>
      </c>
      <c r="M22" s="2403">
        <f t="shared" si="8"/>
        <v>78.250056663187777</v>
      </c>
      <c r="N22" s="2403">
        <f t="shared" si="8"/>
        <v>78.250056663187777</v>
      </c>
      <c r="O22" s="2403">
        <f t="shared" si="8"/>
        <v>78.250056663187777</v>
      </c>
      <c r="P22" s="2403">
        <f t="shared" si="8"/>
        <v>78.250056663187777</v>
      </c>
      <c r="Q22" s="2403">
        <f t="shared" si="8"/>
        <v>78.250056663187777</v>
      </c>
      <c r="R22" s="2403">
        <f t="shared" si="8"/>
        <v>78.250056663187777</v>
      </c>
      <c r="S22" s="2404" t="s">
        <v>724</v>
      </c>
    </row>
    <row r="23" spans="2:19" ht="14.45" hidden="1" customHeight="1">
      <c r="B23" s="2380" t="s">
        <v>743</v>
      </c>
      <c r="C23" s="2405">
        <f>SUM(C16/((EXP(SUM(17.27*C14)/(SUM(237.3+C14))))*0.6105))*100</f>
        <v>51.332554830351725</v>
      </c>
      <c r="D23" s="2406">
        <f>SUM(D16/((EXP(SUM(17.27*D14)/(SUM(237.3+D14))))*0.6105))*100</f>
        <v>51.332554830351725</v>
      </c>
      <c r="E23" s="2406">
        <f t="shared" ref="E23:R23" si="9">SUM(E16/((EXP(SUM(17.27*E14)/(SUM(237.3+E14))))*0.6105))*100</f>
        <v>51.332554830351725</v>
      </c>
      <c r="F23" s="2406">
        <f t="shared" si="9"/>
        <v>51.332554830351725</v>
      </c>
      <c r="G23" s="2406">
        <f t="shared" si="9"/>
        <v>51.332554830351725</v>
      </c>
      <c r="H23" s="2406">
        <f t="shared" si="9"/>
        <v>51.332554830351725</v>
      </c>
      <c r="I23" s="2406">
        <f t="shared" si="9"/>
        <v>51.332554830351725</v>
      </c>
      <c r="J23" s="2406">
        <f t="shared" si="9"/>
        <v>51.332554830351725</v>
      </c>
      <c r="K23" s="2406">
        <f t="shared" si="9"/>
        <v>51.332554830351725</v>
      </c>
      <c r="L23" s="2406">
        <f t="shared" si="9"/>
        <v>51.332554830351725</v>
      </c>
      <c r="M23" s="2406">
        <f t="shared" si="9"/>
        <v>51.332554830351725</v>
      </c>
      <c r="N23" s="2406">
        <f t="shared" si="9"/>
        <v>51.332554830351725</v>
      </c>
      <c r="O23" s="2406">
        <f t="shared" si="9"/>
        <v>51.332554830351725</v>
      </c>
      <c r="P23" s="2406">
        <f t="shared" si="9"/>
        <v>51.332554830351725</v>
      </c>
      <c r="Q23" s="2406">
        <f t="shared" si="9"/>
        <v>51.332554830351725</v>
      </c>
      <c r="R23" s="2406">
        <f t="shared" si="9"/>
        <v>51.332554830351725</v>
      </c>
      <c r="S23" s="2407" t="s">
        <v>211</v>
      </c>
    </row>
    <row r="24" spans="2:19" ht="15" hidden="1" customHeight="1" thickBot="1">
      <c r="B24" s="2408" t="s">
        <v>747</v>
      </c>
      <c r="C24" s="2409">
        <f>SUM(237.3*(LN(C16/0.6105)))/SUM(17.27-(LN(C16/6105)))</f>
        <v>15.341655779844134</v>
      </c>
      <c r="D24" s="2410">
        <f>SUM(237.3*(LN(D16/0.6105)))/SUM(17.27-(LN(D16/6105)))</f>
        <v>15.341655779844134</v>
      </c>
      <c r="E24" s="2410">
        <f t="shared" ref="E24:R24" si="10">SUM(237.3*(LN(E16/0.6105)))/SUM(17.27-(LN(E16/6105)))</f>
        <v>15.341655779844134</v>
      </c>
      <c r="F24" s="2410">
        <f t="shared" si="10"/>
        <v>15.341655779844134</v>
      </c>
      <c r="G24" s="2410">
        <f t="shared" si="10"/>
        <v>15.341655779844134</v>
      </c>
      <c r="H24" s="2410">
        <f t="shared" si="10"/>
        <v>15.341655779844134</v>
      </c>
      <c r="I24" s="2410">
        <f t="shared" si="10"/>
        <v>15.341655779844134</v>
      </c>
      <c r="J24" s="2410">
        <f t="shared" si="10"/>
        <v>15.341655779844134</v>
      </c>
      <c r="K24" s="2410">
        <f t="shared" si="10"/>
        <v>15.341655779844134</v>
      </c>
      <c r="L24" s="2410">
        <f t="shared" si="10"/>
        <v>15.341655779844134</v>
      </c>
      <c r="M24" s="2410">
        <f t="shared" si="10"/>
        <v>15.341655779844134</v>
      </c>
      <c r="N24" s="2410">
        <f t="shared" si="10"/>
        <v>15.341655779844134</v>
      </c>
      <c r="O24" s="2410">
        <f t="shared" si="10"/>
        <v>15.341655779844134</v>
      </c>
      <c r="P24" s="2410">
        <f t="shared" si="10"/>
        <v>15.341655779844134</v>
      </c>
      <c r="Q24" s="2410">
        <f t="shared" si="10"/>
        <v>15.341655779844134</v>
      </c>
      <c r="R24" s="2410">
        <f t="shared" si="10"/>
        <v>15.341655779844134</v>
      </c>
      <c r="S24" s="2411" t="s">
        <v>575</v>
      </c>
    </row>
    <row r="25" spans="2:19" ht="15.75" thickBot="1">
      <c r="B25" s="2412" t="s">
        <v>2023</v>
      </c>
      <c r="C25" s="2413"/>
      <c r="D25" s="2414"/>
      <c r="E25" s="2414"/>
      <c r="F25" s="2414"/>
      <c r="G25" s="2414"/>
      <c r="H25" s="2414"/>
      <c r="I25" s="2414"/>
      <c r="J25" s="2414"/>
      <c r="K25" s="2414"/>
      <c r="L25" s="2414"/>
      <c r="M25" s="2414"/>
      <c r="N25" s="2414"/>
      <c r="O25" s="2414"/>
      <c r="P25" s="2414"/>
      <c r="Q25" s="2414"/>
      <c r="R25" s="2414"/>
      <c r="S25" s="2415"/>
    </row>
    <row r="26" spans="2:19">
      <c r="B26" s="2416" t="s">
        <v>2085</v>
      </c>
      <c r="C26" s="2417">
        <v>23</v>
      </c>
      <c r="D26" s="2382">
        <f t="shared" ref="D26:R27" si="11">$C26</f>
        <v>23</v>
      </c>
      <c r="E26" s="2383">
        <f t="shared" si="11"/>
        <v>23</v>
      </c>
      <c r="F26" s="2383">
        <f t="shared" si="11"/>
        <v>23</v>
      </c>
      <c r="G26" s="2383">
        <f t="shared" si="11"/>
        <v>23</v>
      </c>
      <c r="H26" s="2383">
        <f t="shared" si="11"/>
        <v>23</v>
      </c>
      <c r="I26" s="2383">
        <f t="shared" si="11"/>
        <v>23</v>
      </c>
      <c r="J26" s="2383">
        <f t="shared" si="11"/>
        <v>23</v>
      </c>
      <c r="K26" s="2383">
        <f t="shared" si="11"/>
        <v>23</v>
      </c>
      <c r="L26" s="2383">
        <f t="shared" si="11"/>
        <v>23</v>
      </c>
      <c r="M26" s="2383">
        <f t="shared" si="11"/>
        <v>23</v>
      </c>
      <c r="N26" s="2383">
        <f t="shared" si="11"/>
        <v>23</v>
      </c>
      <c r="O26" s="2383">
        <f t="shared" si="11"/>
        <v>23</v>
      </c>
      <c r="P26" s="2383">
        <f t="shared" si="11"/>
        <v>23</v>
      </c>
      <c r="Q26" s="2383">
        <f t="shared" si="11"/>
        <v>23</v>
      </c>
      <c r="R26" s="2383">
        <f t="shared" si="11"/>
        <v>23</v>
      </c>
      <c r="S26" s="2387" t="s">
        <v>575</v>
      </c>
    </row>
    <row r="27" spans="2:19" ht="15.75" thickBot="1">
      <c r="B27" s="2385" t="s">
        <v>2086</v>
      </c>
      <c r="C27" s="2388">
        <v>30</v>
      </c>
      <c r="D27" s="2382">
        <f t="shared" si="11"/>
        <v>30</v>
      </c>
      <c r="E27" s="2383">
        <f t="shared" si="11"/>
        <v>30</v>
      </c>
      <c r="F27" s="2383">
        <f t="shared" si="11"/>
        <v>30</v>
      </c>
      <c r="G27" s="2383">
        <f t="shared" si="11"/>
        <v>30</v>
      </c>
      <c r="H27" s="2383">
        <f t="shared" si="11"/>
        <v>30</v>
      </c>
      <c r="I27" s="2383">
        <f t="shared" si="11"/>
        <v>30</v>
      </c>
      <c r="J27" s="2383">
        <f t="shared" si="11"/>
        <v>30</v>
      </c>
      <c r="K27" s="2383">
        <f t="shared" si="11"/>
        <v>30</v>
      </c>
      <c r="L27" s="2383">
        <f t="shared" si="11"/>
        <v>30</v>
      </c>
      <c r="M27" s="2383">
        <f t="shared" si="11"/>
        <v>30</v>
      </c>
      <c r="N27" s="2383">
        <f t="shared" si="11"/>
        <v>30</v>
      </c>
      <c r="O27" s="2383">
        <f t="shared" si="11"/>
        <v>30</v>
      </c>
      <c r="P27" s="2383">
        <f t="shared" si="11"/>
        <v>30</v>
      </c>
      <c r="Q27" s="2383">
        <f t="shared" si="11"/>
        <v>30</v>
      </c>
      <c r="R27" s="2383">
        <f t="shared" si="11"/>
        <v>30</v>
      </c>
      <c r="S27" s="2387" t="s">
        <v>575</v>
      </c>
    </row>
    <row r="28" spans="2:19">
      <c r="B28" s="2385" t="s">
        <v>689</v>
      </c>
      <c r="C28" s="2418">
        <f>C15</f>
        <v>113.5</v>
      </c>
      <c r="D28" s="2419">
        <f>$C$28</f>
        <v>113.5</v>
      </c>
      <c r="E28" s="2419">
        <f t="shared" ref="E28:R28" si="12">$C$28</f>
        <v>113.5</v>
      </c>
      <c r="F28" s="2419">
        <f t="shared" si="12"/>
        <v>113.5</v>
      </c>
      <c r="G28" s="2419">
        <f t="shared" si="12"/>
        <v>113.5</v>
      </c>
      <c r="H28" s="2419">
        <f t="shared" si="12"/>
        <v>113.5</v>
      </c>
      <c r="I28" s="2419">
        <f t="shared" si="12"/>
        <v>113.5</v>
      </c>
      <c r="J28" s="2419">
        <f t="shared" si="12"/>
        <v>113.5</v>
      </c>
      <c r="K28" s="2419">
        <f t="shared" si="12"/>
        <v>113.5</v>
      </c>
      <c r="L28" s="2419">
        <f t="shared" si="12"/>
        <v>113.5</v>
      </c>
      <c r="M28" s="2419">
        <f t="shared" si="12"/>
        <v>113.5</v>
      </c>
      <c r="N28" s="2419">
        <f t="shared" si="12"/>
        <v>113.5</v>
      </c>
      <c r="O28" s="2419">
        <f t="shared" si="12"/>
        <v>113.5</v>
      </c>
      <c r="P28" s="2419">
        <f t="shared" si="12"/>
        <v>113.5</v>
      </c>
      <c r="Q28" s="2419">
        <f t="shared" si="12"/>
        <v>113.5</v>
      </c>
      <c r="R28" s="2419">
        <f t="shared" si="12"/>
        <v>113.5</v>
      </c>
      <c r="S28" s="2387" t="s">
        <v>721</v>
      </c>
    </row>
    <row r="29" spans="2:19" ht="14.45" hidden="1" customHeight="1">
      <c r="B29" s="2385" t="s">
        <v>726</v>
      </c>
      <c r="C29" s="2394">
        <f>EXP(SUM(17.27*C26)/(SUM(237.3+C26)))*0.6105-((0.000644*C28)*(C27-C26))</f>
        <v>2.296399741443043</v>
      </c>
      <c r="D29" s="2392">
        <f>EXP(SUM(17.27*D26)/(SUM(237.3+D26)))*0.6105-((0.000644*D28)*(D27-D26))</f>
        <v>2.296399741443043</v>
      </c>
      <c r="E29" s="2392">
        <f t="shared" ref="E29:R29" si="13">EXP(SUM(17.27*E26)/(SUM(237.3+E26)))*0.6105-((0.000644*E28)*(E27-E26))</f>
        <v>2.296399741443043</v>
      </c>
      <c r="F29" s="2392">
        <f t="shared" si="13"/>
        <v>2.296399741443043</v>
      </c>
      <c r="G29" s="2392">
        <f t="shared" si="13"/>
        <v>2.296399741443043</v>
      </c>
      <c r="H29" s="2392">
        <f t="shared" si="13"/>
        <v>2.296399741443043</v>
      </c>
      <c r="I29" s="2392">
        <f t="shared" si="13"/>
        <v>2.296399741443043</v>
      </c>
      <c r="J29" s="2392">
        <f t="shared" si="13"/>
        <v>2.296399741443043</v>
      </c>
      <c r="K29" s="2392">
        <f t="shared" si="13"/>
        <v>2.296399741443043</v>
      </c>
      <c r="L29" s="2392">
        <f t="shared" si="13"/>
        <v>2.296399741443043</v>
      </c>
      <c r="M29" s="2392">
        <f t="shared" si="13"/>
        <v>2.296399741443043</v>
      </c>
      <c r="N29" s="2392">
        <f t="shared" si="13"/>
        <v>2.296399741443043</v>
      </c>
      <c r="O29" s="2392">
        <f t="shared" si="13"/>
        <v>2.296399741443043</v>
      </c>
      <c r="P29" s="2392">
        <f t="shared" si="13"/>
        <v>2.296399741443043</v>
      </c>
      <c r="Q29" s="2392">
        <f t="shared" si="13"/>
        <v>2.296399741443043</v>
      </c>
      <c r="R29" s="2392">
        <f t="shared" si="13"/>
        <v>2.296399741443043</v>
      </c>
      <c r="S29" s="2387" t="s">
        <v>721</v>
      </c>
    </row>
    <row r="30" spans="2:19" ht="14.45" hidden="1" customHeight="1">
      <c r="B30" s="2393" t="s">
        <v>729</v>
      </c>
      <c r="C30" s="2394">
        <f>SUM((0.622*C29)/(C28-C29))</f>
        <v>1.2844553916029013E-2</v>
      </c>
      <c r="D30" s="2392">
        <f>SUM((0.622*D29)/(D28-D29))</f>
        <v>1.2844553916029013E-2</v>
      </c>
      <c r="E30" s="2392">
        <f t="shared" ref="E30:R30" si="14">SUM((0.622*E29)/(E28-E29))</f>
        <v>1.2844553916029013E-2</v>
      </c>
      <c r="F30" s="2392">
        <f t="shared" si="14"/>
        <v>1.2844553916029013E-2</v>
      </c>
      <c r="G30" s="2392">
        <f t="shared" si="14"/>
        <v>1.2844553916029013E-2</v>
      </c>
      <c r="H30" s="2392">
        <f t="shared" si="14"/>
        <v>1.2844553916029013E-2</v>
      </c>
      <c r="I30" s="2392">
        <f t="shared" si="14"/>
        <v>1.2844553916029013E-2</v>
      </c>
      <c r="J30" s="2392">
        <f t="shared" si="14"/>
        <v>1.2844553916029013E-2</v>
      </c>
      <c r="K30" s="2392">
        <f t="shared" si="14"/>
        <v>1.2844553916029013E-2</v>
      </c>
      <c r="L30" s="2392">
        <f t="shared" si="14"/>
        <v>1.2844553916029013E-2</v>
      </c>
      <c r="M30" s="2392">
        <f t="shared" si="14"/>
        <v>1.2844553916029013E-2</v>
      </c>
      <c r="N30" s="2392">
        <f t="shared" si="14"/>
        <v>1.2844553916029013E-2</v>
      </c>
      <c r="O30" s="2392">
        <f t="shared" si="14"/>
        <v>1.2844553916029013E-2</v>
      </c>
      <c r="P30" s="2392">
        <f t="shared" si="14"/>
        <v>1.2844553916029013E-2</v>
      </c>
      <c r="Q30" s="2392">
        <f t="shared" si="14"/>
        <v>1.2844553916029013E-2</v>
      </c>
      <c r="R30" s="2392">
        <f t="shared" si="14"/>
        <v>1.2844553916029013E-2</v>
      </c>
      <c r="S30" s="2387" t="s">
        <v>730</v>
      </c>
    </row>
    <row r="31" spans="2:19" ht="14.45" hidden="1" customHeight="1">
      <c r="B31" s="2393" t="s">
        <v>733</v>
      </c>
      <c r="C31" s="2395">
        <f>C30*1000</f>
        <v>12.844553916029012</v>
      </c>
      <c r="D31" s="2396">
        <f>D30*1000</f>
        <v>12.844553916029012</v>
      </c>
      <c r="E31" s="2396">
        <f t="shared" ref="E31:R31" si="15">E30*1000</f>
        <v>12.844553916029012</v>
      </c>
      <c r="F31" s="2396">
        <f t="shared" si="15"/>
        <v>12.844553916029012</v>
      </c>
      <c r="G31" s="2396">
        <f t="shared" si="15"/>
        <v>12.844553916029012</v>
      </c>
      <c r="H31" s="2396">
        <f t="shared" si="15"/>
        <v>12.844553916029012</v>
      </c>
      <c r="I31" s="2396">
        <f t="shared" si="15"/>
        <v>12.844553916029012</v>
      </c>
      <c r="J31" s="2396">
        <f t="shared" si="15"/>
        <v>12.844553916029012</v>
      </c>
      <c r="K31" s="2396">
        <f t="shared" si="15"/>
        <v>12.844553916029012</v>
      </c>
      <c r="L31" s="2396">
        <f t="shared" si="15"/>
        <v>12.844553916029012</v>
      </c>
      <c r="M31" s="2396">
        <f t="shared" si="15"/>
        <v>12.844553916029012</v>
      </c>
      <c r="N31" s="2396">
        <f t="shared" si="15"/>
        <v>12.844553916029012</v>
      </c>
      <c r="O31" s="2396">
        <f t="shared" si="15"/>
        <v>12.844553916029012</v>
      </c>
      <c r="P31" s="2396">
        <f t="shared" si="15"/>
        <v>12.844553916029012</v>
      </c>
      <c r="Q31" s="2396">
        <f t="shared" si="15"/>
        <v>12.844553916029012</v>
      </c>
      <c r="R31" s="2396">
        <f t="shared" si="15"/>
        <v>12.844553916029012</v>
      </c>
      <c r="S31" s="2387" t="s">
        <v>730</v>
      </c>
    </row>
    <row r="32" spans="2:19" ht="14.45" hidden="1" customHeight="1">
      <c r="B32" s="2385" t="s">
        <v>735</v>
      </c>
      <c r="C32" s="2394">
        <f>SUM((0.287*(273.15+C27))/(C28-C29))</f>
        <v>0.78238519074660218</v>
      </c>
      <c r="D32" s="2392">
        <f>SUM((0.287*(273.15+D27))/(D28-D29))</f>
        <v>0.78238519074660218</v>
      </c>
      <c r="E32" s="2392">
        <f t="shared" ref="E32:R32" si="16">SUM((0.287*(273.15+E27))/(E28-E29))</f>
        <v>0.78238519074660218</v>
      </c>
      <c r="F32" s="2392">
        <f t="shared" si="16"/>
        <v>0.78238519074660218</v>
      </c>
      <c r="G32" s="2392">
        <f t="shared" si="16"/>
        <v>0.78238519074660218</v>
      </c>
      <c r="H32" s="2392">
        <f t="shared" si="16"/>
        <v>0.78238519074660218</v>
      </c>
      <c r="I32" s="2392">
        <f t="shared" si="16"/>
        <v>0.78238519074660218</v>
      </c>
      <c r="J32" s="2392">
        <f t="shared" si="16"/>
        <v>0.78238519074660218</v>
      </c>
      <c r="K32" s="2392">
        <f t="shared" si="16"/>
        <v>0.78238519074660218</v>
      </c>
      <c r="L32" s="2392">
        <f t="shared" si="16"/>
        <v>0.78238519074660218</v>
      </c>
      <c r="M32" s="2392">
        <f t="shared" si="16"/>
        <v>0.78238519074660218</v>
      </c>
      <c r="N32" s="2392">
        <f t="shared" si="16"/>
        <v>0.78238519074660218</v>
      </c>
      <c r="O32" s="2392">
        <f t="shared" si="16"/>
        <v>0.78238519074660218</v>
      </c>
      <c r="P32" s="2392">
        <f t="shared" si="16"/>
        <v>0.78238519074660218</v>
      </c>
      <c r="Q32" s="2392">
        <f t="shared" si="16"/>
        <v>0.78238519074660218</v>
      </c>
      <c r="R32" s="2392">
        <f t="shared" si="16"/>
        <v>0.78238519074660218</v>
      </c>
      <c r="S32" s="2387" t="s">
        <v>736</v>
      </c>
    </row>
    <row r="33" spans="2:19">
      <c r="B33" s="2397" t="s">
        <v>738</v>
      </c>
      <c r="C33" s="2398">
        <f>SUM(1+C30)/C32</f>
        <v>1.2945599762049533</v>
      </c>
      <c r="D33" s="2399">
        <f>SUM(1+D30)/D32</f>
        <v>1.2945599762049533</v>
      </c>
      <c r="E33" s="2399">
        <f t="shared" ref="E33:R33" si="17">SUM(1+E30)/E32</f>
        <v>1.2945599762049533</v>
      </c>
      <c r="F33" s="2399">
        <f t="shared" si="17"/>
        <v>1.2945599762049533</v>
      </c>
      <c r="G33" s="2399">
        <f t="shared" si="17"/>
        <v>1.2945599762049533</v>
      </c>
      <c r="H33" s="2399">
        <f t="shared" si="17"/>
        <v>1.2945599762049533</v>
      </c>
      <c r="I33" s="2399">
        <f t="shared" si="17"/>
        <v>1.2945599762049533</v>
      </c>
      <c r="J33" s="2399">
        <f t="shared" si="17"/>
        <v>1.2945599762049533</v>
      </c>
      <c r="K33" s="2399">
        <f t="shared" si="17"/>
        <v>1.2945599762049533</v>
      </c>
      <c r="L33" s="2399">
        <f t="shared" si="17"/>
        <v>1.2945599762049533</v>
      </c>
      <c r="M33" s="2399">
        <f t="shared" si="17"/>
        <v>1.2945599762049533</v>
      </c>
      <c r="N33" s="2399">
        <f t="shared" si="17"/>
        <v>1.2945599762049533</v>
      </c>
      <c r="O33" s="2399">
        <f t="shared" si="17"/>
        <v>1.2945599762049533</v>
      </c>
      <c r="P33" s="2399">
        <f t="shared" si="17"/>
        <v>1.2945599762049533</v>
      </c>
      <c r="Q33" s="2399">
        <f t="shared" si="17"/>
        <v>1.2945599762049533</v>
      </c>
      <c r="R33" s="2399">
        <f t="shared" si="17"/>
        <v>1.2945599762049533</v>
      </c>
      <c r="S33" s="2400" t="s">
        <v>728</v>
      </c>
    </row>
    <row r="34" spans="2:19">
      <c r="B34" s="2397" t="s">
        <v>740</v>
      </c>
      <c r="C34" s="2398">
        <f>(1.005*C27)+SUM((C30*((1.8*C27)+2501)))</f>
        <v>62.967835255454126</v>
      </c>
      <c r="D34" s="2399">
        <f>(1.005*D27)+SUM((D30*((1.8*D27)+2501)))</f>
        <v>62.967835255454126</v>
      </c>
      <c r="E34" s="2399">
        <f t="shared" ref="E34:R34" si="18">(1.005*E27)+SUM((E30*((1.8*E27)+2501)))</f>
        <v>62.967835255454126</v>
      </c>
      <c r="F34" s="2399">
        <f t="shared" si="18"/>
        <v>62.967835255454126</v>
      </c>
      <c r="G34" s="2399">
        <f t="shared" si="18"/>
        <v>62.967835255454126</v>
      </c>
      <c r="H34" s="2399">
        <f t="shared" si="18"/>
        <v>62.967835255454126</v>
      </c>
      <c r="I34" s="2399">
        <f t="shared" si="18"/>
        <v>62.967835255454126</v>
      </c>
      <c r="J34" s="2399">
        <f t="shared" si="18"/>
        <v>62.967835255454126</v>
      </c>
      <c r="K34" s="2399">
        <f t="shared" si="18"/>
        <v>62.967835255454126</v>
      </c>
      <c r="L34" s="2399">
        <f t="shared" si="18"/>
        <v>62.967835255454126</v>
      </c>
      <c r="M34" s="2399">
        <f t="shared" si="18"/>
        <v>62.967835255454126</v>
      </c>
      <c r="N34" s="2399">
        <f t="shared" si="18"/>
        <v>62.967835255454126</v>
      </c>
      <c r="O34" s="2399">
        <f t="shared" si="18"/>
        <v>62.967835255454126</v>
      </c>
      <c r="P34" s="2399">
        <f t="shared" si="18"/>
        <v>62.967835255454126</v>
      </c>
      <c r="Q34" s="2399">
        <f t="shared" si="18"/>
        <v>62.967835255454126</v>
      </c>
      <c r="R34" s="2399">
        <f t="shared" si="18"/>
        <v>62.967835255454126</v>
      </c>
      <c r="S34" s="2400" t="s">
        <v>724</v>
      </c>
    </row>
    <row r="35" spans="2:19" ht="15.75" thickBot="1">
      <c r="B35" s="2401" t="s">
        <v>741</v>
      </c>
      <c r="C35" s="2402">
        <f>SUM(C34-(C30*(4.18*C26)))</f>
        <v>61.732959841967094</v>
      </c>
      <c r="D35" s="2403">
        <f>SUM(D34-(D30*(4.18*D26)))</f>
        <v>61.732959841967094</v>
      </c>
      <c r="E35" s="2403">
        <f t="shared" ref="E35:R35" si="19">SUM(E34-(E30*(4.18*E26)))</f>
        <v>61.732959841967094</v>
      </c>
      <c r="F35" s="2403">
        <f t="shared" si="19"/>
        <v>61.732959841967094</v>
      </c>
      <c r="G35" s="2403">
        <f t="shared" si="19"/>
        <v>61.732959841967094</v>
      </c>
      <c r="H35" s="2403">
        <f t="shared" si="19"/>
        <v>61.732959841967094</v>
      </c>
      <c r="I35" s="2403">
        <f t="shared" si="19"/>
        <v>61.732959841967094</v>
      </c>
      <c r="J35" s="2403">
        <f t="shared" si="19"/>
        <v>61.732959841967094</v>
      </c>
      <c r="K35" s="2403">
        <f t="shared" si="19"/>
        <v>61.732959841967094</v>
      </c>
      <c r="L35" s="2403">
        <f t="shared" si="19"/>
        <v>61.732959841967094</v>
      </c>
      <c r="M35" s="2403">
        <f t="shared" si="19"/>
        <v>61.732959841967094</v>
      </c>
      <c r="N35" s="2403">
        <f t="shared" si="19"/>
        <v>61.732959841967094</v>
      </c>
      <c r="O35" s="2403">
        <f t="shared" si="19"/>
        <v>61.732959841967094</v>
      </c>
      <c r="P35" s="2403">
        <f t="shared" si="19"/>
        <v>61.732959841967094</v>
      </c>
      <c r="Q35" s="2403">
        <f t="shared" si="19"/>
        <v>61.732959841967094</v>
      </c>
      <c r="R35" s="2403">
        <f t="shared" si="19"/>
        <v>61.732959841967094</v>
      </c>
      <c r="S35" s="2404" t="s">
        <v>724</v>
      </c>
    </row>
    <row r="36" spans="2:19" ht="14.45" hidden="1" customHeight="1">
      <c r="B36" s="2380" t="s">
        <v>743</v>
      </c>
      <c r="C36" s="2405">
        <f>SUM(C29/((EXP(SUM(17.27*C27)/(SUM(237.3+C27))))*0.6105))*100</f>
        <v>54.14784269361185</v>
      </c>
      <c r="D36" s="2406">
        <f>SUM(D29/((EXP(SUM(17.27*D27)/(SUM(237.3+D27))))*0.6105))*100</f>
        <v>54.14784269361185</v>
      </c>
      <c r="E36" s="2406">
        <f t="shared" ref="E36:R36" si="20">SUM(E29/((EXP(SUM(17.27*E27)/(SUM(237.3+E27))))*0.6105))*100</f>
        <v>54.14784269361185</v>
      </c>
      <c r="F36" s="2406">
        <f t="shared" si="20"/>
        <v>54.14784269361185</v>
      </c>
      <c r="G36" s="2406">
        <f t="shared" si="20"/>
        <v>54.14784269361185</v>
      </c>
      <c r="H36" s="2406">
        <f t="shared" si="20"/>
        <v>54.14784269361185</v>
      </c>
      <c r="I36" s="2406">
        <f t="shared" si="20"/>
        <v>54.14784269361185</v>
      </c>
      <c r="J36" s="2406">
        <f t="shared" si="20"/>
        <v>54.14784269361185</v>
      </c>
      <c r="K36" s="2406">
        <f t="shared" si="20"/>
        <v>54.14784269361185</v>
      </c>
      <c r="L36" s="2406">
        <f t="shared" si="20"/>
        <v>54.14784269361185</v>
      </c>
      <c r="M36" s="2406">
        <f t="shared" si="20"/>
        <v>54.14784269361185</v>
      </c>
      <c r="N36" s="2406">
        <f t="shared" si="20"/>
        <v>54.14784269361185</v>
      </c>
      <c r="O36" s="2406">
        <f t="shared" si="20"/>
        <v>54.14784269361185</v>
      </c>
      <c r="P36" s="2406">
        <f t="shared" si="20"/>
        <v>54.14784269361185</v>
      </c>
      <c r="Q36" s="2406">
        <f t="shared" si="20"/>
        <v>54.14784269361185</v>
      </c>
      <c r="R36" s="2406">
        <f t="shared" si="20"/>
        <v>54.14784269361185</v>
      </c>
      <c r="S36" s="2407" t="s">
        <v>211</v>
      </c>
    </row>
    <row r="37" spans="2:19" ht="15" hidden="1" customHeight="1" thickBot="1">
      <c r="B37" s="2408" t="s">
        <v>747</v>
      </c>
      <c r="C37" s="2409">
        <f>SUM(237.3*(LN(C29/0.6105)))/SUM(17.27-(LN(C29/6105)))</f>
        <v>12.497442687711017</v>
      </c>
      <c r="D37" s="2410">
        <f>SUM(237.3*(LN(D29/0.6105)))/SUM(17.27-(LN(D29/6105)))</f>
        <v>12.497442687711017</v>
      </c>
      <c r="E37" s="2410">
        <f t="shared" ref="E37:R37" si="21">SUM(237.3*(LN(E29/0.6105)))/SUM(17.27-(LN(E29/6105)))</f>
        <v>12.497442687711017</v>
      </c>
      <c r="F37" s="2410">
        <f t="shared" si="21"/>
        <v>12.497442687711017</v>
      </c>
      <c r="G37" s="2410">
        <f t="shared" si="21"/>
        <v>12.497442687711017</v>
      </c>
      <c r="H37" s="2410">
        <f t="shared" si="21"/>
        <v>12.497442687711017</v>
      </c>
      <c r="I37" s="2410">
        <f t="shared" si="21"/>
        <v>12.497442687711017</v>
      </c>
      <c r="J37" s="2410">
        <f t="shared" si="21"/>
        <v>12.497442687711017</v>
      </c>
      <c r="K37" s="2410">
        <f t="shared" si="21"/>
        <v>12.497442687711017</v>
      </c>
      <c r="L37" s="2410">
        <f t="shared" si="21"/>
        <v>12.497442687711017</v>
      </c>
      <c r="M37" s="2410">
        <f t="shared" si="21"/>
        <v>12.497442687711017</v>
      </c>
      <c r="N37" s="2410">
        <f t="shared" si="21"/>
        <v>12.497442687711017</v>
      </c>
      <c r="O37" s="2410">
        <f t="shared" si="21"/>
        <v>12.497442687711017</v>
      </c>
      <c r="P37" s="2410">
        <f t="shared" si="21"/>
        <v>12.497442687711017</v>
      </c>
      <c r="Q37" s="2410">
        <f t="shared" si="21"/>
        <v>12.497442687711017</v>
      </c>
      <c r="R37" s="2410">
        <f t="shared" si="21"/>
        <v>12.497442687711017</v>
      </c>
      <c r="S37" s="2411" t="s">
        <v>575</v>
      </c>
    </row>
    <row r="38" spans="2:19">
      <c r="B38" s="2420" t="s">
        <v>2087</v>
      </c>
      <c r="C38" s="2421">
        <f>D6*C6</f>
        <v>0.4</v>
      </c>
      <c r="D38" s="2422">
        <f>$C38</f>
        <v>0.4</v>
      </c>
      <c r="E38" s="2423">
        <f t="shared" ref="E38:R39" si="22">$C38</f>
        <v>0.4</v>
      </c>
      <c r="F38" s="2423">
        <f t="shared" si="22"/>
        <v>0.4</v>
      </c>
      <c r="G38" s="2423">
        <f t="shared" si="22"/>
        <v>0.4</v>
      </c>
      <c r="H38" s="2423">
        <f t="shared" si="22"/>
        <v>0.4</v>
      </c>
      <c r="I38" s="2423">
        <f t="shared" si="22"/>
        <v>0.4</v>
      </c>
      <c r="J38" s="2423">
        <f t="shared" si="22"/>
        <v>0.4</v>
      </c>
      <c r="K38" s="2423">
        <f t="shared" si="22"/>
        <v>0.4</v>
      </c>
      <c r="L38" s="2423">
        <f t="shared" si="22"/>
        <v>0.4</v>
      </c>
      <c r="M38" s="2423">
        <f t="shared" si="22"/>
        <v>0.4</v>
      </c>
      <c r="N38" s="2423">
        <f t="shared" si="22"/>
        <v>0.4</v>
      </c>
      <c r="O38" s="2423">
        <f t="shared" si="22"/>
        <v>0.4</v>
      </c>
      <c r="P38" s="2423">
        <f t="shared" si="22"/>
        <v>0.4</v>
      </c>
      <c r="Q38" s="2423">
        <f t="shared" si="22"/>
        <v>0.4</v>
      </c>
      <c r="R38" s="2423">
        <f t="shared" si="22"/>
        <v>0.4</v>
      </c>
      <c r="S38" s="2196" t="s">
        <v>2020</v>
      </c>
    </row>
    <row r="39" spans="2:19">
      <c r="B39" s="2424" t="s">
        <v>2088</v>
      </c>
      <c r="C39" s="2425">
        <f>D7*C7</f>
        <v>0</v>
      </c>
      <c r="D39" s="2426">
        <f>$C39</f>
        <v>0</v>
      </c>
      <c r="E39" s="2427">
        <f t="shared" si="22"/>
        <v>0</v>
      </c>
      <c r="F39" s="2427">
        <f t="shared" si="22"/>
        <v>0</v>
      </c>
      <c r="G39" s="2427">
        <f t="shared" si="22"/>
        <v>0</v>
      </c>
      <c r="H39" s="2427">
        <f t="shared" si="22"/>
        <v>0</v>
      </c>
      <c r="I39" s="2427">
        <f t="shared" si="22"/>
        <v>0</v>
      </c>
      <c r="J39" s="2427">
        <f t="shared" si="22"/>
        <v>0</v>
      </c>
      <c r="K39" s="2427">
        <f t="shared" si="22"/>
        <v>0</v>
      </c>
      <c r="L39" s="2427">
        <f t="shared" si="22"/>
        <v>0</v>
      </c>
      <c r="M39" s="2427">
        <f t="shared" si="22"/>
        <v>0</v>
      </c>
      <c r="N39" s="2427">
        <f t="shared" si="22"/>
        <v>0</v>
      </c>
      <c r="O39" s="2427">
        <f t="shared" si="22"/>
        <v>0</v>
      </c>
      <c r="P39" s="2427">
        <f t="shared" si="22"/>
        <v>0</v>
      </c>
      <c r="Q39" s="2427">
        <f t="shared" si="22"/>
        <v>0</v>
      </c>
      <c r="R39" s="2427">
        <f t="shared" si="22"/>
        <v>0</v>
      </c>
      <c r="S39" s="2198" t="s">
        <v>2020</v>
      </c>
    </row>
    <row r="40" spans="2:19" ht="15.75" thickBot="1">
      <c r="B40" s="2428" t="s">
        <v>2018</v>
      </c>
      <c r="C40" s="2429">
        <f>C10</f>
        <v>50</v>
      </c>
      <c r="D40" s="2430">
        <f t="shared" ref="D40:R40" si="23">C40+$C$10</f>
        <v>100</v>
      </c>
      <c r="E40" s="2431">
        <f t="shared" si="23"/>
        <v>150</v>
      </c>
      <c r="F40" s="2431">
        <f t="shared" si="23"/>
        <v>200</v>
      </c>
      <c r="G40" s="2431">
        <f t="shared" si="23"/>
        <v>250</v>
      </c>
      <c r="H40" s="2431">
        <f t="shared" si="23"/>
        <v>300</v>
      </c>
      <c r="I40" s="2431">
        <f t="shared" si="23"/>
        <v>350</v>
      </c>
      <c r="J40" s="2431">
        <f t="shared" si="23"/>
        <v>400</v>
      </c>
      <c r="K40" s="2431">
        <f t="shared" si="23"/>
        <v>450</v>
      </c>
      <c r="L40" s="2431">
        <f t="shared" si="23"/>
        <v>500</v>
      </c>
      <c r="M40" s="2431">
        <f t="shared" si="23"/>
        <v>550</v>
      </c>
      <c r="N40" s="2431">
        <f t="shared" si="23"/>
        <v>600</v>
      </c>
      <c r="O40" s="2431">
        <f t="shared" si="23"/>
        <v>650</v>
      </c>
      <c r="P40" s="2431">
        <f t="shared" si="23"/>
        <v>700</v>
      </c>
      <c r="Q40" s="2431">
        <f t="shared" si="23"/>
        <v>750</v>
      </c>
      <c r="R40" s="2431">
        <f t="shared" si="23"/>
        <v>800</v>
      </c>
      <c r="S40" s="2432" t="s">
        <v>357</v>
      </c>
    </row>
    <row r="41" spans="2:19" ht="15.75" thickBot="1">
      <c r="B41" s="2433" t="s">
        <v>2089</v>
      </c>
      <c r="C41" s="2434">
        <f>C40*C38</f>
        <v>20</v>
      </c>
      <c r="D41" s="2435">
        <f t="shared" ref="D41:R41" si="24">D40*D38</f>
        <v>40</v>
      </c>
      <c r="E41" s="2435">
        <f t="shared" si="24"/>
        <v>60</v>
      </c>
      <c r="F41" s="2435">
        <f t="shared" si="24"/>
        <v>80</v>
      </c>
      <c r="G41" s="2435">
        <f t="shared" si="24"/>
        <v>100</v>
      </c>
      <c r="H41" s="2435">
        <f t="shared" si="24"/>
        <v>120</v>
      </c>
      <c r="I41" s="2435">
        <f t="shared" si="24"/>
        <v>140</v>
      </c>
      <c r="J41" s="2435">
        <f t="shared" si="24"/>
        <v>160</v>
      </c>
      <c r="K41" s="2435">
        <f t="shared" si="24"/>
        <v>180</v>
      </c>
      <c r="L41" s="2435">
        <f t="shared" si="24"/>
        <v>200</v>
      </c>
      <c r="M41" s="2435">
        <f t="shared" si="24"/>
        <v>220</v>
      </c>
      <c r="N41" s="2435">
        <f t="shared" si="24"/>
        <v>240</v>
      </c>
      <c r="O41" s="2435">
        <f t="shared" si="24"/>
        <v>260</v>
      </c>
      <c r="P41" s="2435">
        <f t="shared" si="24"/>
        <v>280</v>
      </c>
      <c r="Q41" s="2435">
        <f t="shared" si="24"/>
        <v>300</v>
      </c>
      <c r="R41" s="2436">
        <f t="shared" si="24"/>
        <v>320</v>
      </c>
      <c r="S41" s="2207" t="s">
        <v>218</v>
      </c>
    </row>
    <row r="42" spans="2:19" ht="15.75" thickBot="1">
      <c r="B42" s="2437" t="s">
        <v>2090</v>
      </c>
      <c r="C42" s="2438">
        <f>C40*C39</f>
        <v>0</v>
      </c>
      <c r="D42" s="2439">
        <f t="shared" ref="D42:R42" si="25">D40*D39</f>
        <v>0</v>
      </c>
      <c r="E42" s="2439">
        <f t="shared" si="25"/>
        <v>0</v>
      </c>
      <c r="F42" s="2439">
        <f t="shared" si="25"/>
        <v>0</v>
      </c>
      <c r="G42" s="2439">
        <f t="shared" si="25"/>
        <v>0</v>
      </c>
      <c r="H42" s="2439">
        <f t="shared" si="25"/>
        <v>0</v>
      </c>
      <c r="I42" s="2439">
        <f t="shared" si="25"/>
        <v>0</v>
      </c>
      <c r="J42" s="2439">
        <f t="shared" si="25"/>
        <v>0</v>
      </c>
      <c r="K42" s="2439">
        <f t="shared" si="25"/>
        <v>0</v>
      </c>
      <c r="L42" s="2439">
        <f t="shared" si="25"/>
        <v>0</v>
      </c>
      <c r="M42" s="2439">
        <f t="shared" si="25"/>
        <v>0</v>
      </c>
      <c r="N42" s="2439">
        <f t="shared" si="25"/>
        <v>0</v>
      </c>
      <c r="O42" s="2439">
        <f t="shared" si="25"/>
        <v>0</v>
      </c>
      <c r="P42" s="2439">
        <f t="shared" si="25"/>
        <v>0</v>
      </c>
      <c r="Q42" s="2439">
        <f t="shared" si="25"/>
        <v>0</v>
      </c>
      <c r="R42" s="2440">
        <f t="shared" si="25"/>
        <v>0</v>
      </c>
      <c r="S42" s="2201" t="s">
        <v>218</v>
      </c>
    </row>
    <row r="43" spans="2:19">
      <c r="B43" s="2424" t="s">
        <v>2017</v>
      </c>
      <c r="C43" s="2441">
        <v>256</v>
      </c>
      <c r="D43" s="2442">
        <f>$C43</f>
        <v>256</v>
      </c>
      <c r="E43" s="2442">
        <f t="shared" ref="E43:R45" si="26">$C43</f>
        <v>256</v>
      </c>
      <c r="F43" s="2442">
        <f t="shared" si="26"/>
        <v>256</v>
      </c>
      <c r="G43" s="2442">
        <f t="shared" si="26"/>
        <v>256</v>
      </c>
      <c r="H43" s="2442">
        <f t="shared" si="26"/>
        <v>256</v>
      </c>
      <c r="I43" s="2442">
        <f t="shared" si="26"/>
        <v>256</v>
      </c>
      <c r="J43" s="2442">
        <f t="shared" si="26"/>
        <v>256</v>
      </c>
      <c r="K43" s="2442">
        <f t="shared" si="26"/>
        <v>256</v>
      </c>
      <c r="L43" s="2442">
        <f t="shared" si="26"/>
        <v>256</v>
      </c>
      <c r="M43" s="2442">
        <f t="shared" si="26"/>
        <v>256</v>
      </c>
      <c r="N43" s="2442">
        <f t="shared" si="26"/>
        <v>256</v>
      </c>
      <c r="O43" s="2442">
        <f t="shared" si="26"/>
        <v>256</v>
      </c>
      <c r="P43" s="2442">
        <f t="shared" si="26"/>
        <v>256</v>
      </c>
      <c r="Q43" s="2442">
        <f t="shared" si="26"/>
        <v>256</v>
      </c>
      <c r="R43" s="2442">
        <f t="shared" si="26"/>
        <v>256</v>
      </c>
      <c r="S43" s="2203" t="s">
        <v>218</v>
      </c>
    </row>
    <row r="44" spans="2:19">
      <c r="B44" s="2443" t="s">
        <v>2022</v>
      </c>
      <c r="C44" s="2444">
        <v>1.5</v>
      </c>
      <c r="D44" s="2383">
        <f>$C44</f>
        <v>1.5</v>
      </c>
      <c r="E44" s="2383">
        <f t="shared" si="26"/>
        <v>1.5</v>
      </c>
      <c r="F44" s="2383">
        <f t="shared" si="26"/>
        <v>1.5</v>
      </c>
      <c r="G44" s="2383">
        <f t="shared" si="26"/>
        <v>1.5</v>
      </c>
      <c r="H44" s="2383">
        <f t="shared" si="26"/>
        <v>1.5</v>
      </c>
      <c r="I44" s="2383">
        <f t="shared" si="26"/>
        <v>1.5</v>
      </c>
      <c r="J44" s="2383">
        <f t="shared" si="26"/>
        <v>1.5</v>
      </c>
      <c r="K44" s="2383">
        <f t="shared" si="26"/>
        <v>1.5</v>
      </c>
      <c r="L44" s="2383">
        <f t="shared" si="26"/>
        <v>1.5</v>
      </c>
      <c r="M44" s="2383">
        <f t="shared" si="26"/>
        <v>1.5</v>
      </c>
      <c r="N44" s="2383">
        <f t="shared" si="26"/>
        <v>1.5</v>
      </c>
      <c r="O44" s="2383">
        <f t="shared" si="26"/>
        <v>1.5</v>
      </c>
      <c r="P44" s="2383">
        <f t="shared" si="26"/>
        <v>1.5</v>
      </c>
      <c r="Q44" s="2383">
        <f t="shared" si="26"/>
        <v>1.5</v>
      </c>
      <c r="R44" s="2383">
        <f t="shared" si="26"/>
        <v>1.5</v>
      </c>
      <c r="S44" s="2168"/>
    </row>
    <row r="45" spans="2:19" ht="15.75" thickBot="1">
      <c r="B45" s="2445" t="s">
        <v>2091</v>
      </c>
      <c r="C45" s="2446">
        <v>55</v>
      </c>
      <c r="D45" s="2442">
        <f>$C45</f>
        <v>55</v>
      </c>
      <c r="E45" s="2442">
        <f t="shared" si="26"/>
        <v>55</v>
      </c>
      <c r="F45" s="2442">
        <f t="shared" si="26"/>
        <v>55</v>
      </c>
      <c r="G45" s="2442">
        <f t="shared" si="26"/>
        <v>55</v>
      </c>
      <c r="H45" s="2442">
        <f t="shared" si="26"/>
        <v>55</v>
      </c>
      <c r="I45" s="2442">
        <f t="shared" si="26"/>
        <v>55</v>
      </c>
      <c r="J45" s="2442">
        <f t="shared" si="26"/>
        <v>55</v>
      </c>
      <c r="K45" s="2442">
        <f t="shared" si="26"/>
        <v>55</v>
      </c>
      <c r="L45" s="2442">
        <f t="shared" si="26"/>
        <v>55</v>
      </c>
      <c r="M45" s="2442">
        <f t="shared" si="26"/>
        <v>55</v>
      </c>
      <c r="N45" s="2442">
        <f t="shared" si="26"/>
        <v>55</v>
      </c>
      <c r="O45" s="2442">
        <f t="shared" si="26"/>
        <v>55</v>
      </c>
      <c r="P45" s="2442">
        <f t="shared" si="26"/>
        <v>55</v>
      </c>
      <c r="Q45" s="2442">
        <f t="shared" si="26"/>
        <v>55</v>
      </c>
      <c r="R45" s="2442">
        <f t="shared" si="26"/>
        <v>55</v>
      </c>
      <c r="S45" s="2168" t="s">
        <v>218</v>
      </c>
    </row>
    <row r="46" spans="2:19" ht="15.75" thickBot="1">
      <c r="B46" s="2433" t="s">
        <v>2092</v>
      </c>
      <c r="C46" s="2434">
        <f>C43*C44</f>
        <v>384</v>
      </c>
      <c r="D46" s="2435">
        <f>D43*D44</f>
        <v>384</v>
      </c>
      <c r="E46" s="2435">
        <f t="shared" ref="E46:R46" si="27">E43*E44</f>
        <v>384</v>
      </c>
      <c r="F46" s="2435">
        <f t="shared" si="27"/>
        <v>384</v>
      </c>
      <c r="G46" s="2435">
        <f t="shared" si="27"/>
        <v>384</v>
      </c>
      <c r="H46" s="2435">
        <f t="shared" si="27"/>
        <v>384</v>
      </c>
      <c r="I46" s="2435">
        <f t="shared" si="27"/>
        <v>384</v>
      </c>
      <c r="J46" s="2435">
        <f t="shared" si="27"/>
        <v>384</v>
      </c>
      <c r="K46" s="2435">
        <f t="shared" si="27"/>
        <v>384</v>
      </c>
      <c r="L46" s="2435">
        <f t="shared" si="27"/>
        <v>384</v>
      </c>
      <c r="M46" s="2435">
        <f t="shared" si="27"/>
        <v>384</v>
      </c>
      <c r="N46" s="2435">
        <f t="shared" si="27"/>
        <v>384</v>
      </c>
      <c r="O46" s="2435">
        <f t="shared" si="27"/>
        <v>384</v>
      </c>
      <c r="P46" s="2435">
        <f t="shared" si="27"/>
        <v>384</v>
      </c>
      <c r="Q46" s="2435">
        <f t="shared" si="27"/>
        <v>384</v>
      </c>
      <c r="R46" s="2436">
        <f t="shared" si="27"/>
        <v>384</v>
      </c>
      <c r="S46" s="2207" t="s">
        <v>218</v>
      </c>
    </row>
    <row r="47" spans="2:19" ht="19.5" thickBot="1">
      <c r="B47" s="2447" t="s">
        <v>2024</v>
      </c>
      <c r="C47" s="2448">
        <f>C46+C41+C42+C45</f>
        <v>459</v>
      </c>
      <c r="D47" s="2449">
        <f t="shared" ref="D47:R47" si="28">D46+D41+D42+D45</f>
        <v>479</v>
      </c>
      <c r="E47" s="2449">
        <f t="shared" si="28"/>
        <v>499</v>
      </c>
      <c r="F47" s="2449">
        <f t="shared" si="28"/>
        <v>519</v>
      </c>
      <c r="G47" s="2449">
        <f t="shared" si="28"/>
        <v>539</v>
      </c>
      <c r="H47" s="2449">
        <f t="shared" si="28"/>
        <v>559</v>
      </c>
      <c r="I47" s="2449">
        <f t="shared" si="28"/>
        <v>579</v>
      </c>
      <c r="J47" s="2449">
        <f t="shared" si="28"/>
        <v>599</v>
      </c>
      <c r="K47" s="2449">
        <f t="shared" si="28"/>
        <v>619</v>
      </c>
      <c r="L47" s="2449">
        <f t="shared" si="28"/>
        <v>639</v>
      </c>
      <c r="M47" s="2449">
        <f t="shared" si="28"/>
        <v>659</v>
      </c>
      <c r="N47" s="2449">
        <f t="shared" si="28"/>
        <v>679</v>
      </c>
      <c r="O47" s="2449">
        <f t="shared" si="28"/>
        <v>699</v>
      </c>
      <c r="P47" s="2449">
        <f t="shared" si="28"/>
        <v>719</v>
      </c>
      <c r="Q47" s="2449">
        <f t="shared" si="28"/>
        <v>739</v>
      </c>
      <c r="R47" s="2450">
        <f t="shared" si="28"/>
        <v>759</v>
      </c>
      <c r="S47" s="2210" t="s">
        <v>218</v>
      </c>
    </row>
    <row r="48" spans="2:19" ht="15.75" thickBot="1">
      <c r="B48" s="2451" t="s">
        <v>2031</v>
      </c>
      <c r="C48" s="2452">
        <v>0.06</v>
      </c>
      <c r="D48" s="2453">
        <f>$C$48</f>
        <v>0.06</v>
      </c>
      <c r="E48" s="2454">
        <f t="shared" ref="E48:R48" si="29">$C$48</f>
        <v>0.06</v>
      </c>
      <c r="F48" s="2454">
        <f t="shared" si="29"/>
        <v>0.06</v>
      </c>
      <c r="G48" s="2454">
        <f t="shared" si="29"/>
        <v>0.06</v>
      </c>
      <c r="H48" s="2454">
        <f t="shared" si="29"/>
        <v>0.06</v>
      </c>
      <c r="I48" s="2454">
        <f t="shared" si="29"/>
        <v>0.06</v>
      </c>
      <c r="J48" s="2454">
        <f t="shared" si="29"/>
        <v>0.06</v>
      </c>
      <c r="K48" s="2454">
        <f t="shared" si="29"/>
        <v>0.06</v>
      </c>
      <c r="L48" s="2454">
        <f t="shared" si="29"/>
        <v>0.06</v>
      </c>
      <c r="M48" s="2454">
        <f t="shared" si="29"/>
        <v>0.06</v>
      </c>
      <c r="N48" s="2454">
        <f t="shared" si="29"/>
        <v>0.06</v>
      </c>
      <c r="O48" s="2454">
        <f t="shared" si="29"/>
        <v>0.06</v>
      </c>
      <c r="P48" s="2454">
        <f t="shared" si="29"/>
        <v>0.06</v>
      </c>
      <c r="Q48" s="2454">
        <f t="shared" si="29"/>
        <v>0.06</v>
      </c>
      <c r="R48" s="2454">
        <f t="shared" si="29"/>
        <v>0.06</v>
      </c>
      <c r="S48" s="2203" t="s">
        <v>732</v>
      </c>
    </row>
    <row r="49" spans="1:19" ht="15.75" thickBot="1">
      <c r="B49" s="2455" t="s">
        <v>2030</v>
      </c>
      <c r="C49" s="2456">
        <f>C43*C48</f>
        <v>15.36</v>
      </c>
      <c r="D49" s="2212">
        <f>D43*D48</f>
        <v>15.36</v>
      </c>
      <c r="E49" s="2212">
        <f t="shared" ref="E49:R49" si="30">E43*E48</f>
        <v>15.36</v>
      </c>
      <c r="F49" s="2212">
        <f t="shared" si="30"/>
        <v>15.36</v>
      </c>
      <c r="G49" s="2212">
        <f t="shared" si="30"/>
        <v>15.36</v>
      </c>
      <c r="H49" s="2212">
        <f t="shared" si="30"/>
        <v>15.36</v>
      </c>
      <c r="I49" s="2212">
        <f t="shared" si="30"/>
        <v>15.36</v>
      </c>
      <c r="J49" s="2212">
        <f t="shared" si="30"/>
        <v>15.36</v>
      </c>
      <c r="K49" s="2212">
        <f t="shared" si="30"/>
        <v>15.36</v>
      </c>
      <c r="L49" s="2212">
        <f t="shared" si="30"/>
        <v>15.36</v>
      </c>
      <c r="M49" s="2212">
        <f t="shared" si="30"/>
        <v>15.36</v>
      </c>
      <c r="N49" s="2212">
        <f t="shared" si="30"/>
        <v>15.36</v>
      </c>
      <c r="O49" s="2212">
        <f t="shared" si="30"/>
        <v>15.36</v>
      </c>
      <c r="P49" s="2212">
        <f t="shared" si="30"/>
        <v>15.36</v>
      </c>
      <c r="Q49" s="2212">
        <f t="shared" si="30"/>
        <v>15.36</v>
      </c>
      <c r="R49" s="2212">
        <f t="shared" si="30"/>
        <v>15.36</v>
      </c>
      <c r="S49" s="2213" t="s">
        <v>732</v>
      </c>
    </row>
    <row r="50" spans="1:19" ht="15.75" thickBot="1">
      <c r="B50" s="2451" t="s">
        <v>2026</v>
      </c>
      <c r="C50" s="2457">
        <v>0.1</v>
      </c>
      <c r="D50" s="2458">
        <f>$C$50</f>
        <v>0.1</v>
      </c>
      <c r="E50" s="2459">
        <f t="shared" ref="E50:R50" si="31">$C$50</f>
        <v>0.1</v>
      </c>
      <c r="F50" s="2459">
        <f t="shared" si="31"/>
        <v>0.1</v>
      </c>
      <c r="G50" s="2459">
        <f t="shared" si="31"/>
        <v>0.1</v>
      </c>
      <c r="H50" s="2459">
        <f t="shared" si="31"/>
        <v>0.1</v>
      </c>
      <c r="I50" s="2459">
        <f t="shared" si="31"/>
        <v>0.1</v>
      </c>
      <c r="J50" s="2459">
        <f t="shared" si="31"/>
        <v>0.1</v>
      </c>
      <c r="K50" s="2459">
        <f t="shared" si="31"/>
        <v>0.1</v>
      </c>
      <c r="L50" s="2459">
        <f t="shared" si="31"/>
        <v>0.1</v>
      </c>
      <c r="M50" s="2459">
        <f t="shared" si="31"/>
        <v>0.1</v>
      </c>
      <c r="N50" s="2459">
        <f t="shared" si="31"/>
        <v>0.1</v>
      </c>
      <c r="O50" s="2459">
        <f t="shared" si="31"/>
        <v>0.1</v>
      </c>
      <c r="P50" s="2459">
        <f t="shared" si="31"/>
        <v>0.1</v>
      </c>
      <c r="Q50" s="2459">
        <f t="shared" si="31"/>
        <v>0.1</v>
      </c>
      <c r="R50" s="2459">
        <f t="shared" si="31"/>
        <v>0.1</v>
      </c>
      <c r="S50" s="2460" t="s">
        <v>1635</v>
      </c>
    </row>
    <row r="51" spans="1:19">
      <c r="B51" s="2461" t="s">
        <v>2093</v>
      </c>
      <c r="C51" s="2462">
        <f>C50*(C40)</f>
        <v>5</v>
      </c>
      <c r="D51" s="2463">
        <f>D50*(D40)</f>
        <v>10</v>
      </c>
      <c r="E51" s="2463">
        <f t="shared" ref="E51:R51" si="32">E50*(E40)</f>
        <v>15</v>
      </c>
      <c r="F51" s="2463">
        <f t="shared" si="32"/>
        <v>20</v>
      </c>
      <c r="G51" s="2463">
        <f t="shared" si="32"/>
        <v>25</v>
      </c>
      <c r="H51" s="2463">
        <f t="shared" si="32"/>
        <v>30</v>
      </c>
      <c r="I51" s="2463">
        <f t="shared" si="32"/>
        <v>35</v>
      </c>
      <c r="J51" s="2463">
        <f t="shared" si="32"/>
        <v>40</v>
      </c>
      <c r="K51" s="2463">
        <f t="shared" si="32"/>
        <v>45</v>
      </c>
      <c r="L51" s="2463">
        <f t="shared" si="32"/>
        <v>50</v>
      </c>
      <c r="M51" s="2463">
        <f t="shared" si="32"/>
        <v>55</v>
      </c>
      <c r="N51" s="2463">
        <f t="shared" si="32"/>
        <v>60</v>
      </c>
      <c r="O51" s="2463">
        <f t="shared" si="32"/>
        <v>65</v>
      </c>
      <c r="P51" s="2463">
        <f t="shared" si="32"/>
        <v>70</v>
      </c>
      <c r="Q51" s="2463">
        <f t="shared" si="32"/>
        <v>75</v>
      </c>
      <c r="R51" s="2463">
        <f t="shared" si="32"/>
        <v>80</v>
      </c>
      <c r="S51" s="2460" t="s">
        <v>211</v>
      </c>
    </row>
    <row r="52" spans="1:19" ht="19.5" thickBot="1">
      <c r="B52" s="2464" t="s">
        <v>2025</v>
      </c>
      <c r="C52" s="2465">
        <f>C49*C33</f>
        <v>19.884441234508081</v>
      </c>
      <c r="D52" s="2217">
        <f>D49*D33</f>
        <v>19.884441234508081</v>
      </c>
      <c r="E52" s="2217">
        <f t="shared" ref="E52:R52" si="33">E49*E33</f>
        <v>19.884441234508081</v>
      </c>
      <c r="F52" s="2217">
        <f t="shared" si="33"/>
        <v>19.884441234508081</v>
      </c>
      <c r="G52" s="2217">
        <f t="shared" si="33"/>
        <v>19.884441234508081</v>
      </c>
      <c r="H52" s="2217">
        <f t="shared" si="33"/>
        <v>19.884441234508081</v>
      </c>
      <c r="I52" s="2217">
        <f t="shared" si="33"/>
        <v>19.884441234508081</v>
      </c>
      <c r="J52" s="2217">
        <f t="shared" si="33"/>
        <v>19.884441234508081</v>
      </c>
      <c r="K52" s="2217">
        <f t="shared" si="33"/>
        <v>19.884441234508081</v>
      </c>
      <c r="L52" s="2217">
        <f t="shared" si="33"/>
        <v>19.884441234508081</v>
      </c>
      <c r="M52" s="2217">
        <f t="shared" si="33"/>
        <v>19.884441234508081</v>
      </c>
      <c r="N52" s="2217">
        <f t="shared" si="33"/>
        <v>19.884441234508081</v>
      </c>
      <c r="O52" s="2217">
        <f t="shared" si="33"/>
        <v>19.884441234508081</v>
      </c>
      <c r="P52" s="2217">
        <f t="shared" si="33"/>
        <v>19.884441234508081</v>
      </c>
      <c r="Q52" s="2217">
        <f t="shared" si="33"/>
        <v>19.884441234508081</v>
      </c>
      <c r="R52" s="2217">
        <f t="shared" si="33"/>
        <v>19.884441234508081</v>
      </c>
      <c r="S52" s="2218" t="s">
        <v>466</v>
      </c>
    </row>
    <row r="53" spans="1:19" ht="16.5" thickBot="1">
      <c r="B53" s="2466" t="s">
        <v>2027</v>
      </c>
      <c r="C53" s="2467">
        <f>C47/(C22-C35)</f>
        <v>27.789387261464146</v>
      </c>
      <c r="D53" s="2220">
        <f>D47/(D22-D35)</f>
        <v>29.000253808804633</v>
      </c>
      <c r="E53" s="2220">
        <f t="shared" ref="E53:R53" si="34">E47/(E22-E35)</f>
        <v>30.21112035614512</v>
      </c>
      <c r="F53" s="2220">
        <f t="shared" si="34"/>
        <v>31.421986903485603</v>
      </c>
      <c r="G53" s="2220">
        <f t="shared" si="34"/>
        <v>32.63285345082609</v>
      </c>
      <c r="H53" s="2220">
        <f t="shared" si="34"/>
        <v>33.843719998166577</v>
      </c>
      <c r="I53" s="2220">
        <f t="shared" si="34"/>
        <v>35.054586545507064</v>
      </c>
      <c r="J53" s="2220">
        <f t="shared" si="34"/>
        <v>36.265453092847544</v>
      </c>
      <c r="K53" s="2220">
        <f t="shared" si="34"/>
        <v>37.476319640188031</v>
      </c>
      <c r="L53" s="2220">
        <f t="shared" si="34"/>
        <v>38.687186187528518</v>
      </c>
      <c r="M53" s="2220">
        <f t="shared" si="34"/>
        <v>39.898052734869005</v>
      </c>
      <c r="N53" s="2220">
        <f t="shared" si="34"/>
        <v>41.108919282209492</v>
      </c>
      <c r="O53" s="2220">
        <f t="shared" si="34"/>
        <v>42.319785829549978</v>
      </c>
      <c r="P53" s="2220">
        <f t="shared" si="34"/>
        <v>43.530652376890458</v>
      </c>
      <c r="Q53" s="2220">
        <f t="shared" si="34"/>
        <v>44.741518924230945</v>
      </c>
      <c r="R53" s="2220">
        <f t="shared" si="34"/>
        <v>45.952385471571432</v>
      </c>
      <c r="S53" s="2221" t="s">
        <v>466</v>
      </c>
    </row>
    <row r="54" spans="1:19" ht="24" thickBot="1">
      <c r="B54" s="2468" t="s">
        <v>2028</v>
      </c>
      <c r="C54" s="2469">
        <f>C53/C33</f>
        <v>21.466280259126876</v>
      </c>
      <c r="D54" s="2223">
        <f>D53/D33</f>
        <v>22.401630161485343</v>
      </c>
      <c r="E54" s="2223">
        <f t="shared" ref="E54:R54" si="35">E53/E33</f>
        <v>23.336980063843814</v>
      </c>
      <c r="F54" s="2223">
        <f t="shared" si="35"/>
        <v>24.272329966202282</v>
      </c>
      <c r="G54" s="2223">
        <f t="shared" si="35"/>
        <v>25.207679868560753</v>
      </c>
      <c r="H54" s="2223">
        <f>H53/H33</f>
        <v>26.143029770919224</v>
      </c>
      <c r="I54" s="2223">
        <f t="shared" si="35"/>
        <v>27.078379673277695</v>
      </c>
      <c r="J54" s="2223">
        <f t="shared" si="35"/>
        <v>28.013729575636159</v>
      </c>
      <c r="K54" s="2223">
        <f t="shared" si="35"/>
        <v>28.94907947799463</v>
      </c>
      <c r="L54" s="2223">
        <f t="shared" si="35"/>
        <v>29.884429380353101</v>
      </c>
      <c r="M54" s="2223">
        <f t="shared" si="35"/>
        <v>30.819779282711572</v>
      </c>
      <c r="N54" s="2223">
        <f t="shared" si="35"/>
        <v>31.755129185070039</v>
      </c>
      <c r="O54" s="2223">
        <f t="shared" si="35"/>
        <v>32.690479087428514</v>
      </c>
      <c r="P54" s="2223">
        <f t="shared" si="35"/>
        <v>33.625828989786974</v>
      </c>
      <c r="Q54" s="2223">
        <f t="shared" si="35"/>
        <v>34.561178892145449</v>
      </c>
      <c r="R54" s="2223">
        <f t="shared" si="35"/>
        <v>35.496528794503917</v>
      </c>
      <c r="S54" s="2224" t="s">
        <v>732</v>
      </c>
    </row>
    <row r="55" spans="1:19" ht="24" thickBot="1">
      <c r="B55" s="2470" t="s">
        <v>2029</v>
      </c>
      <c r="C55" s="2471">
        <f>C54+(C54*(C51/100))</f>
        <v>22.539594272083221</v>
      </c>
      <c r="D55" s="2472">
        <f>D54+(D54*(D51/100))</f>
        <v>24.641793177633879</v>
      </c>
      <c r="E55" s="2472">
        <f t="shared" ref="E55:R55" si="36">E54+(E54*(E51/100))</f>
        <v>26.837527073420386</v>
      </c>
      <c r="F55" s="2472">
        <f t="shared" si="36"/>
        <v>29.126795959442738</v>
      </c>
      <c r="G55" s="2472">
        <f t="shared" si="36"/>
        <v>31.509599835700939</v>
      </c>
      <c r="H55" s="2472">
        <f t="shared" si="36"/>
        <v>33.985938702194993</v>
      </c>
      <c r="I55" s="2472">
        <f t="shared" si="36"/>
        <v>36.555812558924885</v>
      </c>
      <c r="J55" s="2472">
        <f t="shared" si="36"/>
        <v>39.219221405890622</v>
      </c>
      <c r="K55" s="2472">
        <f t="shared" si="36"/>
        <v>41.976165243092211</v>
      </c>
      <c r="L55" s="2472">
        <f t="shared" si="36"/>
        <v>44.826644070529653</v>
      </c>
      <c r="M55" s="2472">
        <f t="shared" si="36"/>
        <v>47.770657888202933</v>
      </c>
      <c r="N55" s="2472">
        <f t="shared" si="36"/>
        <v>50.808206696112066</v>
      </c>
      <c r="O55" s="2472">
        <f t="shared" si="36"/>
        <v>53.939290494257051</v>
      </c>
      <c r="P55" s="2472">
        <f t="shared" si="36"/>
        <v>57.16390928263786</v>
      </c>
      <c r="Q55" s="2472">
        <f t="shared" si="36"/>
        <v>60.482063061254536</v>
      </c>
      <c r="R55" s="2472">
        <f t="shared" si="36"/>
        <v>63.89375183010705</v>
      </c>
      <c r="S55" s="2473" t="s">
        <v>732</v>
      </c>
    </row>
    <row r="56" spans="1:19" ht="16.5" thickBot="1">
      <c r="B56" s="2474" t="s">
        <v>2094</v>
      </c>
      <c r="C56" s="2475">
        <f>C47/C26</f>
        <v>19.956521739130434</v>
      </c>
      <c r="D56" s="2476">
        <f>D47/D26</f>
        <v>20.826086956521738</v>
      </c>
      <c r="E56" s="2476">
        <f>E47/E26</f>
        <v>21.695652173913043</v>
      </c>
      <c r="F56" s="2476">
        <f t="shared" ref="F56:R56" si="37">F47/F26</f>
        <v>22.565217391304348</v>
      </c>
      <c r="G56" s="2476">
        <f t="shared" si="37"/>
        <v>23.434782608695652</v>
      </c>
      <c r="H56" s="2476">
        <f t="shared" si="37"/>
        <v>24.304347826086957</v>
      </c>
      <c r="I56" s="2476">
        <f t="shared" si="37"/>
        <v>25.173913043478262</v>
      </c>
      <c r="J56" s="2476">
        <f t="shared" si="37"/>
        <v>26.043478260869566</v>
      </c>
      <c r="K56" s="2476">
        <f t="shared" si="37"/>
        <v>26.913043478260871</v>
      </c>
      <c r="L56" s="2476">
        <f t="shared" si="37"/>
        <v>27.782608695652176</v>
      </c>
      <c r="M56" s="2476">
        <f t="shared" si="37"/>
        <v>28.652173913043477</v>
      </c>
      <c r="N56" s="2476">
        <f t="shared" si="37"/>
        <v>29.521739130434781</v>
      </c>
      <c r="O56" s="2476">
        <f t="shared" si="37"/>
        <v>30.391304347826086</v>
      </c>
      <c r="P56" s="2476">
        <f t="shared" si="37"/>
        <v>31.260869565217391</v>
      </c>
      <c r="Q56" s="2476">
        <f t="shared" si="37"/>
        <v>32.130434782608695</v>
      </c>
      <c r="R56" s="2476">
        <f t="shared" si="37"/>
        <v>33</v>
      </c>
      <c r="S56" s="2477" t="s">
        <v>575</v>
      </c>
    </row>
    <row r="57" spans="1:19" ht="15.75" thickBot="1">
      <c r="B57" s="2478" t="s">
        <v>2095</v>
      </c>
      <c r="C57" s="2479">
        <v>3</v>
      </c>
      <c r="D57" s="2480">
        <f>$C$57</f>
        <v>3</v>
      </c>
      <c r="E57" s="2481">
        <f t="shared" ref="E57:R57" si="38">$C$57</f>
        <v>3</v>
      </c>
      <c r="F57" s="2481">
        <f t="shared" si="38"/>
        <v>3</v>
      </c>
      <c r="G57" s="2481">
        <f t="shared" si="38"/>
        <v>3</v>
      </c>
      <c r="H57" s="2481">
        <f t="shared" si="38"/>
        <v>3</v>
      </c>
      <c r="I57" s="2481">
        <f t="shared" si="38"/>
        <v>3</v>
      </c>
      <c r="J57" s="2481">
        <f t="shared" si="38"/>
        <v>3</v>
      </c>
      <c r="K57" s="2481">
        <f t="shared" si="38"/>
        <v>3</v>
      </c>
      <c r="L57" s="2481">
        <f t="shared" si="38"/>
        <v>3</v>
      </c>
      <c r="M57" s="2481">
        <f t="shared" si="38"/>
        <v>3</v>
      </c>
      <c r="N57" s="2481">
        <f t="shared" si="38"/>
        <v>3</v>
      </c>
      <c r="O57" s="2481">
        <f t="shared" si="38"/>
        <v>3</v>
      </c>
      <c r="P57" s="2481">
        <f t="shared" si="38"/>
        <v>3</v>
      </c>
      <c r="Q57" s="2481">
        <f t="shared" si="38"/>
        <v>3</v>
      </c>
      <c r="R57" s="2481">
        <f t="shared" si="38"/>
        <v>3</v>
      </c>
      <c r="S57" s="2482"/>
    </row>
    <row r="58" spans="1:19">
      <c r="B58" s="2483" t="s">
        <v>2096</v>
      </c>
      <c r="C58" s="2484">
        <f t="shared" ref="C58:R58" si="39">C47/(C59-C35)</f>
        <v>19.884441234508081</v>
      </c>
      <c r="D58" s="2485">
        <f t="shared" si="39"/>
        <v>19.884441234508085</v>
      </c>
      <c r="E58" s="2485">
        <f t="shared" si="39"/>
        <v>19.884441234508078</v>
      </c>
      <c r="F58" s="2485">
        <f t="shared" si="39"/>
        <v>19.884441234508081</v>
      </c>
      <c r="G58" s="2485">
        <f t="shared" si="39"/>
        <v>19.884441234508074</v>
      </c>
      <c r="H58" s="2485">
        <f t="shared" si="39"/>
        <v>19.884441234508078</v>
      </c>
      <c r="I58" s="2485">
        <f t="shared" si="39"/>
        <v>19.884441234508081</v>
      </c>
      <c r="J58" s="2485">
        <f t="shared" si="39"/>
        <v>19.884441234508085</v>
      </c>
      <c r="K58" s="2485">
        <f t="shared" si="39"/>
        <v>19.884441234508081</v>
      </c>
      <c r="L58" s="2485">
        <f t="shared" si="39"/>
        <v>19.884441234508074</v>
      </c>
      <c r="M58" s="2485">
        <f t="shared" si="39"/>
        <v>19.884441234508078</v>
      </c>
      <c r="N58" s="2485">
        <f t="shared" si="39"/>
        <v>19.884441234508081</v>
      </c>
      <c r="O58" s="2485">
        <f t="shared" si="39"/>
        <v>19.884441234508085</v>
      </c>
      <c r="P58" s="2485">
        <f t="shared" si="39"/>
        <v>19.884441234508081</v>
      </c>
      <c r="Q58" s="2485">
        <f t="shared" si="39"/>
        <v>19.884441234508074</v>
      </c>
      <c r="R58" s="2485">
        <f t="shared" si="39"/>
        <v>19.884441234508078</v>
      </c>
      <c r="S58" s="1399"/>
    </row>
    <row r="59" spans="1:19" ht="15.75" thickBot="1">
      <c r="B59" s="2486" t="s">
        <v>2097</v>
      </c>
      <c r="C59" s="2487">
        <f>(C47/C52)+C35</f>
        <v>84.816334153910901</v>
      </c>
      <c r="D59" s="2488">
        <f t="shared" ref="D59:R59" si="40">(D47/D52)+D35</f>
        <v>85.822145670771192</v>
      </c>
      <c r="E59" s="2488">
        <f t="shared" si="40"/>
        <v>86.827957187631498</v>
      </c>
      <c r="F59" s="2488">
        <f t="shared" si="40"/>
        <v>87.833768704491789</v>
      </c>
      <c r="G59" s="2488">
        <f t="shared" si="40"/>
        <v>88.839580221352094</v>
      </c>
      <c r="H59" s="2488">
        <f t="shared" si="40"/>
        <v>89.845391738212385</v>
      </c>
      <c r="I59" s="2488">
        <f t="shared" si="40"/>
        <v>90.851203255072676</v>
      </c>
      <c r="J59" s="2488">
        <f t="shared" si="40"/>
        <v>91.857014771932967</v>
      </c>
      <c r="K59" s="2488">
        <f t="shared" si="40"/>
        <v>92.862826288793272</v>
      </c>
      <c r="L59" s="2488">
        <f t="shared" si="40"/>
        <v>93.868637805653577</v>
      </c>
      <c r="M59" s="2488">
        <f t="shared" si="40"/>
        <v>94.874449322513868</v>
      </c>
      <c r="N59" s="2488">
        <f t="shared" si="40"/>
        <v>95.880260839374159</v>
      </c>
      <c r="O59" s="2488">
        <f t="shared" si="40"/>
        <v>96.88607235623445</v>
      </c>
      <c r="P59" s="2488">
        <f t="shared" si="40"/>
        <v>97.891883873094756</v>
      </c>
      <c r="Q59" s="2488">
        <f t="shared" si="40"/>
        <v>98.897695389955061</v>
      </c>
      <c r="R59" s="2488">
        <f t="shared" si="40"/>
        <v>99.903506906815352</v>
      </c>
      <c r="S59" s="2489" t="s">
        <v>2020</v>
      </c>
    </row>
    <row r="61" spans="1:19" ht="15.75">
      <c r="B61" s="2490" t="s">
        <v>2098</v>
      </c>
      <c r="C61" s="56" t="s">
        <v>2099</v>
      </c>
    </row>
    <row r="62" spans="1:19" ht="15.75" thickBot="1"/>
    <row r="63" spans="1:19" ht="15.75" thickBot="1">
      <c r="B63" s="3241" t="s">
        <v>2100</v>
      </c>
      <c r="C63" s="3242"/>
      <c r="D63" s="3242"/>
      <c r="E63" s="3242"/>
      <c r="F63" s="3243"/>
      <c r="G63" s="2491">
        <f>$C$26</f>
        <v>23</v>
      </c>
      <c r="H63" s="2492">
        <f>$C$27</f>
        <v>30</v>
      </c>
      <c r="I63" s="56" t="s">
        <v>2101</v>
      </c>
      <c r="J63" s="2493">
        <f>$C$48</f>
        <v>0.06</v>
      </c>
      <c r="K63" s="56" t="s">
        <v>2102</v>
      </c>
      <c r="L63" s="2493">
        <f>$C$44</f>
        <v>1.5</v>
      </c>
      <c r="M63" s="56" t="s">
        <v>2103</v>
      </c>
    </row>
    <row r="64" spans="1:19">
      <c r="A64" s="56">
        <v>220</v>
      </c>
      <c r="B64" s="2494" t="s">
        <v>2104</v>
      </c>
      <c r="C64" s="2495">
        <f>((($A64*$C$44)+(C$41+C$42+$C$45))/(C$22-C$35))/C$33</f>
        <v>18.940835522759006</v>
      </c>
      <c r="D64" s="2495">
        <f t="shared" ref="D64:R70" si="41">((($A64*$C$44)+(D$41+D$42+$C$45))/(D$22-D$35))/D$33</f>
        <v>19.876185425117477</v>
      </c>
      <c r="E64" s="2495">
        <f t="shared" si="41"/>
        <v>20.811535327475944</v>
      </c>
      <c r="F64" s="2495">
        <f t="shared" si="41"/>
        <v>21.746885229834415</v>
      </c>
      <c r="G64" s="69">
        <f t="shared" si="41"/>
        <v>22.682235132192886</v>
      </c>
      <c r="H64" s="69">
        <f t="shared" si="41"/>
        <v>23.617585034551354</v>
      </c>
      <c r="I64" s="69">
        <f t="shared" si="41"/>
        <v>24.552934936909825</v>
      </c>
      <c r="J64" s="69">
        <f t="shared" si="41"/>
        <v>25.488284839268292</v>
      </c>
      <c r="K64" s="69">
        <f t="shared" si="41"/>
        <v>26.423634741626763</v>
      </c>
      <c r="L64" s="69">
        <f t="shared" si="41"/>
        <v>27.358984643985234</v>
      </c>
      <c r="M64" s="69">
        <f t="shared" si="41"/>
        <v>28.294334546343705</v>
      </c>
      <c r="N64" s="69">
        <f t="shared" si="41"/>
        <v>29.229684448702173</v>
      </c>
      <c r="O64" s="69">
        <f t="shared" si="41"/>
        <v>30.16503435106064</v>
      </c>
      <c r="P64" s="69">
        <f t="shared" si="41"/>
        <v>31.100384253419108</v>
      </c>
      <c r="Q64" s="69">
        <f t="shared" si="41"/>
        <v>32.035734155777583</v>
      </c>
      <c r="R64" s="69">
        <f t="shared" si="41"/>
        <v>32.97108405813605</v>
      </c>
      <c r="S64" s="56" t="s">
        <v>732</v>
      </c>
    </row>
    <row r="65" spans="1:19">
      <c r="A65" s="56">
        <v>250</v>
      </c>
      <c r="B65" s="70" t="s">
        <v>2105</v>
      </c>
      <c r="C65" s="69">
        <f t="shared" ref="C65:C70" si="42">((($A65*$C$44)+(C$41+C$42+$C$45))/(C$22-C$35))/C$33</f>
        <v>21.045372803065565</v>
      </c>
      <c r="D65" s="69">
        <f t="shared" si="41"/>
        <v>21.980722705424032</v>
      </c>
      <c r="E65" s="69">
        <f t="shared" si="41"/>
        <v>22.9160726077825</v>
      </c>
      <c r="F65" s="69">
        <f t="shared" si="41"/>
        <v>23.851422510140971</v>
      </c>
      <c r="G65" s="69">
        <f t="shared" si="41"/>
        <v>24.786772412499438</v>
      </c>
      <c r="H65" s="69">
        <f t="shared" si="41"/>
        <v>25.722122314857909</v>
      </c>
      <c r="I65" s="69">
        <f t="shared" si="41"/>
        <v>26.65747221721638</v>
      </c>
      <c r="J65" s="69">
        <f t="shared" si="41"/>
        <v>27.592822119574851</v>
      </c>
      <c r="K65" s="69">
        <f t="shared" si="41"/>
        <v>28.528172021933322</v>
      </c>
      <c r="L65" s="69">
        <f t="shared" si="41"/>
        <v>29.463521924291793</v>
      </c>
      <c r="M65" s="69">
        <f t="shared" si="41"/>
        <v>30.398871826650257</v>
      </c>
      <c r="N65" s="69">
        <f t="shared" si="41"/>
        <v>31.334221729008728</v>
      </c>
      <c r="O65" s="69">
        <f t="shared" si="41"/>
        <v>32.269571631367199</v>
      </c>
      <c r="P65" s="69">
        <f t="shared" si="41"/>
        <v>33.204921533725667</v>
      </c>
      <c r="Q65" s="69">
        <f t="shared" si="41"/>
        <v>34.140271436084141</v>
      </c>
      <c r="R65" s="69">
        <f t="shared" si="41"/>
        <v>35.075621338442602</v>
      </c>
      <c r="S65" s="56" t="s">
        <v>732</v>
      </c>
    </row>
    <row r="66" spans="1:19">
      <c r="A66" s="56">
        <v>280</v>
      </c>
      <c r="B66" s="70" t="s">
        <v>2106</v>
      </c>
      <c r="C66" s="69">
        <f t="shared" si="42"/>
        <v>23.14991008337212</v>
      </c>
      <c r="D66" s="69">
        <f t="shared" si="41"/>
        <v>24.085259985730591</v>
      </c>
      <c r="E66" s="69">
        <f t="shared" si="41"/>
        <v>25.020609888089059</v>
      </c>
      <c r="F66" s="69">
        <f t="shared" si="41"/>
        <v>25.955959790447526</v>
      </c>
      <c r="G66" s="69">
        <f t="shared" si="41"/>
        <v>26.891309692805997</v>
      </c>
      <c r="H66" s="69">
        <f t="shared" si="41"/>
        <v>27.826659595164468</v>
      </c>
      <c r="I66" s="69">
        <f t="shared" si="41"/>
        <v>28.762009497522939</v>
      </c>
      <c r="J66" s="69">
        <f t="shared" si="41"/>
        <v>29.697359399881403</v>
      </c>
      <c r="K66" s="69">
        <f t="shared" si="41"/>
        <v>30.632709302239874</v>
      </c>
      <c r="L66" s="69">
        <f t="shared" si="41"/>
        <v>31.568059204598345</v>
      </c>
      <c r="M66" s="69">
        <f t="shared" si="41"/>
        <v>32.503409106956816</v>
      </c>
      <c r="N66" s="69">
        <f t="shared" si="41"/>
        <v>33.438759009315284</v>
      </c>
      <c r="O66" s="69">
        <f t="shared" si="41"/>
        <v>34.374108911673758</v>
      </c>
      <c r="P66" s="69">
        <f t="shared" si="41"/>
        <v>35.309458814032219</v>
      </c>
      <c r="Q66" s="69">
        <f t="shared" si="41"/>
        <v>36.244808716390693</v>
      </c>
      <c r="R66" s="69">
        <f t="shared" si="41"/>
        <v>37.180158618749161</v>
      </c>
      <c r="S66" s="56" t="s">
        <v>732</v>
      </c>
    </row>
    <row r="67" spans="1:19">
      <c r="A67" s="56">
        <v>300</v>
      </c>
      <c r="B67" s="70" t="s">
        <v>2107</v>
      </c>
      <c r="C67" s="69">
        <f t="shared" si="42"/>
        <v>24.552934936909825</v>
      </c>
      <c r="D67" s="69">
        <f t="shared" si="41"/>
        <v>25.488284839268292</v>
      </c>
      <c r="E67" s="69">
        <f t="shared" si="41"/>
        <v>26.423634741626763</v>
      </c>
      <c r="F67" s="69">
        <f t="shared" si="41"/>
        <v>27.358984643985234</v>
      </c>
      <c r="G67" s="69">
        <f t="shared" si="41"/>
        <v>28.294334546343705</v>
      </c>
      <c r="H67" s="69">
        <f t="shared" si="41"/>
        <v>29.229684448702173</v>
      </c>
      <c r="I67" s="69">
        <f t="shared" si="41"/>
        <v>30.16503435106064</v>
      </c>
      <c r="J67" s="69">
        <f t="shared" si="41"/>
        <v>31.100384253419108</v>
      </c>
      <c r="K67" s="69">
        <f t="shared" si="41"/>
        <v>32.035734155777583</v>
      </c>
      <c r="L67" s="69">
        <f t="shared" si="41"/>
        <v>32.97108405813605</v>
      </c>
      <c r="M67" s="69">
        <f t="shared" si="41"/>
        <v>33.906433960494518</v>
      </c>
      <c r="N67" s="69">
        <f t="shared" si="41"/>
        <v>34.841783862852992</v>
      </c>
      <c r="O67" s="69">
        <f t="shared" si="41"/>
        <v>35.77713376521146</v>
      </c>
      <c r="P67" s="69">
        <f t="shared" si="41"/>
        <v>36.712483667569927</v>
      </c>
      <c r="Q67" s="69">
        <f t="shared" si="41"/>
        <v>37.647833569928395</v>
      </c>
      <c r="R67" s="69">
        <f t="shared" si="41"/>
        <v>38.583183472286869</v>
      </c>
      <c r="S67" s="56" t="s">
        <v>732</v>
      </c>
    </row>
    <row r="68" spans="1:19">
      <c r="A68" s="56">
        <v>330</v>
      </c>
      <c r="B68" s="70" t="s">
        <v>2108</v>
      </c>
      <c r="C68" s="69">
        <f t="shared" si="42"/>
        <v>26.65747221721638</v>
      </c>
      <c r="D68" s="69">
        <f t="shared" si="41"/>
        <v>27.592822119574851</v>
      </c>
      <c r="E68" s="69">
        <f t="shared" si="41"/>
        <v>28.528172021933322</v>
      </c>
      <c r="F68" s="69">
        <f t="shared" si="41"/>
        <v>29.463521924291793</v>
      </c>
      <c r="G68" s="69">
        <f t="shared" si="41"/>
        <v>30.398871826650257</v>
      </c>
      <c r="H68" s="69">
        <f t="shared" si="41"/>
        <v>31.334221729008728</v>
      </c>
      <c r="I68" s="69">
        <f t="shared" si="41"/>
        <v>32.269571631367199</v>
      </c>
      <c r="J68" s="69">
        <f t="shared" si="41"/>
        <v>33.204921533725667</v>
      </c>
      <c r="K68" s="69">
        <f t="shared" si="41"/>
        <v>34.140271436084141</v>
      </c>
      <c r="L68" s="69">
        <f t="shared" si="41"/>
        <v>35.075621338442602</v>
      </c>
      <c r="M68" s="69">
        <f t="shared" si="41"/>
        <v>36.010971240801076</v>
      </c>
      <c r="N68" s="69">
        <f t="shared" si="41"/>
        <v>36.946321143159544</v>
      </c>
      <c r="O68" s="69">
        <f t="shared" si="41"/>
        <v>37.881671045518011</v>
      </c>
      <c r="P68" s="69">
        <f t="shared" si="41"/>
        <v>38.817020947876486</v>
      </c>
      <c r="Q68" s="69">
        <f t="shared" si="41"/>
        <v>39.752370850234954</v>
      </c>
      <c r="R68" s="69">
        <f t="shared" si="41"/>
        <v>40.687720752593421</v>
      </c>
      <c r="S68" s="56" t="s">
        <v>732</v>
      </c>
    </row>
    <row r="69" spans="1:19">
      <c r="A69" s="56">
        <v>350</v>
      </c>
      <c r="B69" s="70" t="s">
        <v>2109</v>
      </c>
      <c r="C69" s="69">
        <f t="shared" si="42"/>
        <v>28.060497070754085</v>
      </c>
      <c r="D69" s="69">
        <f t="shared" si="41"/>
        <v>28.995846973112556</v>
      </c>
      <c r="E69" s="69">
        <f t="shared" si="41"/>
        <v>29.93119687547102</v>
      </c>
      <c r="F69" s="69">
        <f t="shared" si="41"/>
        <v>30.866546777829491</v>
      </c>
      <c r="G69" s="69">
        <f t="shared" si="41"/>
        <v>31.801896680187962</v>
      </c>
      <c r="H69" s="69">
        <f t="shared" si="41"/>
        <v>32.737246582546433</v>
      </c>
      <c r="I69" s="69">
        <f t="shared" si="41"/>
        <v>33.672596484904901</v>
      </c>
      <c r="J69" s="69">
        <f t="shared" si="41"/>
        <v>34.607946387263375</v>
      </c>
      <c r="K69" s="69">
        <f t="shared" si="41"/>
        <v>35.543296289621836</v>
      </c>
      <c r="L69" s="69">
        <f t="shared" si="41"/>
        <v>36.47864619198031</v>
      </c>
      <c r="M69" s="69">
        <f t="shared" si="41"/>
        <v>37.413996094338778</v>
      </c>
      <c r="N69" s="69">
        <f t="shared" si="41"/>
        <v>38.349345996697252</v>
      </c>
      <c r="O69" s="69">
        <f t="shared" si="41"/>
        <v>39.28469589905572</v>
      </c>
      <c r="P69" s="69">
        <f t="shared" si="41"/>
        <v>40.220045801414194</v>
      </c>
      <c r="Q69" s="69">
        <f t="shared" si="41"/>
        <v>41.155395703772655</v>
      </c>
      <c r="R69" s="69">
        <f t="shared" si="41"/>
        <v>42.090745606131129</v>
      </c>
      <c r="S69" s="56" t="s">
        <v>732</v>
      </c>
    </row>
    <row r="70" spans="1:19">
      <c r="A70" s="56">
        <v>375</v>
      </c>
      <c r="B70" s="70" t="s">
        <v>2110</v>
      </c>
      <c r="C70" s="69">
        <f t="shared" si="42"/>
        <v>29.814278137676215</v>
      </c>
      <c r="D70" s="69">
        <f t="shared" si="41"/>
        <v>30.749628040034686</v>
      </c>
      <c r="E70" s="69">
        <f t="shared" si="41"/>
        <v>31.684977942393157</v>
      </c>
      <c r="F70" s="69">
        <f t="shared" si="41"/>
        <v>32.620327844751621</v>
      </c>
      <c r="G70" s="69">
        <f t="shared" si="41"/>
        <v>33.555677747110089</v>
      </c>
      <c r="H70" s="69">
        <f t="shared" si="41"/>
        <v>34.491027649468563</v>
      </c>
      <c r="I70" s="69">
        <f t="shared" si="41"/>
        <v>35.426377551827031</v>
      </c>
      <c r="J70" s="69">
        <f t="shared" si="41"/>
        <v>36.361727454185505</v>
      </c>
      <c r="K70" s="69">
        <f t="shared" si="41"/>
        <v>37.297077356543973</v>
      </c>
      <c r="L70" s="69">
        <f t="shared" si="41"/>
        <v>38.23242725890244</v>
      </c>
      <c r="M70" s="69">
        <f t="shared" si="41"/>
        <v>39.167777161260908</v>
      </c>
      <c r="N70" s="69">
        <f t="shared" si="41"/>
        <v>40.103127063619382</v>
      </c>
      <c r="O70" s="69">
        <f t="shared" si="41"/>
        <v>41.03847696597785</v>
      </c>
      <c r="P70" s="69">
        <f t="shared" si="41"/>
        <v>41.973826868336317</v>
      </c>
      <c r="Q70" s="69">
        <f t="shared" si="41"/>
        <v>42.909176770694792</v>
      </c>
      <c r="R70" s="69">
        <f t="shared" si="41"/>
        <v>43.844526673053252</v>
      </c>
      <c r="S70" s="56" t="s">
        <v>732</v>
      </c>
    </row>
    <row r="72" spans="1:19" ht="27.6" hidden="1" customHeight="1">
      <c r="B72" s="2496" t="s">
        <v>2111</v>
      </c>
      <c r="C72" s="2497" t="s">
        <v>2112</v>
      </c>
      <c r="D72" s="2497"/>
      <c r="E72" s="2498">
        <f>$C$26</f>
        <v>23</v>
      </c>
      <c r="F72" s="2492">
        <f>$C$27</f>
        <v>30</v>
      </c>
      <c r="G72" s="56" t="s">
        <v>2101</v>
      </c>
      <c r="H72" s="2493">
        <f>$C$48</f>
        <v>0.06</v>
      </c>
      <c r="I72" s="56" t="s">
        <v>2102</v>
      </c>
      <c r="J72" s="2493">
        <f>$C$44</f>
        <v>1.5</v>
      </c>
      <c r="K72" s="56" t="s">
        <v>2103</v>
      </c>
    </row>
    <row r="73" spans="1:19" hidden="1">
      <c r="A73" s="56">
        <v>220</v>
      </c>
      <c r="B73" s="70" t="s">
        <v>2104</v>
      </c>
      <c r="C73" s="2499">
        <f t="shared" ref="C73:R79" si="43">(((($A73*$C$44)+(C$42+C$45)))/C$53)+C$35</f>
        <v>75.587169593971367</v>
      </c>
      <c r="D73" s="2499">
        <f t="shared" si="43"/>
        <v>75.008705721236325</v>
      </c>
      <c r="E73" s="2499">
        <f t="shared" si="43"/>
        <v>74.476611698019127</v>
      </c>
      <c r="F73" s="2499">
        <f t="shared" si="43"/>
        <v>73.985526848074926</v>
      </c>
      <c r="G73" s="2499">
        <f t="shared" si="43"/>
        <v>73.530886142839009</v>
      </c>
      <c r="H73" s="2499">
        <f t="shared" si="43"/>
        <v>73.108777867315865</v>
      </c>
      <c r="I73" s="2499">
        <f t="shared" si="43"/>
        <v>72.715830785265823</v>
      </c>
      <c r="J73" s="2499">
        <f t="shared" si="43"/>
        <v>72.349123909028805</v>
      </c>
      <c r="K73" s="2499">
        <f t="shared" si="43"/>
        <v>72.006113761466224</v>
      </c>
      <c r="L73" s="2499">
        <f t="shared" si="43"/>
        <v>71.684575297632136</v>
      </c>
      <c r="M73" s="2499">
        <f t="shared" si="43"/>
        <v>71.382553584258389</v>
      </c>
      <c r="N73" s="2499">
        <f t="shared" si="43"/>
        <v>71.098324018947892</v>
      </c>
      <c r="O73" s="2499">
        <f t="shared" si="43"/>
        <v>70.830359378690929</v>
      </c>
      <c r="P73" s="2499">
        <f t="shared" si="43"/>
        <v>70.577302367933669</v>
      </c>
      <c r="Q73" s="2499">
        <f t="shared" si="43"/>
        <v>70.337942624335113</v>
      </c>
      <c r="R73" s="2499">
        <f t="shared" si="43"/>
        <v>70.111197359977581</v>
      </c>
      <c r="S73" s="56" t="s">
        <v>575</v>
      </c>
    </row>
    <row r="74" spans="1:19" hidden="1">
      <c r="A74" s="56">
        <v>250</v>
      </c>
      <c r="B74" s="70" t="s">
        <v>2105</v>
      </c>
      <c r="C74" s="2499">
        <f t="shared" si="43"/>
        <v>77.206492811738102</v>
      </c>
      <c r="D74" s="2499">
        <f t="shared" si="43"/>
        <v>76.560416278553504</v>
      </c>
      <c r="E74" s="2499">
        <f t="shared" si="43"/>
        <v>75.966129447427804</v>
      </c>
      <c r="F74" s="2499">
        <f t="shared" si="43"/>
        <v>75.417645069568039</v>
      </c>
      <c r="G74" s="2499">
        <f t="shared" si="43"/>
        <v>74.909864541642222</v>
      </c>
      <c r="H74" s="2499">
        <f t="shared" si="43"/>
        <v>74.438418935213775</v>
      </c>
      <c r="I74" s="2499">
        <f t="shared" si="43"/>
        <v>73.999542973443596</v>
      </c>
      <c r="J74" s="2499">
        <f t="shared" si="43"/>
        <v>73.589974254529523</v>
      </c>
      <c r="K74" s="2499">
        <f t="shared" si="43"/>
        <v>73.206872011797287</v>
      </c>
      <c r="L74" s="2499">
        <f t="shared" si="43"/>
        <v>72.847751130112471</v>
      </c>
      <c r="M74" s="2499">
        <f t="shared" si="43"/>
        <v>72.510428177513219</v>
      </c>
      <c r="N74" s="2499">
        <f t="shared" si="43"/>
        <v>72.192976974698894</v>
      </c>
      <c r="O74" s="2499">
        <f t="shared" si="43"/>
        <v>71.893691792074236</v>
      </c>
      <c r="P74" s="2499">
        <f t="shared" si="43"/>
        <v>71.61105668915053</v>
      </c>
      <c r="Q74" s="2499">
        <f t="shared" si="43"/>
        <v>71.343719832663837</v>
      </c>
      <c r="R74" s="2499">
        <f t="shared" si="43"/>
        <v>71.090471875069724</v>
      </c>
      <c r="S74" s="56" t="s">
        <v>575</v>
      </c>
    </row>
    <row r="75" spans="1:19" hidden="1">
      <c r="A75" s="56">
        <v>280</v>
      </c>
      <c r="B75" s="70" t="s">
        <v>2106</v>
      </c>
      <c r="C75" s="2499">
        <f t="shared" si="43"/>
        <v>78.825816029504836</v>
      </c>
      <c r="D75" s="2499">
        <f t="shared" si="43"/>
        <v>78.112126835870697</v>
      </c>
      <c r="E75" s="2499">
        <f t="shared" si="43"/>
        <v>77.45564719683648</v>
      </c>
      <c r="F75" s="2499">
        <f t="shared" si="43"/>
        <v>76.849763291061166</v>
      </c>
      <c r="G75" s="2499">
        <f t="shared" si="43"/>
        <v>76.288842940445434</v>
      </c>
      <c r="H75" s="2499">
        <f t="shared" si="43"/>
        <v>75.768060003111685</v>
      </c>
      <c r="I75" s="2499">
        <f t="shared" si="43"/>
        <v>75.283255161621369</v>
      </c>
      <c r="J75" s="2499">
        <f t="shared" si="43"/>
        <v>74.83082460003024</v>
      </c>
      <c r="K75" s="2499">
        <f t="shared" si="43"/>
        <v>74.407630262128365</v>
      </c>
      <c r="L75" s="2499">
        <f t="shared" si="43"/>
        <v>74.010926962592805</v>
      </c>
      <c r="M75" s="2499">
        <f t="shared" si="43"/>
        <v>73.638302770768036</v>
      </c>
      <c r="N75" s="2499">
        <f t="shared" si="43"/>
        <v>73.287629930449896</v>
      </c>
      <c r="O75" s="2499">
        <f t="shared" si="43"/>
        <v>72.957024205457543</v>
      </c>
      <c r="P75" s="2499">
        <f t="shared" si="43"/>
        <v>72.644811010367405</v>
      </c>
      <c r="Q75" s="2499">
        <f t="shared" si="43"/>
        <v>72.34949704099256</v>
      </c>
      <c r="R75" s="2499">
        <f t="shared" si="43"/>
        <v>72.069746390161853</v>
      </c>
      <c r="S75" s="56" t="s">
        <v>575</v>
      </c>
    </row>
    <row r="76" spans="1:19" hidden="1">
      <c r="A76" s="56">
        <v>300</v>
      </c>
      <c r="B76" s="70" t="s">
        <v>2107</v>
      </c>
      <c r="C76" s="2499">
        <f t="shared" si="43"/>
        <v>79.905364841349325</v>
      </c>
      <c r="D76" s="2499">
        <f t="shared" si="43"/>
        <v>79.146600540748821</v>
      </c>
      <c r="E76" s="2499">
        <f t="shared" si="43"/>
        <v>78.448659029775598</v>
      </c>
      <c r="F76" s="2499">
        <f t="shared" si="43"/>
        <v>77.804508772056579</v>
      </c>
      <c r="G76" s="2499">
        <f t="shared" si="43"/>
        <v>77.208161872980909</v>
      </c>
      <c r="H76" s="2499">
        <f t="shared" si="43"/>
        <v>76.654487381710283</v>
      </c>
      <c r="I76" s="2499">
        <f t="shared" si="43"/>
        <v>76.139063287073213</v>
      </c>
      <c r="J76" s="2499">
        <f t="shared" si="43"/>
        <v>75.65805816369739</v>
      </c>
      <c r="K76" s="2499">
        <f t="shared" si="43"/>
        <v>75.208135762349073</v>
      </c>
      <c r="L76" s="2499">
        <f t="shared" si="43"/>
        <v>74.78637751757968</v>
      </c>
      <c r="M76" s="2499">
        <f t="shared" si="43"/>
        <v>74.390219166271265</v>
      </c>
      <c r="N76" s="2499">
        <f t="shared" si="43"/>
        <v>74.017398567617235</v>
      </c>
      <c r="O76" s="2499">
        <f t="shared" si="43"/>
        <v>73.665912481046419</v>
      </c>
      <c r="P76" s="2499">
        <f t="shared" si="43"/>
        <v>73.333980557845322</v>
      </c>
      <c r="Q76" s="2499">
        <f t="shared" si="43"/>
        <v>73.020015179878385</v>
      </c>
      <c r="R76" s="2499">
        <f t="shared" si="43"/>
        <v>72.722596066889949</v>
      </c>
      <c r="S76" s="56" t="s">
        <v>575</v>
      </c>
    </row>
    <row r="77" spans="1:19" hidden="1">
      <c r="A77" s="56">
        <v>330</v>
      </c>
      <c r="B77" s="70" t="s">
        <v>2108</v>
      </c>
      <c r="C77" s="2499">
        <f t="shared" si="43"/>
        <v>81.524688059116059</v>
      </c>
      <c r="D77" s="2499">
        <f t="shared" si="43"/>
        <v>80.698311098066</v>
      </c>
      <c r="E77" s="2499">
        <f t="shared" si="43"/>
        <v>79.938176779184275</v>
      </c>
      <c r="F77" s="2499">
        <f t="shared" si="43"/>
        <v>79.236626993549706</v>
      </c>
      <c r="G77" s="2499">
        <f t="shared" si="43"/>
        <v>78.587140271784122</v>
      </c>
      <c r="H77" s="2499">
        <f t="shared" si="43"/>
        <v>77.984128449608193</v>
      </c>
      <c r="I77" s="2499">
        <f t="shared" si="43"/>
        <v>77.422775475250987</v>
      </c>
      <c r="J77" s="2499">
        <f t="shared" si="43"/>
        <v>76.898908509198108</v>
      </c>
      <c r="K77" s="2499">
        <f t="shared" si="43"/>
        <v>76.408894012680136</v>
      </c>
      <c r="L77" s="2499">
        <f t="shared" si="43"/>
        <v>75.949553350060015</v>
      </c>
      <c r="M77" s="2499">
        <f t="shared" si="43"/>
        <v>75.518093759526081</v>
      </c>
      <c r="N77" s="2499">
        <f t="shared" si="43"/>
        <v>75.112051523368237</v>
      </c>
      <c r="O77" s="2499">
        <f t="shared" si="43"/>
        <v>74.729244894429712</v>
      </c>
      <c r="P77" s="2499">
        <f t="shared" si="43"/>
        <v>74.367734879062198</v>
      </c>
      <c r="Q77" s="2499">
        <f t="shared" si="43"/>
        <v>74.025792388207122</v>
      </c>
      <c r="R77" s="2499">
        <f t="shared" si="43"/>
        <v>73.701870581982078</v>
      </c>
      <c r="S77" s="56" t="s">
        <v>575</v>
      </c>
    </row>
    <row r="78" spans="1:19" hidden="1">
      <c r="A78" s="56">
        <v>350</v>
      </c>
      <c r="B78" s="70" t="s">
        <v>2109</v>
      </c>
      <c r="C78" s="2499">
        <f t="shared" si="43"/>
        <v>82.604236870960548</v>
      </c>
      <c r="D78" s="2499">
        <f t="shared" si="43"/>
        <v>81.732784802944124</v>
      </c>
      <c r="E78" s="2499">
        <f t="shared" si="43"/>
        <v>80.931188612123407</v>
      </c>
      <c r="F78" s="2499">
        <f t="shared" si="43"/>
        <v>80.191372474545119</v>
      </c>
      <c r="G78" s="2499">
        <f t="shared" si="43"/>
        <v>79.506459204319583</v>
      </c>
      <c r="H78" s="2499">
        <f t="shared" si="43"/>
        <v>78.870555828206804</v>
      </c>
      <c r="I78" s="2499">
        <f t="shared" si="43"/>
        <v>78.278583600702831</v>
      </c>
      <c r="J78" s="2499">
        <f t="shared" si="43"/>
        <v>77.726142072865258</v>
      </c>
      <c r="K78" s="2499">
        <f t="shared" si="43"/>
        <v>77.209399512900859</v>
      </c>
      <c r="L78" s="2499">
        <f t="shared" si="43"/>
        <v>76.725003905046904</v>
      </c>
      <c r="M78" s="2499">
        <f t="shared" si="43"/>
        <v>76.270010155029297</v>
      </c>
      <c r="N78" s="2499">
        <f t="shared" si="43"/>
        <v>75.841820160535576</v>
      </c>
      <c r="O78" s="2499">
        <f t="shared" si="43"/>
        <v>75.438133170018588</v>
      </c>
      <c r="P78" s="2499">
        <f t="shared" si="43"/>
        <v>75.056904426540115</v>
      </c>
      <c r="Q78" s="2499">
        <f t="shared" si="43"/>
        <v>74.696310527092933</v>
      </c>
      <c r="R78" s="2499">
        <f t="shared" si="43"/>
        <v>74.354720258710174</v>
      </c>
      <c r="S78" s="56" t="s">
        <v>575</v>
      </c>
    </row>
    <row r="79" spans="1:19" hidden="1">
      <c r="A79" s="56">
        <v>375</v>
      </c>
      <c r="B79" s="70" t="s">
        <v>2110</v>
      </c>
      <c r="C79" s="2499">
        <f t="shared" si="43"/>
        <v>83.953672885766167</v>
      </c>
      <c r="D79" s="2499">
        <f t="shared" si="43"/>
        <v>83.025876934041776</v>
      </c>
      <c r="E79" s="2499">
        <f t="shared" si="43"/>
        <v>82.172453403297297</v>
      </c>
      <c r="F79" s="2499">
        <f t="shared" si="43"/>
        <v>81.384804325789389</v>
      </c>
      <c r="G79" s="2499">
        <f t="shared" si="43"/>
        <v>80.655607869988927</v>
      </c>
      <c r="H79" s="2499">
        <f t="shared" si="43"/>
        <v>79.978590051455058</v>
      </c>
      <c r="I79" s="2499">
        <f t="shared" si="43"/>
        <v>79.348343757517654</v>
      </c>
      <c r="J79" s="2499">
        <f t="shared" si="43"/>
        <v>78.760184027449185</v>
      </c>
      <c r="K79" s="2499">
        <f t="shared" si="43"/>
        <v>78.210031388176745</v>
      </c>
      <c r="L79" s="2499">
        <f t="shared" si="43"/>
        <v>77.694317098780516</v>
      </c>
      <c r="M79" s="2499">
        <f t="shared" si="43"/>
        <v>77.209905649408327</v>
      </c>
      <c r="N79" s="2499">
        <f t="shared" si="43"/>
        <v>76.75403095699474</v>
      </c>
      <c r="O79" s="2499">
        <f t="shared" si="43"/>
        <v>76.324243514504673</v>
      </c>
      <c r="P79" s="2499">
        <f t="shared" si="43"/>
        <v>75.918366360887504</v>
      </c>
      <c r="Q79" s="2499">
        <f t="shared" si="43"/>
        <v>75.534458200700215</v>
      </c>
      <c r="R79" s="2499">
        <f t="shared" si="43"/>
        <v>75.170782354620286</v>
      </c>
      <c r="S79" s="56" t="s">
        <v>575</v>
      </c>
    </row>
    <row r="80" spans="1:19" ht="15.75" thickBot="1"/>
    <row r="81" spans="1:21" ht="15.75" thickBot="1">
      <c r="B81" s="1390" t="str">
        <f>B40</f>
        <v>End Length</v>
      </c>
      <c r="C81" s="1391">
        <f>C40</f>
        <v>50</v>
      </c>
      <c r="D81" s="1391">
        <f t="shared" ref="D81:R81" si="44">D40</f>
        <v>100</v>
      </c>
      <c r="E81" s="1391">
        <f t="shared" si="44"/>
        <v>150</v>
      </c>
      <c r="F81" s="1391">
        <f t="shared" si="44"/>
        <v>200</v>
      </c>
      <c r="G81" s="1391">
        <f t="shared" si="44"/>
        <v>250</v>
      </c>
      <c r="H81" s="1391">
        <f t="shared" si="44"/>
        <v>300</v>
      </c>
      <c r="I81" s="1391">
        <f t="shared" si="44"/>
        <v>350</v>
      </c>
      <c r="J81" s="1391">
        <f t="shared" si="44"/>
        <v>400</v>
      </c>
      <c r="K81" s="1391">
        <f t="shared" si="44"/>
        <v>450</v>
      </c>
      <c r="L81" s="1391">
        <f t="shared" si="44"/>
        <v>500</v>
      </c>
      <c r="M81" s="1391">
        <f t="shared" si="44"/>
        <v>550</v>
      </c>
      <c r="N81" s="1391">
        <f t="shared" si="44"/>
        <v>600</v>
      </c>
      <c r="O81" s="1391">
        <f t="shared" si="44"/>
        <v>650</v>
      </c>
      <c r="P81" s="1391">
        <f t="shared" si="44"/>
        <v>700</v>
      </c>
      <c r="Q81" s="1391">
        <f t="shared" si="44"/>
        <v>750</v>
      </c>
      <c r="R81" s="1391">
        <f t="shared" si="44"/>
        <v>800</v>
      </c>
      <c r="S81" s="1392" t="s">
        <v>357</v>
      </c>
    </row>
    <row r="82" spans="1:21" ht="48" customHeight="1">
      <c r="B82" s="2500" t="s">
        <v>2113</v>
      </c>
      <c r="C82" s="2497" t="s">
        <v>2112</v>
      </c>
      <c r="D82" s="2497"/>
      <c r="E82" s="2501">
        <v>23</v>
      </c>
      <c r="F82" s="2502">
        <v>30</v>
      </c>
      <c r="G82" s="56" t="s">
        <v>2101</v>
      </c>
      <c r="H82" s="2503">
        <v>0.06</v>
      </c>
      <c r="I82" s="56" t="s">
        <v>2102</v>
      </c>
      <c r="J82" s="2503">
        <v>1.5</v>
      </c>
      <c r="K82" s="56" t="s">
        <v>2103</v>
      </c>
      <c r="T82" s="3244" t="s">
        <v>2114</v>
      </c>
      <c r="U82" s="3245"/>
    </row>
    <row r="83" spans="1:21">
      <c r="A83" s="56">
        <v>220</v>
      </c>
      <c r="B83" s="70" t="s">
        <v>2115</v>
      </c>
      <c r="C83" s="2504">
        <v>27.5</v>
      </c>
      <c r="D83" s="69">
        <f>(D$81-$C$81)*($H83-$C83)/($H$81-$C$81)+$C83</f>
        <v>27.74</v>
      </c>
      <c r="E83" s="69">
        <f>(E$81-$C$81)*($H83-$C83)/($H$81-$C$81)+$C83</f>
        <v>27.98</v>
      </c>
      <c r="F83" s="69">
        <f t="shared" ref="F83:G89" si="45">(F$81-$C$81)*($H83-$C83)/($H$81-$C$81)+$C83</f>
        <v>28.22</v>
      </c>
      <c r="G83" s="69">
        <f t="shared" si="45"/>
        <v>28.46</v>
      </c>
      <c r="H83" s="2504">
        <v>28.7</v>
      </c>
      <c r="I83" s="69">
        <f>(I$81-$H$81)*($L83-$H83)/($L$81-$H$81)+$H83</f>
        <v>28.925000000000001</v>
      </c>
      <c r="J83" s="69">
        <f t="shared" ref="J83:K89" si="46">(J$81-$H$81)*($L83-$H83)/($L$81-$H$81)+$H83</f>
        <v>29.15</v>
      </c>
      <c r="K83" s="69">
        <f t="shared" si="46"/>
        <v>29.375</v>
      </c>
      <c r="L83" s="2504">
        <v>29.6</v>
      </c>
      <c r="M83" s="69">
        <f>(M$81-$L$81)*($R83-$L83)/($R$81-$L$81)+$L83</f>
        <v>29.8</v>
      </c>
      <c r="N83" s="69">
        <f t="shared" ref="N83:Q89" si="47">(N$81-$L$81)*($R83-$L83)/($R$81-$L$81)+$L83</f>
        <v>30</v>
      </c>
      <c r="O83" s="69">
        <f t="shared" si="47"/>
        <v>30.200000000000003</v>
      </c>
      <c r="P83" s="69">
        <f t="shared" si="47"/>
        <v>30.400000000000002</v>
      </c>
      <c r="Q83" s="69">
        <f t="shared" si="47"/>
        <v>30.6</v>
      </c>
      <c r="R83" s="2504">
        <v>30.8</v>
      </c>
      <c r="S83" s="56" t="s">
        <v>575</v>
      </c>
      <c r="T83" s="2505">
        <v>18.940835522759006</v>
      </c>
      <c r="U83" s="2062" t="s">
        <v>732</v>
      </c>
    </row>
    <row r="84" spans="1:21">
      <c r="A84" s="56">
        <v>250</v>
      </c>
      <c r="B84" s="70" t="s">
        <v>2116</v>
      </c>
      <c r="C84" s="2504">
        <v>27.5</v>
      </c>
      <c r="D84" s="69">
        <f t="shared" ref="D84:E89" si="48">(D$81-$C$81)*($H84-$C84)/($H$81-$C$81)+$C84</f>
        <v>27.72</v>
      </c>
      <c r="E84" s="69">
        <f t="shared" si="48"/>
        <v>27.94</v>
      </c>
      <c r="F84" s="69">
        <f t="shared" si="45"/>
        <v>28.16</v>
      </c>
      <c r="G84" s="69">
        <f t="shared" si="45"/>
        <v>28.380000000000003</v>
      </c>
      <c r="H84" s="2504">
        <v>28.6</v>
      </c>
      <c r="I84" s="69">
        <f t="shared" ref="I84:I89" si="49">(I$81-$H$81)*($L84-$H84)/($L$81-$H$81)+$H84</f>
        <v>28.8</v>
      </c>
      <c r="J84" s="69">
        <f t="shared" si="46"/>
        <v>29</v>
      </c>
      <c r="K84" s="69">
        <f t="shared" si="46"/>
        <v>29.2</v>
      </c>
      <c r="L84" s="2504">
        <v>29.4</v>
      </c>
      <c r="M84" s="69">
        <f t="shared" ref="M84:M89" si="50">(M$81-$L$81)*($R84-$L84)/($R$81-$L$81)+$L84</f>
        <v>29.599999999999998</v>
      </c>
      <c r="N84" s="69">
        <f t="shared" si="47"/>
        <v>29.8</v>
      </c>
      <c r="O84" s="69">
        <f t="shared" si="47"/>
        <v>30</v>
      </c>
      <c r="P84" s="69">
        <f t="shared" si="47"/>
        <v>30.2</v>
      </c>
      <c r="Q84" s="69">
        <f t="shared" si="47"/>
        <v>30.400000000000002</v>
      </c>
      <c r="R84" s="2504">
        <v>30.6</v>
      </c>
      <c r="S84" s="56" t="s">
        <v>575</v>
      </c>
      <c r="T84" s="2506">
        <v>21.045372803065565</v>
      </c>
      <c r="U84" s="2060" t="s">
        <v>732</v>
      </c>
    </row>
    <row r="85" spans="1:21">
      <c r="A85" s="56">
        <v>280</v>
      </c>
      <c r="B85" s="70" t="s">
        <v>2117</v>
      </c>
      <c r="C85" s="2504">
        <v>27.5</v>
      </c>
      <c r="D85" s="69">
        <f t="shared" si="48"/>
        <v>27.72</v>
      </c>
      <c r="E85" s="69">
        <f t="shared" si="48"/>
        <v>27.94</v>
      </c>
      <c r="F85" s="69">
        <f t="shared" si="45"/>
        <v>28.16</v>
      </c>
      <c r="G85" s="69">
        <f t="shared" si="45"/>
        <v>28.380000000000003</v>
      </c>
      <c r="H85" s="2504">
        <v>28.6</v>
      </c>
      <c r="I85" s="69">
        <f t="shared" si="49"/>
        <v>28.775000000000002</v>
      </c>
      <c r="J85" s="69">
        <f t="shared" si="46"/>
        <v>28.950000000000003</v>
      </c>
      <c r="K85" s="69">
        <f t="shared" si="46"/>
        <v>29.125</v>
      </c>
      <c r="L85" s="2504">
        <v>29.3</v>
      </c>
      <c r="M85" s="69">
        <f t="shared" si="50"/>
        <v>29.466666666666669</v>
      </c>
      <c r="N85" s="69">
        <f t="shared" si="47"/>
        <v>29.633333333333333</v>
      </c>
      <c r="O85" s="2507">
        <f t="shared" si="47"/>
        <v>29.8</v>
      </c>
      <c r="P85" s="69">
        <f t="shared" si="47"/>
        <v>29.966666666666669</v>
      </c>
      <c r="Q85" s="69">
        <f t="shared" si="47"/>
        <v>30.133333333333333</v>
      </c>
      <c r="R85" s="2504">
        <v>30.3</v>
      </c>
      <c r="S85" s="56" t="s">
        <v>575</v>
      </c>
      <c r="T85" s="2506">
        <v>23.14991008337212</v>
      </c>
      <c r="U85" s="2060" t="s">
        <v>732</v>
      </c>
    </row>
    <row r="86" spans="1:21">
      <c r="A86" s="56">
        <v>300</v>
      </c>
      <c r="B86" s="70" t="s">
        <v>2118</v>
      </c>
      <c r="C86" s="2504">
        <v>27.5</v>
      </c>
      <c r="D86" s="69">
        <f t="shared" si="48"/>
        <v>27.7</v>
      </c>
      <c r="E86" s="69">
        <f t="shared" si="48"/>
        <v>27.9</v>
      </c>
      <c r="F86" s="69">
        <f t="shared" si="45"/>
        <v>28.1</v>
      </c>
      <c r="G86" s="69">
        <f t="shared" si="45"/>
        <v>28.3</v>
      </c>
      <c r="H86" s="2504">
        <v>28.5</v>
      </c>
      <c r="I86" s="69">
        <f t="shared" si="49"/>
        <v>28.675000000000001</v>
      </c>
      <c r="J86" s="69">
        <f t="shared" si="46"/>
        <v>28.85</v>
      </c>
      <c r="K86" s="69">
        <f t="shared" si="46"/>
        <v>29.024999999999999</v>
      </c>
      <c r="L86" s="2504">
        <v>29.2</v>
      </c>
      <c r="M86" s="69">
        <f t="shared" si="50"/>
        <v>29.366666666666667</v>
      </c>
      <c r="N86" s="69">
        <f t="shared" si="47"/>
        <v>29.533333333333331</v>
      </c>
      <c r="O86" s="69">
        <f t="shared" si="47"/>
        <v>29.7</v>
      </c>
      <c r="P86" s="69">
        <f t="shared" si="47"/>
        <v>29.866666666666667</v>
      </c>
      <c r="Q86" s="69">
        <f t="shared" si="47"/>
        <v>30.033333333333331</v>
      </c>
      <c r="R86" s="2504">
        <v>30.2</v>
      </c>
      <c r="S86" s="56" t="s">
        <v>575</v>
      </c>
      <c r="T86" s="2506">
        <v>24.552934936909825</v>
      </c>
      <c r="U86" s="2060" t="s">
        <v>732</v>
      </c>
    </row>
    <row r="87" spans="1:21">
      <c r="A87" s="56">
        <v>330</v>
      </c>
      <c r="B87" s="70" t="s">
        <v>2119</v>
      </c>
      <c r="C87" s="2504">
        <v>27.5</v>
      </c>
      <c r="D87" s="69">
        <f t="shared" si="48"/>
        <v>27.68</v>
      </c>
      <c r="E87" s="69">
        <f t="shared" si="48"/>
        <v>27.86</v>
      </c>
      <c r="F87" s="69">
        <f t="shared" si="45"/>
        <v>28.04</v>
      </c>
      <c r="G87" s="69">
        <f t="shared" si="45"/>
        <v>28.22</v>
      </c>
      <c r="H87" s="2504">
        <v>28.4</v>
      </c>
      <c r="I87" s="69">
        <f t="shared" si="49"/>
        <v>28.549999999999997</v>
      </c>
      <c r="J87" s="69">
        <f t="shared" si="46"/>
        <v>28.7</v>
      </c>
      <c r="K87" s="69">
        <f t="shared" si="46"/>
        <v>28.85</v>
      </c>
      <c r="L87" s="2504">
        <v>29</v>
      </c>
      <c r="M87" s="69">
        <f t="shared" si="50"/>
        <v>29.166666666666668</v>
      </c>
      <c r="N87" s="69">
        <f t="shared" si="47"/>
        <v>29.333333333333332</v>
      </c>
      <c r="O87" s="69">
        <f t="shared" si="47"/>
        <v>29.5</v>
      </c>
      <c r="P87" s="69">
        <f t="shared" si="47"/>
        <v>29.666666666666668</v>
      </c>
      <c r="Q87" s="69">
        <f t="shared" si="47"/>
        <v>29.833333333333332</v>
      </c>
      <c r="R87" s="2504">
        <v>30</v>
      </c>
      <c r="S87" s="56" t="s">
        <v>575</v>
      </c>
      <c r="T87" s="2506">
        <v>26.65747221721638</v>
      </c>
      <c r="U87" s="2060" t="s">
        <v>732</v>
      </c>
    </row>
    <row r="88" spans="1:21">
      <c r="A88" s="56">
        <v>350</v>
      </c>
      <c r="B88" s="70" t="s">
        <v>2120</v>
      </c>
      <c r="C88" s="2504">
        <v>27.5</v>
      </c>
      <c r="D88" s="69">
        <f t="shared" si="48"/>
        <v>27.66</v>
      </c>
      <c r="E88" s="69">
        <f t="shared" si="48"/>
        <v>27.82</v>
      </c>
      <c r="F88" s="69">
        <f t="shared" si="45"/>
        <v>27.98</v>
      </c>
      <c r="G88" s="69">
        <f t="shared" si="45"/>
        <v>28.14</v>
      </c>
      <c r="H88" s="2504">
        <v>28.3</v>
      </c>
      <c r="I88" s="69">
        <f t="shared" si="49"/>
        <v>28.475000000000001</v>
      </c>
      <c r="J88" s="69">
        <f t="shared" si="46"/>
        <v>28.65</v>
      </c>
      <c r="K88" s="69">
        <f t="shared" si="46"/>
        <v>28.824999999999999</v>
      </c>
      <c r="L88" s="2504">
        <v>29</v>
      </c>
      <c r="M88" s="69">
        <f t="shared" si="50"/>
        <v>29.15</v>
      </c>
      <c r="N88" s="69">
        <f t="shared" si="47"/>
        <v>29.3</v>
      </c>
      <c r="O88" s="69">
        <f t="shared" si="47"/>
        <v>29.45</v>
      </c>
      <c r="P88" s="69">
        <f t="shared" si="47"/>
        <v>29.599999999999998</v>
      </c>
      <c r="Q88" s="69">
        <f t="shared" si="47"/>
        <v>29.75</v>
      </c>
      <c r="R88" s="2504">
        <v>29.9</v>
      </c>
      <c r="S88" s="56" t="s">
        <v>575</v>
      </c>
      <c r="T88" s="2506">
        <v>28.060497070754085</v>
      </c>
      <c r="U88" s="2060" t="s">
        <v>732</v>
      </c>
    </row>
    <row r="89" spans="1:21">
      <c r="A89" s="56">
        <v>375</v>
      </c>
      <c r="B89" s="70" t="s">
        <v>2121</v>
      </c>
      <c r="C89" s="2504">
        <v>27.5</v>
      </c>
      <c r="D89" s="69">
        <f t="shared" si="48"/>
        <v>27.66</v>
      </c>
      <c r="E89" s="69">
        <f t="shared" si="48"/>
        <v>27.82</v>
      </c>
      <c r="F89" s="69">
        <f t="shared" si="45"/>
        <v>27.98</v>
      </c>
      <c r="G89" s="69">
        <f t="shared" si="45"/>
        <v>28.14</v>
      </c>
      <c r="H89" s="2504">
        <v>28.3</v>
      </c>
      <c r="I89" s="69">
        <f t="shared" si="49"/>
        <v>28.45</v>
      </c>
      <c r="J89" s="69">
        <f t="shared" si="46"/>
        <v>28.6</v>
      </c>
      <c r="K89" s="69">
        <f t="shared" si="46"/>
        <v>28.75</v>
      </c>
      <c r="L89" s="2504">
        <v>28.9</v>
      </c>
      <c r="M89" s="69">
        <f t="shared" si="50"/>
        <v>29.033333333333331</v>
      </c>
      <c r="N89" s="69">
        <f t="shared" si="47"/>
        <v>29.166666666666664</v>
      </c>
      <c r="O89" s="69">
        <f t="shared" si="47"/>
        <v>29.299999999999997</v>
      </c>
      <c r="P89" s="69">
        <f t="shared" si="47"/>
        <v>29.433333333333334</v>
      </c>
      <c r="Q89" s="69">
        <f t="shared" si="47"/>
        <v>29.566666666666666</v>
      </c>
      <c r="R89" s="2504">
        <v>29.7</v>
      </c>
      <c r="S89" s="56" t="s">
        <v>575</v>
      </c>
      <c r="T89" s="2508">
        <v>29.814278137676215</v>
      </c>
      <c r="U89" s="2061" t="s">
        <v>732</v>
      </c>
    </row>
    <row r="90" spans="1:21">
      <c r="C90" s="2509" t="s">
        <v>2122</v>
      </c>
    </row>
    <row r="91" spans="1:21">
      <c r="C91" s="56" t="s">
        <v>2123</v>
      </c>
    </row>
    <row r="93" spans="1:21" hidden="1"/>
    <row r="94" spans="1:21" hidden="1">
      <c r="A94" s="2510"/>
      <c r="B94" s="2510"/>
      <c r="C94" s="2510"/>
      <c r="D94" s="2510"/>
      <c r="E94" s="2510"/>
      <c r="F94" s="2510"/>
      <c r="G94" s="2510"/>
      <c r="H94" s="2510"/>
      <c r="I94" s="2510"/>
      <c r="J94" s="2510"/>
      <c r="K94" s="2510"/>
      <c r="L94" s="2510"/>
      <c r="M94" s="2510"/>
      <c r="N94" s="2510"/>
      <c r="O94" s="2510"/>
      <c r="P94" s="2510"/>
      <c r="Q94" s="2510"/>
      <c r="R94" s="2510"/>
      <c r="S94" s="2510"/>
    </row>
    <row r="95" spans="1:21" ht="30" hidden="1">
      <c r="A95" s="2510"/>
      <c r="B95" s="2511" t="s">
        <v>2111</v>
      </c>
      <c r="C95" s="2512" t="s">
        <v>2112</v>
      </c>
      <c r="D95" s="2512"/>
      <c r="E95" s="2513">
        <f>$C$26</f>
        <v>23</v>
      </c>
      <c r="F95" s="2514">
        <f>$C$27</f>
        <v>30</v>
      </c>
      <c r="G95" s="2510" t="s">
        <v>2101</v>
      </c>
      <c r="H95" s="2515">
        <f>$C$48</f>
        <v>0.06</v>
      </c>
      <c r="I95" s="2510" t="s">
        <v>2102</v>
      </c>
      <c r="J95" s="2515">
        <f>$C$44</f>
        <v>1.5</v>
      </c>
      <c r="K95" s="2510" t="s">
        <v>2103</v>
      </c>
      <c r="L95" s="2510"/>
      <c r="M95" s="2510"/>
      <c r="N95" s="2510"/>
      <c r="O95" s="2510"/>
      <c r="P95" s="2510"/>
      <c r="Q95" s="2510"/>
      <c r="R95" s="2510"/>
      <c r="S95" s="2510"/>
    </row>
    <row r="96" spans="1:21" hidden="1">
      <c r="A96" s="2510">
        <v>220</v>
      </c>
      <c r="B96" s="2516" t="s">
        <v>2104</v>
      </c>
      <c r="C96" s="2517">
        <f>(C73-C$21)/(-C$17*4.18)</f>
        <v>64.612490707653748</v>
      </c>
      <c r="D96" s="2517">
        <f t="shared" ref="D96:R98" si="51">(((((($A96*D$44)+(D$42+D$45)))/D$53)+D$35)-D$21)/(-D$17*4.18)</f>
        <v>72.674505559793161</v>
      </c>
      <c r="E96" s="2517">
        <f t="shared" si="51"/>
        <v>80.090266716370209</v>
      </c>
      <c r="F96" s="2517">
        <f t="shared" si="51"/>
        <v>86.934485587276654</v>
      </c>
      <c r="G96" s="2517">
        <f t="shared" si="51"/>
        <v>93.270784690397903</v>
      </c>
      <c r="H96" s="2517">
        <f t="shared" si="51"/>
        <v>99.153681353224172</v>
      </c>
      <c r="I96" s="2517">
        <f t="shared" si="51"/>
        <v>104.63016028459438</v>
      </c>
      <c r="J96" s="2517">
        <f t="shared" si="51"/>
        <v>109.74093110702502</v>
      </c>
      <c r="K96" s="2517">
        <f t="shared" si="51"/>
        <v>114.52144210248123</v>
      </c>
      <c r="L96" s="2517">
        <f t="shared" si="51"/>
        <v>119.00270358335482</v>
      </c>
      <c r="M96" s="2517">
        <f t="shared" si="51"/>
        <v>123.21196133246065</v>
      </c>
      <c r="N96" s="2517">
        <f t="shared" si="51"/>
        <v>127.17325102565455</v>
      </c>
      <c r="O96" s="2517">
        <f t="shared" si="51"/>
        <v>130.90785747460274</v>
      </c>
      <c r="P96" s="2517">
        <f t="shared" si="51"/>
        <v>134.43469722263569</v>
      </c>
      <c r="Q96" s="2517">
        <f t="shared" si="51"/>
        <v>137.77063901407703</v>
      </c>
      <c r="R96" s="2517">
        <f t="shared" si="51"/>
        <v>140.93077359648336</v>
      </c>
      <c r="S96" s="2510" t="s">
        <v>575</v>
      </c>
    </row>
    <row r="97" spans="1:19" hidden="1">
      <c r="A97" s="2510">
        <v>250</v>
      </c>
      <c r="B97" s="2516" t="s">
        <v>2105</v>
      </c>
      <c r="C97" s="2517">
        <f>(C74-C$21)/(-C$17*4.18)</f>
        <v>42.044084196242707</v>
      </c>
      <c r="D97" s="2517">
        <f t="shared" si="51"/>
        <v>51.048412472658214</v>
      </c>
      <c r="E97" s="2517">
        <f t="shared" si="51"/>
        <v>59.330950907276716</v>
      </c>
      <c r="F97" s="2517">
        <f t="shared" si="51"/>
        <v>66.975143412445064</v>
      </c>
      <c r="G97" s="2517">
        <f t="shared" si="51"/>
        <v>74.052048904242653</v>
      </c>
      <c r="H97" s="2517">
        <f t="shared" si="51"/>
        <v>80.622556865321343</v>
      </c>
      <c r="I97" s="2517">
        <f t="shared" si="51"/>
        <v>86.739143723734855</v>
      </c>
      <c r="J97" s="2517">
        <f t="shared" si="51"/>
        <v>92.447277369566507</v>
      </c>
      <c r="K97" s="2517">
        <f t="shared" si="51"/>
        <v>97.78654939046568</v>
      </c>
      <c r="L97" s="2517">
        <f t="shared" si="51"/>
        <v>102.7915946807919</v>
      </c>
      <c r="M97" s="2517">
        <f t="shared" si="51"/>
        <v>107.49284359537764</v>
      </c>
      <c r="N97" s="2517">
        <f t="shared" si="51"/>
        <v>111.91714117478907</v>
      </c>
      <c r="O97" s="2517">
        <f t="shared" si="51"/>
        <v>116.08826006582207</v>
      </c>
      <c r="P97" s="2517">
        <f t="shared" si="51"/>
        <v>120.02732783635258</v>
      </c>
      <c r="Q97" s="2517">
        <f t="shared" si="51"/>
        <v>123.75318490211816</v>
      </c>
      <c r="R97" s="2517">
        <f t="shared" si="51"/>
        <v>127.28268586428607</v>
      </c>
      <c r="S97" s="2510" t="s">
        <v>575</v>
      </c>
    </row>
    <row r="98" spans="1:19" hidden="1">
      <c r="A98" s="2510">
        <v>280</v>
      </c>
      <c r="B98" s="2516" t="s">
        <v>2106</v>
      </c>
      <c r="C98" s="2517">
        <f t="shared" ref="C98:C102" si="52">(C75-C$21)/(-C$17*4.18)</f>
        <v>19.475677684831659</v>
      </c>
      <c r="D98" s="2517">
        <f t="shared" si="51"/>
        <v>29.422319385523068</v>
      </c>
      <c r="E98" s="2517">
        <f t="shared" si="51"/>
        <v>38.571635098183229</v>
      </c>
      <c r="F98" s="2517">
        <f t="shared" si="51"/>
        <v>47.015801237613275</v>
      </c>
      <c r="G98" s="2517">
        <f t="shared" si="51"/>
        <v>54.833313118087403</v>
      </c>
      <c r="H98" s="2517">
        <f t="shared" si="51"/>
        <v>62.091432377418514</v>
      </c>
      <c r="I98" s="2517">
        <f t="shared" si="51"/>
        <v>68.848127162875329</v>
      </c>
      <c r="J98" s="2517">
        <f t="shared" si="51"/>
        <v>75.15362363210798</v>
      </c>
      <c r="K98" s="2517">
        <f t="shared" si="51"/>
        <v>81.05165667844993</v>
      </c>
      <c r="L98" s="2517">
        <f t="shared" si="51"/>
        <v>86.580485778228976</v>
      </c>
      <c r="M98" s="2517">
        <f t="shared" si="51"/>
        <v>91.773725858294824</v>
      </c>
      <c r="N98" s="2517">
        <f t="shared" si="51"/>
        <v>96.661031323923595</v>
      </c>
      <c r="O98" s="2517">
        <f t="shared" si="51"/>
        <v>101.26866265704142</v>
      </c>
      <c r="P98" s="2517">
        <f t="shared" si="51"/>
        <v>105.61995845006926</v>
      </c>
      <c r="Q98" s="2517">
        <f t="shared" si="51"/>
        <v>109.73573079015929</v>
      </c>
      <c r="R98" s="2517">
        <f t="shared" si="51"/>
        <v>113.63459813208897</v>
      </c>
      <c r="S98" s="2510" t="s">
        <v>575</v>
      </c>
    </row>
    <row r="99" spans="1:19" hidden="1">
      <c r="A99" s="2510">
        <v>300</v>
      </c>
      <c r="B99" s="2516" t="s">
        <v>2107</v>
      </c>
      <c r="C99" s="2517">
        <f t="shared" si="52"/>
        <v>4.4300733438909639</v>
      </c>
      <c r="D99" s="2517">
        <f t="shared" ref="D99:R102" si="53">(((($A99*$C$44)+(D$42+D$45)))/D$53)+D$35</f>
        <v>79.146600540748821</v>
      </c>
      <c r="E99" s="2517">
        <f t="shared" si="53"/>
        <v>78.448659029775598</v>
      </c>
      <c r="F99" s="2517">
        <f t="shared" si="53"/>
        <v>77.804508772056579</v>
      </c>
      <c r="G99" s="2517">
        <f t="shared" si="53"/>
        <v>77.208161872980909</v>
      </c>
      <c r="H99" s="2517">
        <f t="shared" si="53"/>
        <v>76.654487381710283</v>
      </c>
      <c r="I99" s="2517">
        <f t="shared" si="53"/>
        <v>76.139063287073213</v>
      </c>
      <c r="J99" s="2517">
        <f t="shared" si="53"/>
        <v>75.65805816369739</v>
      </c>
      <c r="K99" s="2517">
        <f t="shared" si="53"/>
        <v>75.208135762349073</v>
      </c>
      <c r="L99" s="2517">
        <f t="shared" si="53"/>
        <v>74.78637751757968</v>
      </c>
      <c r="M99" s="2517">
        <f t="shared" si="53"/>
        <v>74.390219166271265</v>
      </c>
      <c r="N99" s="2517">
        <f t="shared" si="53"/>
        <v>74.017398567617235</v>
      </c>
      <c r="O99" s="2517">
        <f t="shared" si="53"/>
        <v>73.665912481046419</v>
      </c>
      <c r="P99" s="2517">
        <f t="shared" si="53"/>
        <v>73.333980557845322</v>
      </c>
      <c r="Q99" s="2517">
        <f t="shared" si="53"/>
        <v>73.020015179878385</v>
      </c>
      <c r="R99" s="2517">
        <f t="shared" si="53"/>
        <v>72.722596066889949</v>
      </c>
      <c r="S99" s="2510" t="s">
        <v>575</v>
      </c>
    </row>
    <row r="100" spans="1:19" hidden="1">
      <c r="A100" s="2510">
        <v>330</v>
      </c>
      <c r="B100" s="2516" t="s">
        <v>2108</v>
      </c>
      <c r="C100" s="2517">
        <f t="shared" si="52"/>
        <v>-18.138333167520081</v>
      </c>
      <c r="D100" s="2517">
        <f t="shared" si="53"/>
        <v>80.698311098066</v>
      </c>
      <c r="E100" s="2517">
        <f t="shared" si="53"/>
        <v>79.938176779184275</v>
      </c>
      <c r="F100" s="2517">
        <f t="shared" si="53"/>
        <v>79.236626993549706</v>
      </c>
      <c r="G100" s="2517">
        <f t="shared" si="53"/>
        <v>78.587140271784122</v>
      </c>
      <c r="H100" s="2517">
        <f t="shared" si="53"/>
        <v>77.984128449608193</v>
      </c>
      <c r="I100" s="2517">
        <f t="shared" si="53"/>
        <v>77.422775475250987</v>
      </c>
      <c r="J100" s="2517">
        <f t="shared" si="53"/>
        <v>76.898908509198108</v>
      </c>
      <c r="K100" s="2517">
        <f t="shared" si="53"/>
        <v>76.408894012680136</v>
      </c>
      <c r="L100" s="2517">
        <f t="shared" si="53"/>
        <v>75.949553350060015</v>
      </c>
      <c r="M100" s="2517">
        <f t="shared" si="53"/>
        <v>75.518093759526081</v>
      </c>
      <c r="N100" s="2517">
        <f t="shared" si="53"/>
        <v>75.112051523368237</v>
      </c>
      <c r="O100" s="2517">
        <f t="shared" si="53"/>
        <v>74.729244894429712</v>
      </c>
      <c r="P100" s="2517">
        <f t="shared" si="53"/>
        <v>74.367734879062198</v>
      </c>
      <c r="Q100" s="2517">
        <f t="shared" si="53"/>
        <v>74.025792388207122</v>
      </c>
      <c r="R100" s="2517">
        <f t="shared" si="53"/>
        <v>73.701870581982078</v>
      </c>
      <c r="S100" s="2510" t="s">
        <v>575</v>
      </c>
    </row>
    <row r="101" spans="1:19" hidden="1">
      <c r="A101" s="2510">
        <v>350</v>
      </c>
      <c r="B101" s="2516" t="s">
        <v>2109</v>
      </c>
      <c r="C101" s="2517">
        <f t="shared" si="52"/>
        <v>-33.183937508460779</v>
      </c>
      <c r="D101" s="2517">
        <f t="shared" si="53"/>
        <v>81.732784802944124</v>
      </c>
      <c r="E101" s="2517">
        <f t="shared" si="53"/>
        <v>80.931188612123407</v>
      </c>
      <c r="F101" s="2517">
        <f t="shared" si="53"/>
        <v>80.191372474545119</v>
      </c>
      <c r="G101" s="2517">
        <f t="shared" si="53"/>
        <v>79.506459204319583</v>
      </c>
      <c r="H101" s="2517">
        <f t="shared" si="53"/>
        <v>78.870555828206804</v>
      </c>
      <c r="I101" s="2517">
        <f t="shared" si="53"/>
        <v>78.278583600702831</v>
      </c>
      <c r="J101" s="2517">
        <f t="shared" si="53"/>
        <v>77.726142072865258</v>
      </c>
      <c r="K101" s="2517">
        <f t="shared" si="53"/>
        <v>77.209399512900859</v>
      </c>
      <c r="L101" s="2517">
        <f t="shared" si="53"/>
        <v>76.725003905046904</v>
      </c>
      <c r="M101" s="2517">
        <f t="shared" si="53"/>
        <v>76.270010155029297</v>
      </c>
      <c r="N101" s="2517">
        <f t="shared" si="53"/>
        <v>75.841820160535576</v>
      </c>
      <c r="O101" s="2517">
        <f t="shared" si="53"/>
        <v>75.438133170018588</v>
      </c>
      <c r="P101" s="2517">
        <f t="shared" si="53"/>
        <v>75.056904426540115</v>
      </c>
      <c r="Q101" s="2517">
        <f t="shared" si="53"/>
        <v>74.696310527092933</v>
      </c>
      <c r="R101" s="2517">
        <f t="shared" si="53"/>
        <v>74.354720258710174</v>
      </c>
      <c r="S101" s="2510" t="s">
        <v>575</v>
      </c>
    </row>
    <row r="102" spans="1:19" hidden="1">
      <c r="A102" s="2510">
        <v>375</v>
      </c>
      <c r="B102" s="2516" t="s">
        <v>2110</v>
      </c>
      <c r="C102" s="2517">
        <f t="shared" si="52"/>
        <v>-51.990942934636749</v>
      </c>
      <c r="D102" s="2517">
        <f t="shared" si="53"/>
        <v>83.025876934041776</v>
      </c>
      <c r="E102" s="2517">
        <f t="shared" si="53"/>
        <v>82.172453403297297</v>
      </c>
      <c r="F102" s="2517">
        <f t="shared" si="53"/>
        <v>81.384804325789389</v>
      </c>
      <c r="G102" s="2517">
        <f t="shared" si="53"/>
        <v>80.655607869988927</v>
      </c>
      <c r="H102" s="2517">
        <f t="shared" si="53"/>
        <v>79.978590051455058</v>
      </c>
      <c r="I102" s="2517">
        <f t="shared" si="53"/>
        <v>79.348343757517654</v>
      </c>
      <c r="J102" s="2517">
        <f t="shared" si="53"/>
        <v>78.760184027449185</v>
      </c>
      <c r="K102" s="2517">
        <f t="shared" si="53"/>
        <v>78.210031388176745</v>
      </c>
      <c r="L102" s="2517">
        <f t="shared" si="53"/>
        <v>77.694317098780516</v>
      </c>
      <c r="M102" s="2517">
        <f t="shared" si="53"/>
        <v>77.209905649408327</v>
      </c>
      <c r="N102" s="2517">
        <f t="shared" si="53"/>
        <v>76.75403095699474</v>
      </c>
      <c r="O102" s="2517">
        <f t="shared" si="53"/>
        <v>76.324243514504673</v>
      </c>
      <c r="P102" s="2517">
        <f t="shared" si="53"/>
        <v>75.918366360887504</v>
      </c>
      <c r="Q102" s="2517">
        <f t="shared" si="53"/>
        <v>75.534458200700215</v>
      </c>
      <c r="R102" s="2517">
        <f t="shared" si="53"/>
        <v>75.170782354620286</v>
      </c>
      <c r="S102" s="2510" t="s">
        <v>575</v>
      </c>
    </row>
    <row r="103" spans="1:19" hidden="1">
      <c r="A103" s="2510"/>
      <c r="B103" s="2510"/>
      <c r="C103" s="2510" t="s">
        <v>2124</v>
      </c>
      <c r="D103" s="2510"/>
      <c r="E103" s="2510"/>
      <c r="F103" s="2510"/>
      <c r="G103" s="2510"/>
      <c r="H103" s="2510"/>
      <c r="I103" s="2510"/>
      <c r="J103" s="2510"/>
      <c r="K103" s="2510"/>
      <c r="L103" s="2510"/>
      <c r="M103" s="2510"/>
      <c r="N103" s="2510"/>
      <c r="O103" s="2510"/>
      <c r="P103" s="2510"/>
      <c r="Q103" s="2510"/>
      <c r="R103" s="2510"/>
      <c r="S103" s="2510"/>
    </row>
    <row r="104" spans="1:19" hidden="1">
      <c r="A104" s="2510"/>
      <c r="B104" s="2510"/>
      <c r="C104" s="2510" t="s">
        <v>2125</v>
      </c>
      <c r="D104" s="2510"/>
      <c r="E104" s="2510"/>
      <c r="F104" s="2510"/>
      <c r="G104" s="2510"/>
      <c r="H104" s="2510"/>
      <c r="I104" s="2510"/>
      <c r="J104" s="2510"/>
      <c r="K104" s="2510"/>
      <c r="L104" s="2510"/>
      <c r="M104" s="2510"/>
      <c r="N104" s="2510"/>
      <c r="O104" s="2510"/>
      <c r="P104" s="2510"/>
      <c r="Q104" s="2510"/>
      <c r="R104" s="2510"/>
      <c r="S104" s="2510"/>
    </row>
    <row r="105" spans="1:19" hidden="1"/>
    <row r="106" spans="1:19" hidden="1">
      <c r="A106" s="2510"/>
      <c r="B106" s="2510"/>
      <c r="C106" s="2510">
        <v>50</v>
      </c>
      <c r="D106" s="2510">
        <v>100</v>
      </c>
      <c r="E106" s="2510">
        <v>150</v>
      </c>
      <c r="F106" s="2510">
        <v>200</v>
      </c>
      <c r="G106" s="2510">
        <v>250</v>
      </c>
      <c r="H106" s="2510">
        <v>300</v>
      </c>
      <c r="I106" s="2510">
        <v>350</v>
      </c>
      <c r="J106" s="2510">
        <v>400</v>
      </c>
      <c r="K106" s="2510">
        <v>450</v>
      </c>
      <c r="L106" s="2510">
        <v>500</v>
      </c>
      <c r="M106" s="2510">
        <v>550</v>
      </c>
      <c r="N106" s="2510">
        <v>600</v>
      </c>
      <c r="O106" s="2510">
        <v>650</v>
      </c>
      <c r="P106" s="2510">
        <v>700</v>
      </c>
      <c r="Q106" s="2510">
        <v>750</v>
      </c>
      <c r="R106" s="2510">
        <v>800</v>
      </c>
      <c r="S106" s="2510" t="s">
        <v>357</v>
      </c>
    </row>
    <row r="107" spans="1:19" ht="30" hidden="1">
      <c r="A107" s="2510"/>
      <c r="B107" s="2511" t="s">
        <v>2126</v>
      </c>
      <c r="C107" s="2512" t="s">
        <v>2112</v>
      </c>
      <c r="D107" s="2512"/>
      <c r="E107" s="2513">
        <v>20</v>
      </c>
      <c r="F107" s="2514">
        <v>26</v>
      </c>
      <c r="G107" s="2510" t="s">
        <v>2101</v>
      </c>
      <c r="H107" s="2515">
        <v>0.06</v>
      </c>
      <c r="I107" s="2510" t="s">
        <v>2102</v>
      </c>
      <c r="J107" s="2515">
        <v>1.5</v>
      </c>
      <c r="K107" s="2510" t="s">
        <v>2103</v>
      </c>
      <c r="L107" s="2510"/>
      <c r="M107" s="2510"/>
      <c r="N107" s="2510"/>
      <c r="O107" s="2510"/>
      <c r="P107" s="2510"/>
      <c r="Q107" s="2510"/>
      <c r="R107" s="2510"/>
      <c r="S107" s="2510"/>
    </row>
    <row r="108" spans="1:19" hidden="1">
      <c r="A108" s="2510">
        <v>220</v>
      </c>
      <c r="B108" s="2516" t="s">
        <v>2115</v>
      </c>
      <c r="C108" s="2518">
        <v>25.1</v>
      </c>
      <c r="D108" s="2518">
        <v>25.3</v>
      </c>
      <c r="E108" s="2519">
        <v>25.6</v>
      </c>
      <c r="F108" s="2519">
        <v>25.8</v>
      </c>
      <c r="G108" s="2519">
        <v>26.1</v>
      </c>
      <c r="H108" s="2518">
        <v>26.3</v>
      </c>
      <c r="I108" s="2519">
        <v>26.5</v>
      </c>
      <c r="J108" s="2519">
        <v>26.8</v>
      </c>
      <c r="K108" s="2519">
        <v>27</v>
      </c>
      <c r="L108" s="2518">
        <v>27.2</v>
      </c>
      <c r="M108" s="2519">
        <v>27.4</v>
      </c>
      <c r="N108" s="2519">
        <v>27.6</v>
      </c>
      <c r="O108" s="2519">
        <v>27.8</v>
      </c>
      <c r="P108" s="2519">
        <v>28</v>
      </c>
      <c r="Q108" s="2519">
        <v>28.2</v>
      </c>
      <c r="R108" s="2518">
        <v>28.4</v>
      </c>
      <c r="S108" s="2510" t="s">
        <v>575</v>
      </c>
    </row>
    <row r="109" spans="1:19" hidden="1">
      <c r="A109" s="2510">
        <v>250</v>
      </c>
      <c r="B109" s="2516" t="s">
        <v>2116</v>
      </c>
      <c r="C109" s="2518">
        <v>25.5</v>
      </c>
      <c r="D109" s="2518">
        <v>25.8</v>
      </c>
      <c r="E109" s="2519">
        <v>26</v>
      </c>
      <c r="F109" s="2519">
        <v>26.3</v>
      </c>
      <c r="G109" s="2519">
        <v>26.5</v>
      </c>
      <c r="H109" s="2518">
        <v>26.8</v>
      </c>
      <c r="I109" s="2519">
        <v>27</v>
      </c>
      <c r="J109" s="2519">
        <v>27.2</v>
      </c>
      <c r="K109" s="2519">
        <v>27.4</v>
      </c>
      <c r="L109" s="2518">
        <v>27.6</v>
      </c>
      <c r="M109" s="2519">
        <v>27.8</v>
      </c>
      <c r="N109" s="2519">
        <v>28</v>
      </c>
      <c r="O109" s="2519">
        <v>28.2</v>
      </c>
      <c r="P109" s="2519">
        <v>28.4</v>
      </c>
      <c r="Q109" s="2519">
        <v>28.6</v>
      </c>
      <c r="R109" s="2518">
        <v>28.8</v>
      </c>
      <c r="S109" s="2510" t="s">
        <v>575</v>
      </c>
    </row>
    <row r="110" spans="1:19" hidden="1">
      <c r="A110" s="2510">
        <v>280</v>
      </c>
      <c r="B110" s="2516" t="s">
        <v>2117</v>
      </c>
      <c r="C110" s="2518">
        <v>26</v>
      </c>
      <c r="D110" s="2518">
        <v>26.3</v>
      </c>
      <c r="E110" s="2519">
        <v>26.5</v>
      </c>
      <c r="F110" s="2519">
        <v>26.7</v>
      </c>
      <c r="G110" s="2519">
        <v>27</v>
      </c>
      <c r="H110" s="2518">
        <v>27.2</v>
      </c>
      <c r="I110" s="2519">
        <v>27.4</v>
      </c>
      <c r="J110" s="2519">
        <v>27.6</v>
      </c>
      <c r="K110" s="2519">
        <v>27.8</v>
      </c>
      <c r="L110" s="2518">
        <v>28</v>
      </c>
      <c r="M110" s="2519">
        <v>28.2</v>
      </c>
      <c r="N110" s="2519">
        <v>28.4</v>
      </c>
      <c r="O110" s="2519">
        <v>28.6</v>
      </c>
      <c r="P110" s="2519">
        <v>28.8</v>
      </c>
      <c r="Q110" s="2519">
        <v>29</v>
      </c>
      <c r="R110" s="2518">
        <v>29.2</v>
      </c>
      <c r="S110" s="2510" t="s">
        <v>575</v>
      </c>
    </row>
    <row r="111" spans="1:19" hidden="1">
      <c r="A111" s="2510">
        <v>300</v>
      </c>
      <c r="B111" s="2516" t="s">
        <v>2118</v>
      </c>
      <c r="C111" s="2518">
        <v>26.3</v>
      </c>
      <c r="D111" s="2518">
        <v>26.6</v>
      </c>
      <c r="E111" s="2519">
        <v>26.8</v>
      </c>
      <c r="F111" s="2519">
        <v>27</v>
      </c>
      <c r="G111" s="2519">
        <v>27.3</v>
      </c>
      <c r="H111" s="2518">
        <v>27.5</v>
      </c>
      <c r="I111" s="2519">
        <v>27.7</v>
      </c>
      <c r="J111" s="2519">
        <v>27.9</v>
      </c>
      <c r="K111" s="2519">
        <v>28.1</v>
      </c>
      <c r="L111" s="2518">
        <v>28.3</v>
      </c>
      <c r="M111" s="2519">
        <v>28.5</v>
      </c>
      <c r="N111" s="2519">
        <v>28.7</v>
      </c>
      <c r="O111" s="2519">
        <v>28.9</v>
      </c>
      <c r="P111" s="2519">
        <v>29</v>
      </c>
      <c r="Q111" s="2519">
        <v>29.2</v>
      </c>
      <c r="R111" s="2518">
        <v>29.4</v>
      </c>
      <c r="S111" s="2510" t="s">
        <v>575</v>
      </c>
    </row>
    <row r="112" spans="1:19" hidden="1">
      <c r="A112" s="2510">
        <v>330</v>
      </c>
      <c r="B112" s="2516" t="s">
        <v>2119</v>
      </c>
      <c r="C112" s="2518">
        <v>26.8</v>
      </c>
      <c r="D112" s="2518">
        <v>27</v>
      </c>
      <c r="E112" s="2519">
        <v>27.2</v>
      </c>
      <c r="F112" s="2519">
        <v>27.5</v>
      </c>
      <c r="G112" s="2519">
        <v>27.7</v>
      </c>
      <c r="H112" s="2518">
        <v>27.9</v>
      </c>
      <c r="I112" s="2519">
        <v>28.1</v>
      </c>
      <c r="J112" s="2519">
        <v>28.3</v>
      </c>
      <c r="K112" s="2519">
        <v>28.5</v>
      </c>
      <c r="L112" s="2518">
        <v>28.7</v>
      </c>
      <c r="M112" s="2519">
        <v>28.9</v>
      </c>
      <c r="N112" s="2519">
        <v>29.1</v>
      </c>
      <c r="O112" s="2519">
        <v>29.3</v>
      </c>
      <c r="P112" s="2519">
        <v>29.4</v>
      </c>
      <c r="Q112" s="2519">
        <v>29.6</v>
      </c>
      <c r="R112" s="2518">
        <v>29.8</v>
      </c>
      <c r="S112" s="2510" t="s">
        <v>575</v>
      </c>
    </row>
    <row r="113" spans="1:19" hidden="1">
      <c r="A113" s="2510">
        <v>350</v>
      </c>
      <c r="B113" s="2516" t="s">
        <v>2120</v>
      </c>
      <c r="C113" s="2518">
        <v>27.1</v>
      </c>
      <c r="D113" s="2518">
        <v>27.3</v>
      </c>
      <c r="E113" s="2519">
        <v>27.5</v>
      </c>
      <c r="F113" s="2519">
        <v>27.8</v>
      </c>
      <c r="G113" s="2519">
        <v>28</v>
      </c>
      <c r="H113" s="2518">
        <v>28.2</v>
      </c>
      <c r="I113" s="2519">
        <v>28.4</v>
      </c>
      <c r="J113" s="2519">
        <v>28.6</v>
      </c>
      <c r="K113" s="2519">
        <v>28.8</v>
      </c>
      <c r="L113" s="2518">
        <v>29</v>
      </c>
      <c r="M113" s="2519">
        <v>29.2</v>
      </c>
      <c r="N113" s="2519">
        <v>29.3</v>
      </c>
      <c r="O113" s="2519">
        <v>29.5</v>
      </c>
      <c r="P113" s="2519">
        <v>29.7</v>
      </c>
      <c r="Q113" s="2519">
        <v>29.8</v>
      </c>
      <c r="R113" s="2518">
        <v>30</v>
      </c>
      <c r="S113" s="2510" t="s">
        <v>575</v>
      </c>
    </row>
    <row r="114" spans="1:19" hidden="1">
      <c r="A114" s="2510">
        <v>375</v>
      </c>
      <c r="B114" s="2516" t="s">
        <v>2121</v>
      </c>
      <c r="C114" s="2518">
        <v>27.4</v>
      </c>
      <c r="D114" s="2518">
        <v>27.7</v>
      </c>
      <c r="E114" s="2519">
        <v>27.8</v>
      </c>
      <c r="F114" s="2519">
        <v>28.1</v>
      </c>
      <c r="G114" s="2519">
        <v>28.3</v>
      </c>
      <c r="H114" s="2518">
        <v>28.5</v>
      </c>
      <c r="I114" s="2519">
        <v>28.7</v>
      </c>
      <c r="J114" s="2519">
        <v>28.9</v>
      </c>
      <c r="K114" s="2519">
        <v>29.1</v>
      </c>
      <c r="L114" s="2518">
        <v>29.3</v>
      </c>
      <c r="M114" s="2519">
        <v>29.5</v>
      </c>
      <c r="N114" s="2519">
        <v>29.6</v>
      </c>
      <c r="O114" s="2518">
        <v>29.8</v>
      </c>
      <c r="P114" s="2519">
        <v>30</v>
      </c>
      <c r="Q114" s="2519">
        <v>30.1</v>
      </c>
      <c r="R114" s="2518">
        <v>30.3</v>
      </c>
      <c r="S114" s="2510" t="s">
        <v>575</v>
      </c>
    </row>
    <row r="115" spans="1:19" hidden="1"/>
  </sheetData>
  <mergeCells count="3">
    <mergeCell ref="B63:F63"/>
    <mergeCell ref="T82:U82"/>
    <mergeCell ref="F1:I1"/>
  </mergeCells>
  <hyperlinks>
    <hyperlink ref="F1" location="INDEX!A1" display="INDEX!A1"/>
  </hyperlinks>
  <pageMargins left="0.7" right="0.7" top="0.75" bottom="0.75" header="0.3" footer="0.3"/>
  <pageSetup paperSize="9" orientation="portrait" r:id="rId1"/>
  <drawing r:id="rId2"/>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BA16AE"/>
  </sheetPr>
  <dimension ref="B1:P130"/>
  <sheetViews>
    <sheetView topLeftCell="A22" zoomScale="85" zoomScaleNormal="85" workbookViewId="0">
      <selection activeCell="C56" sqref="C56"/>
    </sheetView>
  </sheetViews>
  <sheetFormatPr defaultRowHeight="15"/>
  <cols>
    <col min="2" max="2" width="41.85546875" customWidth="1"/>
    <col min="3" max="3" width="11.28515625" customWidth="1"/>
    <col min="4" max="4" width="10.7109375" style="56" customWidth="1"/>
    <col min="5" max="5" width="11.28515625" style="56" customWidth="1"/>
    <col min="7" max="7" width="11.7109375" customWidth="1"/>
    <col min="8" max="8" width="11.5703125" customWidth="1"/>
    <col min="9" max="9" width="5.140625" customWidth="1"/>
    <col min="10" max="10" width="4.5703125" bestFit="1" customWidth="1"/>
    <col min="13" max="13" width="26.5703125" style="2092" customWidth="1"/>
    <col min="14" max="14" width="22.7109375" style="2092" customWidth="1"/>
    <col min="15" max="15" width="18.85546875" style="2092" customWidth="1"/>
    <col min="16" max="16" width="55.28515625" style="2092" customWidth="1"/>
  </cols>
  <sheetData>
    <row r="1" spans="2:10" ht="15.75" thickBot="1"/>
    <row r="2" spans="2:10" ht="24" thickBot="1">
      <c r="B2" s="3193" t="s">
        <v>1749</v>
      </c>
      <c r="C2" s="3194"/>
      <c r="D2" s="3194"/>
      <c r="E2" s="3195"/>
    </row>
    <row r="3" spans="2:10" ht="15.75" thickBot="1"/>
    <row r="4" spans="2:10" ht="36" customHeight="1">
      <c r="B4" s="2124" t="s">
        <v>1932</v>
      </c>
      <c r="C4" s="507"/>
      <c r="D4" s="2163"/>
      <c r="E4" s="2163"/>
      <c r="F4" s="2163"/>
      <c r="G4" s="2164"/>
      <c r="H4" s="2164"/>
      <c r="I4" s="2164"/>
      <c r="J4" s="2165"/>
    </row>
    <row r="5" spans="2:10" ht="48">
      <c r="B5" s="3270" t="s">
        <v>1919</v>
      </c>
      <c r="C5" s="3269" t="s">
        <v>927</v>
      </c>
      <c r="D5" s="3271"/>
      <c r="E5" s="2166" t="s">
        <v>1920</v>
      </c>
      <c r="F5" s="2167"/>
      <c r="G5" s="2651" t="s">
        <v>1922</v>
      </c>
      <c r="H5" s="2651" t="s">
        <v>1921</v>
      </c>
      <c r="I5" s="2167"/>
      <c r="J5" s="2168"/>
    </row>
    <row r="6" spans="2:10">
      <c r="B6" s="3270"/>
      <c r="C6" s="3269"/>
      <c r="D6" s="3272"/>
      <c r="E6" s="2652">
        <v>0.06</v>
      </c>
      <c r="F6" s="2169" t="s">
        <v>732</v>
      </c>
      <c r="G6" s="2170">
        <v>1.5</v>
      </c>
      <c r="H6" s="2170">
        <v>2</v>
      </c>
      <c r="I6" s="2167"/>
      <c r="J6" s="2168"/>
    </row>
    <row r="7" spans="2:10">
      <c r="B7" s="2162" t="s">
        <v>1923</v>
      </c>
      <c r="C7" s="2653">
        <v>345</v>
      </c>
      <c r="D7" s="2171" t="s">
        <v>218</v>
      </c>
      <c r="E7" s="2172">
        <f t="shared" ref="E7:E15" si="0">C7*$E$6</f>
        <v>20.7</v>
      </c>
      <c r="F7" s="2173" t="s">
        <v>732</v>
      </c>
      <c r="G7" s="2174">
        <f t="shared" ref="G7:G15" si="1">C7*$G$6</f>
        <v>517.5</v>
      </c>
      <c r="H7" s="2175">
        <f t="shared" ref="H7:H9" si="2">C7*$H$6</f>
        <v>690</v>
      </c>
      <c r="I7" s="2176" t="s">
        <v>218</v>
      </c>
      <c r="J7" s="2168"/>
    </row>
    <row r="8" spans="2:10">
      <c r="B8" s="2162" t="s">
        <v>2066</v>
      </c>
      <c r="C8" s="1553">
        <v>330</v>
      </c>
      <c r="D8" s="2171" t="s">
        <v>218</v>
      </c>
      <c r="E8" s="2172">
        <f t="shared" si="0"/>
        <v>19.8</v>
      </c>
      <c r="F8" s="2173" t="s">
        <v>732</v>
      </c>
      <c r="G8" s="2174">
        <f t="shared" si="1"/>
        <v>495</v>
      </c>
      <c r="H8" s="2175">
        <f t="shared" si="2"/>
        <v>660</v>
      </c>
      <c r="I8" s="2176" t="s">
        <v>218</v>
      </c>
      <c r="J8" s="2168"/>
    </row>
    <row r="9" spans="2:10">
      <c r="B9" s="2162" t="s">
        <v>1924</v>
      </c>
      <c r="C9" s="1553">
        <v>256</v>
      </c>
      <c r="D9" s="2171" t="s">
        <v>218</v>
      </c>
      <c r="E9" s="2172">
        <f t="shared" si="0"/>
        <v>15.36</v>
      </c>
      <c r="F9" s="2173" t="s">
        <v>732</v>
      </c>
      <c r="G9" s="2174">
        <f t="shared" si="1"/>
        <v>384</v>
      </c>
      <c r="H9" s="2175">
        <f t="shared" si="2"/>
        <v>512</v>
      </c>
      <c r="I9" s="2176" t="s">
        <v>218</v>
      </c>
      <c r="J9" s="2168"/>
    </row>
    <row r="10" spans="2:10">
      <c r="B10" s="2162" t="s">
        <v>1925</v>
      </c>
      <c r="C10" s="1553">
        <v>293</v>
      </c>
      <c r="D10" s="2171" t="s">
        <v>218</v>
      </c>
      <c r="E10" s="2172">
        <f t="shared" si="0"/>
        <v>17.579999999999998</v>
      </c>
      <c r="F10" s="2173" t="s">
        <v>732</v>
      </c>
      <c r="G10" s="2174">
        <f t="shared" si="1"/>
        <v>439.5</v>
      </c>
      <c r="H10" s="2175">
        <f t="shared" ref="H10:H20" si="3">C10*$H$6</f>
        <v>586</v>
      </c>
      <c r="I10" s="2176" t="s">
        <v>218</v>
      </c>
      <c r="J10" s="2168"/>
    </row>
    <row r="11" spans="2:10">
      <c r="B11" s="2162" t="s">
        <v>1926</v>
      </c>
      <c r="C11" s="1553">
        <v>375</v>
      </c>
      <c r="D11" s="2171" t="s">
        <v>218</v>
      </c>
      <c r="E11" s="2172">
        <f t="shared" si="0"/>
        <v>22.5</v>
      </c>
      <c r="F11" s="2173" t="s">
        <v>732</v>
      </c>
      <c r="G11" s="2174">
        <f t="shared" si="1"/>
        <v>562.5</v>
      </c>
      <c r="H11" s="2175">
        <f t="shared" si="3"/>
        <v>750</v>
      </c>
      <c r="I11" s="2176" t="s">
        <v>218</v>
      </c>
      <c r="J11" s="2168"/>
    </row>
    <row r="12" spans="2:10">
      <c r="B12" s="2162" t="s">
        <v>1927</v>
      </c>
      <c r="C12" s="1553">
        <v>155</v>
      </c>
      <c r="D12" s="2171" t="s">
        <v>218</v>
      </c>
      <c r="E12" s="2172">
        <f t="shared" si="0"/>
        <v>9.2999999999999989</v>
      </c>
      <c r="F12" s="2173" t="s">
        <v>732</v>
      </c>
      <c r="G12" s="2174">
        <f t="shared" si="1"/>
        <v>232.5</v>
      </c>
      <c r="H12" s="2175">
        <f t="shared" si="3"/>
        <v>310</v>
      </c>
      <c r="I12" s="2176" t="s">
        <v>218</v>
      </c>
      <c r="J12" s="2168"/>
    </row>
    <row r="13" spans="2:10">
      <c r="B13" s="2162" t="s">
        <v>1928</v>
      </c>
      <c r="C13" s="1553">
        <v>110</v>
      </c>
      <c r="D13" s="2171" t="s">
        <v>218</v>
      </c>
      <c r="E13" s="2172">
        <f t="shared" si="0"/>
        <v>6.6</v>
      </c>
      <c r="F13" s="2173" t="s">
        <v>732</v>
      </c>
      <c r="G13" s="2174">
        <f t="shared" si="1"/>
        <v>165</v>
      </c>
      <c r="H13" s="2175">
        <f t="shared" si="3"/>
        <v>220</v>
      </c>
      <c r="I13" s="2176" t="s">
        <v>218</v>
      </c>
      <c r="J13" s="2168"/>
    </row>
    <row r="14" spans="2:10">
      <c r="B14" s="2162" t="s">
        <v>1929</v>
      </c>
      <c r="C14" s="1553">
        <v>75</v>
      </c>
      <c r="D14" s="2171" t="s">
        <v>218</v>
      </c>
      <c r="E14" s="2172">
        <f t="shared" si="0"/>
        <v>4.5</v>
      </c>
      <c r="F14" s="2173" t="s">
        <v>732</v>
      </c>
      <c r="G14" s="2174">
        <f t="shared" si="1"/>
        <v>112.5</v>
      </c>
      <c r="H14" s="2175">
        <f t="shared" si="3"/>
        <v>150</v>
      </c>
      <c r="I14" s="2176" t="s">
        <v>218</v>
      </c>
      <c r="J14" s="2168"/>
    </row>
    <row r="15" spans="2:10">
      <c r="B15" s="2162" t="s">
        <v>1930</v>
      </c>
      <c r="C15" s="1553">
        <v>118</v>
      </c>
      <c r="D15" s="2171" t="s">
        <v>218</v>
      </c>
      <c r="E15" s="2172">
        <f t="shared" si="0"/>
        <v>7.08</v>
      </c>
      <c r="F15" s="2173" t="s">
        <v>732</v>
      </c>
      <c r="G15" s="2174">
        <f t="shared" si="1"/>
        <v>177</v>
      </c>
      <c r="H15" s="2175">
        <f t="shared" si="3"/>
        <v>236</v>
      </c>
      <c r="I15" s="2176" t="s">
        <v>218</v>
      </c>
      <c r="J15" s="2168"/>
    </row>
    <row r="16" spans="2:10">
      <c r="B16" s="2162" t="s">
        <v>1931</v>
      </c>
      <c r="C16" s="1553">
        <v>120</v>
      </c>
      <c r="D16" s="2171" t="s">
        <v>218</v>
      </c>
      <c r="E16" s="2172"/>
      <c r="F16" s="2173"/>
      <c r="G16" s="2174"/>
      <c r="H16" s="2175">
        <f t="shared" si="3"/>
        <v>240</v>
      </c>
      <c r="I16" s="2176" t="s">
        <v>218</v>
      </c>
      <c r="J16" s="2168"/>
    </row>
    <row r="17" spans="2:16">
      <c r="B17" s="2162"/>
      <c r="C17" s="1553"/>
      <c r="D17" s="2171"/>
      <c r="E17" s="2172"/>
      <c r="F17" s="2173"/>
      <c r="G17" s="2174"/>
      <c r="H17" s="2175">
        <f t="shared" si="3"/>
        <v>0</v>
      </c>
      <c r="I17" s="2176" t="s">
        <v>218</v>
      </c>
      <c r="J17" s="2168"/>
    </row>
    <row r="18" spans="2:16">
      <c r="B18" s="2162"/>
      <c r="C18" s="1553"/>
      <c r="D18" s="2171" t="s">
        <v>218</v>
      </c>
      <c r="E18" s="2172">
        <f>C18*$E$6</f>
        <v>0</v>
      </c>
      <c r="F18" s="2173" t="s">
        <v>732</v>
      </c>
      <c r="G18" s="2174">
        <f>C18*$G$6</f>
        <v>0</v>
      </c>
      <c r="H18" s="2175">
        <f t="shared" si="3"/>
        <v>0</v>
      </c>
      <c r="I18" s="2176" t="s">
        <v>218</v>
      </c>
      <c r="J18" s="2168"/>
    </row>
    <row r="19" spans="2:16">
      <c r="B19" s="2162"/>
      <c r="C19" s="1553"/>
      <c r="D19" s="2171" t="s">
        <v>218</v>
      </c>
      <c r="E19" s="2172">
        <f>C19*$E$6</f>
        <v>0</v>
      </c>
      <c r="F19" s="2173" t="s">
        <v>732</v>
      </c>
      <c r="G19" s="2174">
        <f>C19*$G$6</f>
        <v>0</v>
      </c>
      <c r="H19" s="2175">
        <f t="shared" si="3"/>
        <v>0</v>
      </c>
      <c r="I19" s="2176" t="s">
        <v>218</v>
      </c>
      <c r="J19" s="2168"/>
    </row>
    <row r="20" spans="2:16">
      <c r="B20" s="2162"/>
      <c r="C20" s="1553"/>
      <c r="D20" s="2171" t="s">
        <v>218</v>
      </c>
      <c r="E20" s="2172">
        <f>C20*$E$6</f>
        <v>0</v>
      </c>
      <c r="F20" s="2173" t="s">
        <v>732</v>
      </c>
      <c r="G20" s="2174">
        <f>C20*$G$6</f>
        <v>0</v>
      </c>
      <c r="H20" s="2175">
        <f t="shared" si="3"/>
        <v>0</v>
      </c>
      <c r="I20" s="2176" t="s">
        <v>218</v>
      </c>
      <c r="J20" s="2168"/>
    </row>
    <row r="21" spans="2:16">
      <c r="B21" s="1134"/>
      <c r="C21" s="1128"/>
      <c r="D21" s="2167"/>
      <c r="E21" s="2167"/>
      <c r="F21" s="2167"/>
      <c r="G21" s="2167"/>
      <c r="H21" s="2167"/>
      <c r="I21" s="2167"/>
      <c r="J21" s="2168"/>
    </row>
    <row r="22" spans="2:16" s="56" customFormat="1" ht="14.45" customHeight="1">
      <c r="B22" s="1134"/>
      <c r="C22" s="1128"/>
      <c r="D22" s="2167"/>
      <c r="E22" s="2167"/>
      <c r="F22" s="2167"/>
      <c r="G22" s="2167"/>
      <c r="H22" s="2167"/>
      <c r="I22" s="2167"/>
      <c r="J22" s="2168"/>
      <c r="M22" s="2092"/>
      <c r="N22" s="2092"/>
      <c r="O22" s="2092"/>
      <c r="P22" s="2092"/>
    </row>
    <row r="23" spans="2:16" s="56" customFormat="1" ht="15.75" thickBot="1">
      <c r="B23" s="1559"/>
      <c r="C23" s="1174"/>
      <c r="D23" s="1174"/>
      <c r="E23" s="1174"/>
      <c r="F23" s="1174"/>
      <c r="G23" s="1174"/>
      <c r="H23" s="1174"/>
      <c r="I23" s="1174"/>
      <c r="J23" s="1175"/>
      <c r="M23" s="2092"/>
      <c r="N23" s="2092"/>
      <c r="O23" s="2092"/>
      <c r="P23" s="2092"/>
    </row>
    <row r="24" spans="2:16" s="56" customFormat="1">
      <c r="B24" s="2177"/>
      <c r="C24" s="2167"/>
      <c r="D24" s="2167"/>
      <c r="E24" s="2167"/>
      <c r="F24" s="2168"/>
      <c r="H24" s="2235" t="s">
        <v>1618</v>
      </c>
      <c r="I24" s="3047" t="s">
        <v>1619</v>
      </c>
      <c r="J24" s="3048"/>
      <c r="M24" s="2092"/>
      <c r="N24" s="2092"/>
      <c r="O24" s="2092"/>
      <c r="P24" s="2092"/>
    </row>
    <row r="25" spans="2:16" s="56" customFormat="1" ht="14.45" customHeight="1" thickBot="1">
      <c r="B25" s="2177"/>
      <c r="C25" s="2167"/>
      <c r="D25" s="2167"/>
      <c r="E25" s="2167"/>
      <c r="F25" s="2168"/>
      <c r="H25" s="2236"/>
      <c r="I25" s="3049"/>
      <c r="J25" s="3050"/>
      <c r="K25" s="435"/>
      <c r="M25" s="2092"/>
      <c r="N25" s="2092"/>
      <c r="O25" s="2092"/>
      <c r="P25" s="2092"/>
    </row>
    <row r="26" spans="2:16" ht="24" customHeight="1" thickBot="1">
      <c r="B26" s="3255" t="s">
        <v>2033</v>
      </c>
      <c r="C26" s="3256"/>
      <c r="D26" s="3256"/>
      <c r="E26" s="2167"/>
      <c r="F26" s="2168"/>
      <c r="G26" s="56"/>
      <c r="H26" s="1764">
        <v>45</v>
      </c>
      <c r="I26" s="2237">
        <v>12.5</v>
      </c>
      <c r="J26" s="780" t="s">
        <v>732</v>
      </c>
      <c r="K26" s="2240">
        <f>H27</f>
        <v>55</v>
      </c>
    </row>
    <row r="27" spans="2:16" s="56" customFormat="1">
      <c r="B27" s="3249" t="s">
        <v>2016</v>
      </c>
      <c r="C27" s="3250"/>
      <c r="D27" s="3251"/>
      <c r="E27" s="2167"/>
      <c r="F27" s="2168"/>
      <c r="H27" s="1765">
        <v>55</v>
      </c>
      <c r="I27" s="2238">
        <v>35</v>
      </c>
      <c r="J27" s="782" t="s">
        <v>732</v>
      </c>
      <c r="K27" s="2240">
        <f>H28</f>
        <v>75</v>
      </c>
      <c r="M27" s="2092"/>
      <c r="N27" s="2092"/>
      <c r="O27" s="2092"/>
      <c r="P27" s="2092"/>
    </row>
    <row r="28" spans="2:16">
      <c r="B28" s="2178" t="s">
        <v>719</v>
      </c>
      <c r="C28" s="443">
        <v>27.5</v>
      </c>
      <c r="D28" s="2179" t="s">
        <v>575</v>
      </c>
      <c r="E28" s="2167"/>
      <c r="F28" s="2168"/>
      <c r="G28" s="56"/>
      <c r="H28" s="1765">
        <v>75</v>
      </c>
      <c r="I28" s="2238">
        <v>38</v>
      </c>
      <c r="J28" s="782" t="s">
        <v>732</v>
      </c>
      <c r="K28" s="2240">
        <f>H29</f>
        <v>90</v>
      </c>
    </row>
    <row r="29" spans="2:16" s="56" customFormat="1">
      <c r="B29" s="2178" t="s">
        <v>722</v>
      </c>
      <c r="C29" s="443">
        <v>36</v>
      </c>
      <c r="D29" s="2179" t="s">
        <v>575</v>
      </c>
      <c r="E29" s="2167"/>
      <c r="F29" s="2168"/>
      <c r="H29" s="1766">
        <v>90</v>
      </c>
      <c r="I29" s="2238">
        <v>42</v>
      </c>
      <c r="J29" s="782" t="s">
        <v>732</v>
      </c>
      <c r="K29" s="2240" t="str">
        <f>H30</f>
        <v>90+90</v>
      </c>
      <c r="M29" s="2092"/>
      <c r="N29" s="2092"/>
      <c r="O29" s="2092"/>
      <c r="P29" s="2092"/>
    </row>
    <row r="30" spans="2:16" ht="15.75" thickBot="1">
      <c r="B30" s="2178" t="s">
        <v>689</v>
      </c>
      <c r="C30" s="443">
        <v>122</v>
      </c>
      <c r="D30" s="2179" t="s">
        <v>721</v>
      </c>
      <c r="E30" s="2167"/>
      <c r="F30" s="2168"/>
      <c r="G30" s="56"/>
      <c r="H30" s="1767" t="s">
        <v>2037</v>
      </c>
      <c r="I30" s="2239">
        <v>50</v>
      </c>
      <c r="J30" s="796" t="s">
        <v>732</v>
      </c>
      <c r="K30" s="2240" t="str">
        <f>H30</f>
        <v>90+90</v>
      </c>
    </row>
    <row r="31" spans="2:16" s="56" customFormat="1" ht="14.45" hidden="1" customHeight="1">
      <c r="B31" s="2178" t="s">
        <v>726</v>
      </c>
      <c r="C31" s="616">
        <f>EXP(SUM(17.27*C28)/(SUM(237.3+C28)))*0.6105-((0.000644*C30)*(C29-C28))</f>
        <v>3.0016390313892991</v>
      </c>
      <c r="D31" s="2179" t="s">
        <v>721</v>
      </c>
      <c r="E31" s="2167"/>
      <c r="F31" s="2168"/>
      <c r="K31" s="1771">
        <f>I31</f>
        <v>0</v>
      </c>
      <c r="M31" s="2092"/>
      <c r="N31" s="2092"/>
      <c r="O31" s="2092"/>
      <c r="P31" s="2092"/>
    </row>
    <row r="32" spans="2:16" s="56" customFormat="1" ht="14.45" hidden="1" customHeight="1">
      <c r="B32" s="2180" t="s">
        <v>729</v>
      </c>
      <c r="C32" s="616">
        <f>SUM((0.622*C31)/(C30-C31))</f>
        <v>1.5689455403647325E-2</v>
      </c>
      <c r="D32" s="2179" t="s">
        <v>730</v>
      </c>
      <c r="E32" s="2167"/>
      <c r="F32" s="2168"/>
      <c r="K32" s="1771">
        <f>I32</f>
        <v>0</v>
      </c>
      <c r="M32" s="2092"/>
      <c r="N32" s="2092"/>
      <c r="O32" s="2092"/>
      <c r="P32" s="2092"/>
    </row>
    <row r="33" spans="2:16" s="56" customFormat="1" ht="14.45" hidden="1" customHeight="1">
      <c r="B33" s="2180" t="s">
        <v>733</v>
      </c>
      <c r="C33" s="2181">
        <f>C32*1000</f>
        <v>15.689455403647326</v>
      </c>
      <c r="D33" s="2179" t="s">
        <v>730</v>
      </c>
      <c r="E33" s="2167"/>
      <c r="F33" s="2168"/>
      <c r="K33" s="1771">
        <f>I33</f>
        <v>0</v>
      </c>
      <c r="M33" s="2092"/>
      <c r="N33" s="2092"/>
      <c r="O33" s="2092"/>
      <c r="P33" s="2092"/>
    </row>
    <row r="34" spans="2:16" ht="14.45" hidden="1" customHeight="1">
      <c r="B34" s="2178" t="s">
        <v>735</v>
      </c>
      <c r="C34" s="616">
        <f>SUM((0.287*(273.15+C29))/(C30-C31))</f>
        <v>0.74560732835138865</v>
      </c>
      <c r="D34" s="2179" t="s">
        <v>736</v>
      </c>
      <c r="E34" s="2167"/>
      <c r="F34" s="2168"/>
      <c r="G34" s="56"/>
      <c r="H34" s="56"/>
      <c r="I34" s="56"/>
      <c r="J34" s="56"/>
      <c r="K34" s="1771">
        <f>I34</f>
        <v>0</v>
      </c>
    </row>
    <row r="35" spans="2:16">
      <c r="B35" s="2182" t="s">
        <v>738</v>
      </c>
      <c r="C35" s="2183">
        <f>SUM(1+C32)/C34</f>
        <v>1.3622310521671466</v>
      </c>
      <c r="D35" s="2184" t="s">
        <v>728</v>
      </c>
      <c r="E35" s="2167"/>
      <c r="F35" s="2168"/>
      <c r="G35" s="56"/>
      <c r="H35" s="56"/>
      <c r="I35" s="56"/>
      <c r="J35" s="56"/>
      <c r="K35" s="1771">
        <f>I36</f>
        <v>0</v>
      </c>
    </row>
    <row r="36" spans="2:16" s="56" customFormat="1" ht="15" customHeight="1">
      <c r="B36" s="2182" t="s">
        <v>740</v>
      </c>
      <c r="C36" s="2183">
        <f>(1.005*C29)+SUM((C32*((1.8*C29)+2501)))</f>
        <v>76.436004674678301</v>
      </c>
      <c r="D36" s="2184" t="s">
        <v>724</v>
      </c>
      <c r="E36" s="2167"/>
      <c r="F36" s="2168"/>
      <c r="M36" s="2092"/>
      <c r="N36" s="2092"/>
      <c r="O36" s="2092"/>
      <c r="P36" s="2092"/>
    </row>
    <row r="37" spans="2:16" s="56" customFormat="1" ht="15.75" thickBot="1">
      <c r="B37" s="2185" t="s">
        <v>741</v>
      </c>
      <c r="C37" s="2186">
        <f>SUM(C36-(C32*(4.18*C28)))</f>
        <v>74.632501776029045</v>
      </c>
      <c r="D37" s="2187" t="s">
        <v>724</v>
      </c>
      <c r="E37" s="2167"/>
      <c r="F37" s="2168"/>
      <c r="M37" s="2092"/>
      <c r="N37" s="2092"/>
      <c r="O37" s="2092"/>
      <c r="P37" s="2092"/>
    </row>
    <row r="38" spans="2:16" s="56" customFormat="1" hidden="1">
      <c r="B38" s="2188" t="s">
        <v>743</v>
      </c>
      <c r="C38" s="2189">
        <f>SUM(C31/((EXP(SUM(17.27*C29)/(SUM(237.3+C29))))*0.6105))*100</f>
        <v>50.548985020844597</v>
      </c>
      <c r="D38" s="2190" t="s">
        <v>211</v>
      </c>
      <c r="E38" s="2167"/>
      <c r="F38" s="2168"/>
      <c r="M38" s="2092"/>
      <c r="N38" s="2092"/>
      <c r="O38" s="2092"/>
      <c r="P38" s="2092"/>
    </row>
    <row r="39" spans="2:16" s="56" customFormat="1" ht="15.75" hidden="1" thickBot="1">
      <c r="B39" s="2191" t="s">
        <v>747</v>
      </c>
      <c r="C39" s="2192">
        <f>SUM(237.3*(LN(C31/0.6105)))/SUM(17.27-(LN(C31/6105)))</f>
        <v>15.185506184376692</v>
      </c>
      <c r="D39" s="2193" t="s">
        <v>575</v>
      </c>
      <c r="E39" s="2167"/>
      <c r="F39" s="2168"/>
      <c r="M39" s="2092"/>
      <c r="N39" s="2092"/>
      <c r="O39" s="2092"/>
      <c r="P39" s="2092"/>
    </row>
    <row r="40" spans="2:16" s="56" customFormat="1">
      <c r="B40" s="3252" t="s">
        <v>2023</v>
      </c>
      <c r="C40" s="3253"/>
      <c r="D40" s="3254"/>
      <c r="E40" s="2167"/>
      <c r="F40" s="2168"/>
      <c r="M40" s="2092"/>
      <c r="N40" s="2092"/>
      <c r="O40" s="2092"/>
      <c r="P40" s="2092"/>
    </row>
    <row r="41" spans="2:16" s="56" customFormat="1">
      <c r="B41" s="2178" t="s">
        <v>719</v>
      </c>
      <c r="C41" s="443">
        <v>23</v>
      </c>
      <c r="D41" s="2179" t="s">
        <v>575</v>
      </c>
      <c r="E41" s="2167"/>
      <c r="F41" s="2168"/>
      <c r="M41" s="2092"/>
      <c r="N41" s="2092"/>
      <c r="O41" s="2092"/>
      <c r="P41" s="2092"/>
    </row>
    <row r="42" spans="2:16">
      <c r="B42" s="2178" t="s">
        <v>722</v>
      </c>
      <c r="C42" s="443">
        <v>30</v>
      </c>
      <c r="D42" s="2179" t="s">
        <v>575</v>
      </c>
      <c r="E42" s="2167"/>
      <c r="F42" s="2168"/>
      <c r="G42" s="56"/>
      <c r="H42" s="56"/>
      <c r="I42" s="56"/>
      <c r="J42" s="56"/>
    </row>
    <row r="43" spans="2:16" hidden="1">
      <c r="B43" s="2178" t="s">
        <v>689</v>
      </c>
      <c r="C43" s="2194">
        <v>122</v>
      </c>
      <c r="D43" s="2179" t="s">
        <v>721</v>
      </c>
      <c r="E43" s="2167"/>
      <c r="F43" s="2168"/>
      <c r="G43" s="56"/>
      <c r="H43" s="56"/>
      <c r="I43" s="56"/>
      <c r="J43" s="56"/>
    </row>
    <row r="44" spans="2:16" hidden="1">
      <c r="B44" s="2178" t="s">
        <v>726</v>
      </c>
      <c r="C44" s="616">
        <f>EXP(SUM(17.27*C41)/(SUM(237.3+C41)))*0.6105-((0.000644*C43)*(C42-C41))</f>
        <v>2.2580817414430432</v>
      </c>
      <c r="D44" s="2179" t="s">
        <v>721</v>
      </c>
      <c r="E44" s="2167"/>
      <c r="F44" s="2168"/>
      <c r="G44" s="56"/>
      <c r="H44" s="56"/>
      <c r="I44" s="56"/>
      <c r="J44" s="56"/>
    </row>
    <row r="45" spans="2:16" hidden="1">
      <c r="B45" s="2180" t="s">
        <v>729</v>
      </c>
      <c r="C45" s="616">
        <f>SUM((0.622*C44)/(C43-C44))</f>
        <v>1.1729617026385019E-2</v>
      </c>
      <c r="D45" s="2179" t="s">
        <v>730</v>
      </c>
      <c r="E45" s="2167"/>
      <c r="F45" s="2168"/>
      <c r="G45" s="56"/>
      <c r="H45" s="56"/>
      <c r="I45" s="56"/>
      <c r="J45" s="56"/>
    </row>
    <row r="46" spans="2:16" hidden="1">
      <c r="B46" s="2180" t="s">
        <v>733</v>
      </c>
      <c r="C46" s="2181">
        <f>C45*1000</f>
        <v>11.729617026385018</v>
      </c>
      <c r="D46" s="2179" t="s">
        <v>730</v>
      </c>
      <c r="E46" s="2167"/>
      <c r="F46" s="2168"/>
      <c r="G46" s="56"/>
      <c r="H46" s="56"/>
      <c r="I46" s="56"/>
      <c r="J46" s="56"/>
    </row>
    <row r="47" spans="2:16" hidden="1">
      <c r="B47" s="2178" t="s">
        <v>735</v>
      </c>
      <c r="C47" s="616">
        <f>SUM((0.287*(273.15+C42))/(C43-C44))</f>
        <v>0.72659642726061424</v>
      </c>
      <c r="D47" s="2179" t="s">
        <v>736</v>
      </c>
      <c r="E47" s="2167"/>
      <c r="F47" s="2168"/>
      <c r="G47" s="56"/>
      <c r="H47" s="56"/>
      <c r="I47" s="56"/>
      <c r="J47" s="56"/>
    </row>
    <row r="48" spans="2:16">
      <c r="B48" s="2182" t="s">
        <v>738</v>
      </c>
      <c r="C48" s="2183">
        <f>SUM(1+C45)/C47</f>
        <v>1.3924230550386394</v>
      </c>
      <c r="D48" s="2184" t="s">
        <v>728</v>
      </c>
      <c r="E48" s="2167"/>
      <c r="F48" s="2168"/>
      <c r="G48" s="56"/>
      <c r="H48" s="56"/>
      <c r="I48" s="56"/>
      <c r="J48" s="56"/>
    </row>
    <row r="49" spans="2:16" s="56" customFormat="1" hidden="1">
      <c r="B49" s="2182" t="s">
        <v>740</v>
      </c>
      <c r="C49" s="2183">
        <f>(1.005*C42)+SUM((C45*((1.8*C42)+2501)))</f>
        <v>60.119171502413721</v>
      </c>
      <c r="D49" s="2184" t="s">
        <v>724</v>
      </c>
      <c r="E49" s="2167"/>
      <c r="F49" s="2168"/>
    </row>
    <row r="50" spans="2:16" ht="15.75" thickBot="1">
      <c r="B50" s="2185" t="s">
        <v>741</v>
      </c>
      <c r="C50" s="2186">
        <f>SUM(C49-(C45*(4.18*C41)))</f>
        <v>58.991486121497068</v>
      </c>
      <c r="D50" s="2187" t="s">
        <v>724</v>
      </c>
      <c r="E50" s="2167"/>
      <c r="F50" s="2168"/>
      <c r="G50" s="56"/>
      <c r="H50" s="56"/>
      <c r="I50" s="56"/>
      <c r="J50" s="56"/>
      <c r="M50"/>
      <c r="N50"/>
      <c r="O50"/>
      <c r="P50"/>
    </row>
    <row r="51" spans="2:16" s="56" customFormat="1" ht="15.75" hidden="1" thickBot="1">
      <c r="B51" s="2188" t="s">
        <v>743</v>
      </c>
      <c r="C51" s="2189">
        <f>SUM(C44/((EXP(SUM(17.27*C42)/(SUM(237.3+C42))))*0.6105))*100</f>
        <v>53.244325331678169</v>
      </c>
      <c r="D51" s="2190" t="s">
        <v>211</v>
      </c>
      <c r="E51" s="2167"/>
      <c r="F51" s="2168"/>
    </row>
    <row r="52" spans="2:16" ht="15.75" hidden="1" thickBot="1">
      <c r="B52" s="2191" t="s">
        <v>747</v>
      </c>
      <c r="C52" s="2192">
        <f>SUM(237.3*(LN(C44/0.6105)))/SUM(17.27-(LN(C44/6105)))</f>
        <v>12.330461171227839</v>
      </c>
      <c r="D52" s="2193" t="s">
        <v>575</v>
      </c>
      <c r="E52" s="2167"/>
      <c r="F52" s="2168"/>
      <c r="G52" s="56"/>
      <c r="H52" s="56"/>
      <c r="I52" s="56"/>
      <c r="J52" s="56"/>
      <c r="M52"/>
      <c r="N52"/>
      <c r="O52"/>
      <c r="P52"/>
    </row>
    <row r="53" spans="2:16">
      <c r="B53" s="2195" t="s">
        <v>2019</v>
      </c>
      <c r="C53" s="2231">
        <v>0.4</v>
      </c>
      <c r="D53" s="2196" t="s">
        <v>2020</v>
      </c>
      <c r="E53" s="2167"/>
      <c r="F53" s="2168"/>
      <c r="G53" s="56"/>
      <c r="H53" s="56"/>
      <c r="I53" s="56"/>
      <c r="J53" s="56"/>
      <c r="M53"/>
      <c r="N53"/>
      <c r="O53"/>
      <c r="P53"/>
    </row>
    <row r="54" spans="2:16">
      <c r="B54" s="2197" t="s">
        <v>2018</v>
      </c>
      <c r="C54" s="2232">
        <v>300</v>
      </c>
      <c r="D54" s="2198" t="s">
        <v>357</v>
      </c>
      <c r="E54" s="2167"/>
      <c r="F54" s="2168"/>
      <c r="G54" s="56"/>
      <c r="H54" s="56"/>
      <c r="I54" s="56"/>
      <c r="J54" s="56"/>
      <c r="M54"/>
      <c r="N54"/>
      <c r="O54"/>
      <c r="P54"/>
    </row>
    <row r="55" spans="2:16" ht="15.75" thickBot="1">
      <c r="B55" s="2199" t="s">
        <v>2021</v>
      </c>
      <c r="C55" s="2200">
        <f>C54*C53</f>
        <v>120</v>
      </c>
      <c r="D55" s="2201" t="s">
        <v>218</v>
      </c>
      <c r="E55" s="2167"/>
      <c r="F55" s="2168"/>
      <c r="G55" s="56"/>
      <c r="H55" s="56"/>
      <c r="I55" s="56"/>
      <c r="J55" s="56"/>
      <c r="M55"/>
      <c r="N55"/>
      <c r="O55"/>
      <c r="P55"/>
    </row>
    <row r="56" spans="2:16" ht="13.15" customHeight="1">
      <c r="B56" s="2202" t="s">
        <v>2017</v>
      </c>
      <c r="C56" s="2233">
        <v>256</v>
      </c>
      <c r="D56" s="2203" t="s">
        <v>218</v>
      </c>
      <c r="E56" s="2167"/>
      <c r="F56" s="2168"/>
      <c r="G56" s="56"/>
      <c r="H56" s="56"/>
      <c r="I56" s="56"/>
      <c r="J56" s="56"/>
      <c r="M56"/>
      <c r="N56"/>
      <c r="O56"/>
      <c r="P56"/>
    </row>
    <row r="57" spans="2:16">
      <c r="B57" s="2204" t="s">
        <v>2022</v>
      </c>
      <c r="C57" s="2233">
        <v>1.5</v>
      </c>
      <c r="D57" s="2168"/>
      <c r="E57" s="2167"/>
      <c r="F57" s="2168"/>
      <c r="G57" s="56"/>
      <c r="H57" s="56"/>
      <c r="I57" s="56"/>
      <c r="J57" s="56"/>
      <c r="M57"/>
      <c r="N57"/>
      <c r="O57"/>
      <c r="P57"/>
    </row>
    <row r="58" spans="2:16" s="56" customFormat="1" ht="16.5" thickBot="1">
      <c r="B58" s="2241" t="s">
        <v>2038</v>
      </c>
      <c r="C58" s="2242">
        <v>55</v>
      </c>
      <c r="D58" s="2243" t="s">
        <v>218</v>
      </c>
      <c r="E58" s="2167"/>
      <c r="F58" s="2168"/>
    </row>
    <row r="59" spans="2:16" ht="15.75" thickBot="1">
      <c r="B59" s="2205" t="s">
        <v>2021</v>
      </c>
      <c r="C59" s="2206">
        <f>C56*C57</f>
        <v>384</v>
      </c>
      <c r="D59" s="2207" t="s">
        <v>218</v>
      </c>
      <c r="E59" s="2167"/>
      <c r="F59" s="2168"/>
      <c r="G59" s="56"/>
      <c r="H59" s="56"/>
      <c r="I59" s="56"/>
      <c r="J59" s="56"/>
      <c r="M59"/>
      <c r="N59"/>
      <c r="O59"/>
      <c r="P59"/>
    </row>
    <row r="60" spans="2:16" ht="19.5" thickBot="1">
      <c r="B60" s="2208" t="s">
        <v>2024</v>
      </c>
      <c r="C60" s="2209">
        <f>C59+C55+C58</f>
        <v>559</v>
      </c>
      <c r="D60" s="2210" t="s">
        <v>218</v>
      </c>
      <c r="E60" s="2167"/>
      <c r="F60" s="2168"/>
      <c r="G60" s="56"/>
      <c r="H60" s="56"/>
      <c r="I60" s="56"/>
      <c r="J60" s="56"/>
      <c r="M60"/>
      <c r="N60"/>
      <c r="O60"/>
      <c r="P60"/>
    </row>
    <row r="61" spans="2:16">
      <c r="B61" s="2202" t="s">
        <v>2031</v>
      </c>
      <c r="C61" s="2233">
        <v>0.06</v>
      </c>
      <c r="D61" s="2203" t="s">
        <v>732</v>
      </c>
      <c r="E61" s="2167"/>
      <c r="F61" s="2168"/>
      <c r="G61" s="56"/>
      <c r="H61" s="56"/>
      <c r="I61" s="56"/>
      <c r="J61" s="56"/>
      <c r="M61"/>
      <c r="N61"/>
      <c r="O61"/>
      <c r="P61"/>
    </row>
    <row r="62" spans="2:16">
      <c r="B62" s="2211" t="s">
        <v>2030</v>
      </c>
      <c r="C62" s="2212">
        <f>C56*C61</f>
        <v>15.36</v>
      </c>
      <c r="D62" s="2213" t="s">
        <v>732</v>
      </c>
      <c r="E62" s="2167"/>
      <c r="F62" s="2168"/>
      <c r="G62" s="56"/>
      <c r="H62" s="56"/>
      <c r="I62" s="56"/>
      <c r="J62" s="56"/>
      <c r="M62"/>
      <c r="N62"/>
      <c r="O62"/>
      <c r="P62"/>
    </row>
    <row r="63" spans="2:16">
      <c r="B63" s="2202" t="s">
        <v>2026</v>
      </c>
      <c r="C63" s="2234">
        <v>0.1</v>
      </c>
      <c r="D63" s="2214" t="s">
        <v>1635</v>
      </c>
      <c r="E63" s="2167"/>
      <c r="F63" s="2168"/>
      <c r="G63" s="56"/>
      <c r="H63" s="56"/>
      <c r="I63" s="56"/>
      <c r="J63" s="56"/>
      <c r="M63"/>
      <c r="N63"/>
      <c r="O63"/>
      <c r="P63"/>
    </row>
    <row r="64" spans="2:16">
      <c r="B64" s="2215" t="s">
        <v>2032</v>
      </c>
      <c r="C64" s="2122">
        <f>C63*(C54)</f>
        <v>30</v>
      </c>
      <c r="D64" s="2214" t="s">
        <v>211</v>
      </c>
      <c r="E64" s="2167"/>
      <c r="F64" s="2168"/>
      <c r="G64" s="56"/>
      <c r="H64" s="56"/>
      <c r="I64" s="56"/>
      <c r="J64" s="56"/>
      <c r="M64"/>
      <c r="N64"/>
      <c r="O64"/>
      <c r="P64"/>
    </row>
    <row r="65" spans="2:16" ht="19.5" thickBot="1">
      <c r="B65" s="2216" t="s">
        <v>2025</v>
      </c>
      <c r="C65" s="2217">
        <f>C62*C48</f>
        <v>21.387618125393502</v>
      </c>
      <c r="D65" s="2218" t="s">
        <v>466</v>
      </c>
      <c r="E65" s="2167"/>
      <c r="F65" s="2168"/>
      <c r="G65" s="56"/>
      <c r="H65" s="56"/>
      <c r="I65" s="56"/>
      <c r="J65" s="56"/>
      <c r="M65"/>
      <c r="N65"/>
      <c r="O65"/>
      <c r="P65"/>
    </row>
    <row r="66" spans="2:16" ht="16.5" thickBot="1">
      <c r="B66" s="2219" t="s">
        <v>2027</v>
      </c>
      <c r="C66" s="2220">
        <f>C60/(C37-C50)</f>
        <v>35.739367081192711</v>
      </c>
      <c r="D66" s="2221" t="s">
        <v>466</v>
      </c>
      <c r="E66" s="2167"/>
      <c r="F66" s="2168"/>
      <c r="G66" s="56"/>
      <c r="H66" s="56"/>
      <c r="I66" s="56"/>
      <c r="J66" s="56"/>
      <c r="M66"/>
      <c r="N66"/>
      <c r="O66"/>
      <c r="P66"/>
    </row>
    <row r="67" spans="2:16" ht="24" thickBot="1">
      <c r="B67" s="2222" t="s">
        <v>2028</v>
      </c>
      <c r="C67" s="2223">
        <f>C66/C48</f>
        <v>25.667031978439162</v>
      </c>
      <c r="D67" s="2224" t="s">
        <v>732</v>
      </c>
      <c r="E67" s="2167"/>
      <c r="F67" s="2168"/>
      <c r="G67" s="56"/>
      <c r="H67" s="56"/>
      <c r="I67" s="56"/>
      <c r="J67" s="56"/>
      <c r="M67"/>
      <c r="N67"/>
      <c r="O67"/>
      <c r="P67"/>
    </row>
    <row r="68" spans="2:16" ht="24" thickBot="1">
      <c r="B68" s="2225" t="s">
        <v>2029</v>
      </c>
      <c r="C68" s="2226">
        <f>C67+(C67*(C64/100))</f>
        <v>33.367141571970912</v>
      </c>
      <c r="D68" s="2227" t="s">
        <v>732</v>
      </c>
      <c r="E68" s="2167"/>
      <c r="F68" s="2168"/>
      <c r="G68" s="56"/>
      <c r="H68" s="56"/>
      <c r="I68" s="56"/>
      <c r="J68" s="56"/>
      <c r="M68"/>
      <c r="N68"/>
      <c r="O68"/>
      <c r="P68"/>
    </row>
    <row r="69" spans="2:16">
      <c r="B69" s="2177"/>
      <c r="C69" s="2167"/>
      <c r="D69" s="2167"/>
      <c r="E69" s="2167"/>
      <c r="F69" s="2168"/>
      <c r="G69" s="56"/>
      <c r="H69" s="56"/>
      <c r="I69" s="56"/>
      <c r="J69" s="56"/>
      <c r="K69" s="56"/>
      <c r="L69" s="56"/>
      <c r="M69"/>
      <c r="N69"/>
      <c r="O69"/>
      <c r="P69"/>
    </row>
    <row r="70" spans="2:16">
      <c r="B70" s="2177"/>
      <c r="C70" s="2167"/>
      <c r="D70" s="2167"/>
      <c r="E70" s="2167"/>
      <c r="F70" s="2168"/>
      <c r="G70" s="56"/>
      <c r="H70" s="56"/>
      <c r="I70" s="56"/>
      <c r="J70" s="56"/>
      <c r="K70" s="56"/>
      <c r="L70" s="56"/>
      <c r="M70"/>
      <c r="N70"/>
      <c r="O70"/>
      <c r="P70"/>
    </row>
    <row r="71" spans="2:16" ht="15.75" thickBot="1">
      <c r="B71" s="2228"/>
      <c r="C71" s="2229"/>
      <c r="D71" s="2229"/>
      <c r="E71" s="2229"/>
      <c r="F71" s="2230"/>
      <c r="G71" s="56"/>
      <c r="H71" s="56"/>
      <c r="I71" s="56"/>
      <c r="J71" s="56"/>
      <c r="K71" s="56"/>
      <c r="L71" s="56"/>
      <c r="M71"/>
      <c r="N71"/>
      <c r="O71"/>
      <c r="P71"/>
    </row>
    <row r="72" spans="2:16">
      <c r="B72" s="56"/>
      <c r="C72" s="56"/>
      <c r="F72" s="56"/>
      <c r="G72" s="56"/>
      <c r="H72" s="56"/>
      <c r="I72" s="56"/>
      <c r="J72" s="56"/>
      <c r="K72" s="56"/>
      <c r="L72" s="56"/>
      <c r="M72"/>
      <c r="N72"/>
      <c r="O72"/>
      <c r="P72"/>
    </row>
    <row r="74" spans="2:16" ht="15.75" thickBot="1"/>
    <row r="75" spans="2:16" ht="20.25">
      <c r="B75" s="2125" t="s">
        <v>1997</v>
      </c>
      <c r="C75" s="2126"/>
      <c r="D75" s="2126"/>
      <c r="E75" s="2126"/>
      <c r="F75" s="1125"/>
      <c r="G75" s="1125"/>
      <c r="H75" s="1125"/>
      <c r="I75" s="1125"/>
      <c r="J75" s="1125"/>
      <c r="K75" s="1125"/>
      <c r="L75" s="1125"/>
      <c r="M75" s="2127"/>
      <c r="N75"/>
      <c r="O75"/>
      <c r="P75"/>
    </row>
    <row r="76" spans="2:16">
      <c r="B76" s="2128" t="s">
        <v>1998</v>
      </c>
      <c r="C76" s="2121"/>
      <c r="D76" s="2121"/>
      <c r="E76" s="2121"/>
      <c r="F76" s="1128"/>
      <c r="G76" s="1128"/>
      <c r="H76" s="1128"/>
      <c r="I76" s="1128"/>
      <c r="J76" s="1128"/>
      <c r="K76" s="1128"/>
      <c r="L76" s="1128"/>
      <c r="M76" s="2129"/>
      <c r="N76"/>
      <c r="O76"/>
      <c r="P76"/>
    </row>
    <row r="77" spans="2:16" ht="15.75" thickBot="1">
      <c r="B77" s="1135" t="s">
        <v>1999</v>
      </c>
      <c r="C77" s="2121"/>
      <c r="D77" s="2121"/>
      <c r="E77" s="2121"/>
      <c r="F77" s="1128"/>
      <c r="G77" s="1128"/>
      <c r="H77" s="1128"/>
      <c r="I77" s="1128"/>
      <c r="J77" s="1128"/>
      <c r="K77" s="1128"/>
      <c r="L77" s="1128"/>
      <c r="M77" s="2129"/>
      <c r="N77"/>
      <c r="O77"/>
      <c r="P77"/>
    </row>
    <row r="78" spans="2:16" ht="60.75" thickBot="1">
      <c r="B78" s="2088" t="s">
        <v>1933</v>
      </c>
      <c r="C78" s="2089" t="s">
        <v>1934</v>
      </c>
      <c r="D78" s="2093" t="s">
        <v>1935</v>
      </c>
      <c r="E78" s="3285" t="s">
        <v>1936</v>
      </c>
      <c r="F78" s="3286"/>
      <c r="G78" s="3286"/>
      <c r="H78" s="3286"/>
      <c r="I78" s="3286"/>
      <c r="J78" s="3286"/>
      <c r="K78" s="3286"/>
      <c r="L78" s="3286"/>
      <c r="M78" s="3287"/>
      <c r="N78"/>
      <c r="O78"/>
      <c r="P78"/>
    </row>
    <row r="79" spans="2:16" ht="28.15" customHeight="1">
      <c r="B79" s="2101" t="s">
        <v>1937</v>
      </c>
      <c r="C79" s="2094"/>
      <c r="D79" s="2095"/>
      <c r="E79" s="3263"/>
      <c r="F79" s="3264"/>
      <c r="G79" s="3264"/>
      <c r="H79" s="3264"/>
      <c r="I79" s="3264"/>
      <c r="J79" s="3264"/>
      <c r="K79" s="3264"/>
      <c r="L79" s="3264"/>
      <c r="M79" s="3265"/>
      <c r="N79"/>
      <c r="O79"/>
      <c r="P79"/>
    </row>
    <row r="80" spans="2:16" ht="28.15" customHeight="1">
      <c r="B80" s="2096" t="s">
        <v>1938</v>
      </c>
      <c r="C80" s="2094" t="s">
        <v>1943</v>
      </c>
      <c r="D80" s="2095">
        <v>6.3E-2</v>
      </c>
      <c r="E80" s="3246" t="s">
        <v>2000</v>
      </c>
      <c r="F80" s="3247"/>
      <c r="G80" s="3247"/>
      <c r="H80" s="3247"/>
      <c r="I80" s="3247"/>
      <c r="J80" s="3247"/>
      <c r="K80" s="3247"/>
      <c r="L80" s="3247"/>
      <c r="M80" s="3248"/>
      <c r="N80"/>
      <c r="O80"/>
      <c r="P80"/>
    </row>
    <row r="81" spans="2:16" ht="15" customHeight="1">
      <c r="B81" s="2096" t="s">
        <v>1939</v>
      </c>
      <c r="C81" s="2094" t="s">
        <v>1943</v>
      </c>
      <c r="D81" s="2095">
        <v>0.04</v>
      </c>
      <c r="E81" s="3246" t="s">
        <v>2001</v>
      </c>
      <c r="F81" s="3247"/>
      <c r="G81" s="3247"/>
      <c r="H81" s="3247"/>
      <c r="I81" s="3247"/>
      <c r="J81" s="3247"/>
      <c r="K81" s="3247"/>
      <c r="L81" s="3247"/>
      <c r="M81" s="3248"/>
      <c r="N81"/>
      <c r="O81"/>
      <c r="P81"/>
    </row>
    <row r="82" spans="2:16">
      <c r="B82" s="2096" t="s">
        <v>1940</v>
      </c>
      <c r="C82" s="2094" t="s">
        <v>1944</v>
      </c>
      <c r="D82" s="2095">
        <v>3.2000000000000001E-2</v>
      </c>
      <c r="E82" s="3246" t="s">
        <v>2002</v>
      </c>
      <c r="F82" s="3247"/>
      <c r="G82" s="3247"/>
      <c r="H82" s="3247"/>
      <c r="I82" s="3247"/>
      <c r="J82" s="3247"/>
      <c r="K82" s="3247"/>
      <c r="L82" s="3247"/>
      <c r="M82" s="3248"/>
      <c r="N82"/>
      <c r="O82"/>
      <c r="P82"/>
    </row>
    <row r="83" spans="2:16">
      <c r="B83" s="2096" t="s">
        <v>1941</v>
      </c>
      <c r="C83" s="2094" t="s">
        <v>1944</v>
      </c>
      <c r="D83" s="2095">
        <v>3.1E-2</v>
      </c>
      <c r="E83" s="3246" t="s">
        <v>2003</v>
      </c>
      <c r="F83" s="3247"/>
      <c r="G83" s="3247"/>
      <c r="H83" s="3247"/>
      <c r="I83" s="3247"/>
      <c r="J83" s="3247"/>
      <c r="K83" s="3247"/>
      <c r="L83" s="3247"/>
      <c r="M83" s="3248"/>
      <c r="N83"/>
      <c r="O83"/>
      <c r="P83"/>
    </row>
    <row r="84" spans="2:16" ht="14.45" customHeight="1" thickBot="1">
      <c r="B84" s="2097" t="s">
        <v>1942</v>
      </c>
      <c r="C84" s="2091" t="s">
        <v>1944</v>
      </c>
      <c r="D84" s="2098">
        <v>6.3E-2</v>
      </c>
      <c r="E84" s="3266"/>
      <c r="F84" s="3267"/>
      <c r="G84" s="3267"/>
      <c r="H84" s="3267"/>
      <c r="I84" s="3267"/>
      <c r="J84" s="3267"/>
      <c r="K84" s="3267"/>
      <c r="L84" s="3267"/>
      <c r="M84" s="3268"/>
      <c r="N84"/>
      <c r="O84"/>
      <c r="P84"/>
    </row>
    <row r="85" spans="2:16" ht="14.45" customHeight="1">
      <c r="B85" s="2101" t="s">
        <v>1945</v>
      </c>
      <c r="C85" s="2094"/>
      <c r="D85" s="2095"/>
      <c r="E85" s="3263"/>
      <c r="F85" s="3264"/>
      <c r="G85" s="3264"/>
      <c r="H85" s="3264"/>
      <c r="I85" s="3264"/>
      <c r="J85" s="3264"/>
      <c r="K85" s="3264"/>
      <c r="L85" s="3264"/>
      <c r="M85" s="3265"/>
      <c r="N85"/>
      <c r="O85"/>
      <c r="P85"/>
    </row>
    <row r="86" spans="2:16" ht="15" customHeight="1">
      <c r="B86" s="2096" t="s">
        <v>1946</v>
      </c>
      <c r="C86" s="2094" t="s">
        <v>1952</v>
      </c>
      <c r="D86" s="2095">
        <v>4.7E-2</v>
      </c>
      <c r="E86" s="3246"/>
      <c r="F86" s="3247"/>
      <c r="G86" s="3247"/>
      <c r="H86" s="3247"/>
      <c r="I86" s="3247"/>
      <c r="J86" s="3247"/>
      <c r="K86" s="3247"/>
      <c r="L86" s="3247"/>
      <c r="M86" s="3248"/>
      <c r="N86"/>
      <c r="O86"/>
      <c r="P86"/>
    </row>
    <row r="87" spans="2:16" ht="28.5">
      <c r="B87" s="2096" t="s">
        <v>1947</v>
      </c>
      <c r="C87" s="2094" t="s">
        <v>1952</v>
      </c>
      <c r="D87" s="2095">
        <v>0.05</v>
      </c>
      <c r="E87" s="3246"/>
      <c r="F87" s="3247"/>
      <c r="G87" s="3247"/>
      <c r="H87" s="3247"/>
      <c r="I87" s="3247"/>
      <c r="J87" s="3247"/>
      <c r="K87" s="3247"/>
      <c r="L87" s="3247"/>
      <c r="M87" s="3248"/>
      <c r="N87"/>
      <c r="O87"/>
      <c r="P87"/>
    </row>
    <row r="88" spans="2:16" ht="15" customHeight="1">
      <c r="B88" s="2096" t="s">
        <v>1948</v>
      </c>
      <c r="C88" s="2094" t="s">
        <v>1952</v>
      </c>
      <c r="D88" s="2095">
        <v>0.06</v>
      </c>
      <c r="E88" s="3246"/>
      <c r="F88" s="3247"/>
      <c r="G88" s="3247"/>
      <c r="H88" s="3247"/>
      <c r="I88" s="3247"/>
      <c r="J88" s="3247"/>
      <c r="K88" s="3247"/>
      <c r="L88" s="3247"/>
      <c r="M88" s="3248"/>
      <c r="N88"/>
      <c r="O88"/>
      <c r="P88"/>
    </row>
    <row r="89" spans="2:16" ht="15" customHeight="1">
      <c r="B89" s="2096" t="s">
        <v>1949</v>
      </c>
      <c r="C89" s="2094" t="s">
        <v>1953</v>
      </c>
      <c r="D89" s="2095">
        <v>9.1999999999999998E-2</v>
      </c>
      <c r="E89" s="3246"/>
      <c r="F89" s="3247"/>
      <c r="G89" s="3247"/>
      <c r="H89" s="3247"/>
      <c r="I89" s="3247"/>
      <c r="J89" s="3247"/>
      <c r="K89" s="3247"/>
      <c r="L89" s="3247"/>
      <c r="M89" s="3248"/>
    </row>
    <row r="90" spans="2:16" ht="15" customHeight="1">
      <c r="B90" s="2096" t="s">
        <v>1950</v>
      </c>
      <c r="C90" s="2094" t="s">
        <v>1944</v>
      </c>
      <c r="D90" s="2095">
        <v>6.3E-2</v>
      </c>
      <c r="E90" s="3246"/>
      <c r="F90" s="3247"/>
      <c r="G90" s="3247"/>
      <c r="H90" s="3247"/>
      <c r="I90" s="3247"/>
      <c r="J90" s="3247"/>
      <c r="K90" s="3247"/>
      <c r="L90" s="3247"/>
      <c r="M90" s="3248"/>
    </row>
    <row r="91" spans="2:16" ht="15" customHeight="1" thickBot="1">
      <c r="B91" s="2097" t="s">
        <v>1951</v>
      </c>
      <c r="C91" s="2091" t="s">
        <v>1952</v>
      </c>
      <c r="D91" s="2098">
        <v>4.7E-2</v>
      </c>
      <c r="E91" s="3266" t="s">
        <v>2004</v>
      </c>
      <c r="F91" s="3267"/>
      <c r="G91" s="3267"/>
      <c r="H91" s="3267"/>
      <c r="I91" s="3267"/>
      <c r="J91" s="3267"/>
      <c r="K91" s="3267"/>
      <c r="L91" s="3267"/>
      <c r="M91" s="3268"/>
    </row>
    <row r="92" spans="2:16" ht="28.15" customHeight="1" thickBot="1">
      <c r="B92" s="2102" t="s">
        <v>1954</v>
      </c>
      <c r="C92" s="2091" t="s">
        <v>1952</v>
      </c>
      <c r="D92" s="2098">
        <v>0.13400000000000001</v>
      </c>
      <c r="E92" s="3260" t="s">
        <v>1955</v>
      </c>
      <c r="F92" s="3261"/>
      <c r="G92" s="3261"/>
      <c r="H92" s="3261"/>
      <c r="I92" s="3261"/>
      <c r="J92" s="3261"/>
      <c r="K92" s="3261"/>
      <c r="L92" s="3261"/>
      <c r="M92" s="3262"/>
    </row>
    <row r="93" spans="2:16" ht="14.45" customHeight="1" thickBot="1">
      <c r="B93" s="2102" t="s">
        <v>1956</v>
      </c>
      <c r="C93" s="2091"/>
      <c r="D93" s="2098">
        <v>8.8999999999999996E-2</v>
      </c>
      <c r="E93" s="3260" t="s">
        <v>1957</v>
      </c>
      <c r="F93" s="3261"/>
      <c r="G93" s="3261"/>
      <c r="H93" s="3261"/>
      <c r="I93" s="3261"/>
      <c r="J93" s="3261"/>
      <c r="K93" s="3261"/>
      <c r="L93" s="3261"/>
      <c r="M93" s="3262"/>
    </row>
    <row r="94" spans="2:16" ht="14.45" customHeight="1">
      <c r="B94" s="2101" t="s">
        <v>1958</v>
      </c>
      <c r="C94" s="2094"/>
      <c r="D94" s="2095"/>
      <c r="E94" s="3263"/>
      <c r="F94" s="3264"/>
      <c r="G94" s="3264"/>
      <c r="H94" s="3264"/>
      <c r="I94" s="3264"/>
      <c r="J94" s="3264"/>
      <c r="K94" s="3264"/>
      <c r="L94" s="3264"/>
      <c r="M94" s="3265"/>
    </row>
    <row r="95" spans="2:16" ht="15" customHeight="1">
      <c r="B95" s="2096" t="s">
        <v>1959</v>
      </c>
      <c r="C95" s="2094" t="s">
        <v>1943</v>
      </c>
      <c r="D95" s="2095">
        <v>5.7000000000000002E-2</v>
      </c>
      <c r="E95" s="3246"/>
      <c r="F95" s="3247"/>
      <c r="G95" s="3247"/>
      <c r="H95" s="3247"/>
      <c r="I95" s="3247"/>
      <c r="J95" s="3247"/>
      <c r="K95" s="3247"/>
      <c r="L95" s="3247"/>
      <c r="M95" s="3248"/>
    </row>
    <row r="96" spans="2:16">
      <c r="B96" s="2096" t="s">
        <v>1960</v>
      </c>
      <c r="C96" s="2094"/>
      <c r="D96" s="2095">
        <v>6.8000000000000005E-2</v>
      </c>
      <c r="E96" s="3246" t="s">
        <v>1963</v>
      </c>
      <c r="F96" s="3247"/>
      <c r="G96" s="3247"/>
      <c r="H96" s="3247"/>
      <c r="I96" s="3247"/>
      <c r="J96" s="3247"/>
      <c r="K96" s="3247"/>
      <c r="L96" s="3247"/>
      <c r="M96" s="3248"/>
    </row>
    <row r="97" spans="2:16" ht="14.45" customHeight="1">
      <c r="B97" s="2099"/>
      <c r="C97" s="2094" t="s">
        <v>1961</v>
      </c>
      <c r="D97" s="2095">
        <v>9.1999999999999998E-2</v>
      </c>
      <c r="E97" s="3246" t="s">
        <v>1964</v>
      </c>
      <c r="F97" s="3247"/>
      <c r="G97" s="3247"/>
      <c r="H97" s="3247"/>
      <c r="I97" s="3247"/>
      <c r="J97" s="3247"/>
      <c r="K97" s="3247"/>
      <c r="L97" s="3247"/>
      <c r="M97" s="3248"/>
    </row>
    <row r="98" spans="2:16" ht="15.75" thickBot="1">
      <c r="B98" s="2100"/>
      <c r="C98" s="2091" t="s">
        <v>1962</v>
      </c>
      <c r="D98" s="2098">
        <v>0.13700000000000001</v>
      </c>
      <c r="E98" s="3266" t="s">
        <v>1955</v>
      </c>
      <c r="F98" s="3267"/>
      <c r="G98" s="3267"/>
      <c r="H98" s="3267"/>
      <c r="I98" s="3267"/>
      <c r="J98" s="3267"/>
      <c r="K98" s="3267"/>
      <c r="L98" s="3267"/>
      <c r="M98" s="3268"/>
    </row>
    <row r="99" spans="2:16" s="2108" customFormat="1" ht="21.6" customHeight="1" thickBot="1">
      <c r="B99" s="2102" t="s">
        <v>1965</v>
      </c>
      <c r="C99" s="2091" t="s">
        <v>1966</v>
      </c>
      <c r="D99" s="2098">
        <v>6.3E-2</v>
      </c>
      <c r="E99" s="3260"/>
      <c r="F99" s="3261"/>
      <c r="G99" s="3261"/>
      <c r="H99" s="3261"/>
      <c r="I99" s="3261"/>
      <c r="J99" s="3261"/>
      <c r="K99" s="3261"/>
      <c r="L99" s="3261"/>
      <c r="M99" s="3262"/>
      <c r="N99" s="2107"/>
      <c r="O99" s="2107"/>
      <c r="P99" s="2107"/>
    </row>
    <row r="100" spans="2:16" s="2108" customFormat="1" ht="21.6" customHeight="1" thickBot="1">
      <c r="B100" s="2102" t="s">
        <v>1967</v>
      </c>
      <c r="C100" s="2091" t="s">
        <v>1962</v>
      </c>
      <c r="D100" s="2098"/>
      <c r="E100" s="3260" t="s">
        <v>2005</v>
      </c>
      <c r="F100" s="3261"/>
      <c r="G100" s="3261"/>
      <c r="H100" s="3261"/>
      <c r="I100" s="3261"/>
      <c r="J100" s="3261"/>
      <c r="K100" s="3261"/>
      <c r="L100" s="3261"/>
      <c r="M100" s="3262"/>
      <c r="N100" s="2107"/>
      <c r="O100" s="2107"/>
      <c r="P100" s="2107"/>
    </row>
    <row r="101" spans="2:16" ht="15.75" thickBot="1">
      <c r="B101" s="2102" t="s">
        <v>1968</v>
      </c>
      <c r="C101" s="2091" t="s">
        <v>1943</v>
      </c>
      <c r="D101" s="2098"/>
      <c r="E101" s="3260" t="s">
        <v>2006</v>
      </c>
      <c r="F101" s="3261"/>
      <c r="G101" s="3261"/>
      <c r="H101" s="3261"/>
      <c r="I101" s="3261"/>
      <c r="J101" s="3261"/>
      <c r="K101" s="3261"/>
      <c r="L101" s="3261"/>
      <c r="M101" s="3262"/>
    </row>
    <row r="102" spans="2:16" ht="15.75" thickBot="1">
      <c r="B102" s="2102" t="s">
        <v>1969</v>
      </c>
      <c r="C102" s="2091" t="s">
        <v>1943</v>
      </c>
      <c r="D102" s="2098">
        <v>0.26800000000000002</v>
      </c>
      <c r="E102" s="3260" t="s">
        <v>2006</v>
      </c>
      <c r="F102" s="3261"/>
      <c r="G102" s="3261"/>
      <c r="H102" s="3261"/>
      <c r="I102" s="3261"/>
      <c r="J102" s="3261"/>
      <c r="K102" s="3261"/>
      <c r="L102" s="3261"/>
      <c r="M102" s="3262"/>
    </row>
    <row r="103" spans="2:16" ht="40.9" customHeight="1" thickBot="1">
      <c r="B103" s="2102" t="s">
        <v>1970</v>
      </c>
      <c r="C103" s="2091" t="s">
        <v>1943</v>
      </c>
      <c r="D103" s="2098"/>
      <c r="E103" s="3260" t="s">
        <v>2007</v>
      </c>
      <c r="F103" s="3261"/>
      <c r="G103" s="3261"/>
      <c r="H103" s="3261"/>
      <c r="I103" s="3261"/>
      <c r="J103" s="3261"/>
      <c r="K103" s="3261"/>
      <c r="L103" s="3261"/>
      <c r="M103" s="3262"/>
    </row>
    <row r="104" spans="2:16" ht="29.25" thickBot="1">
      <c r="B104" s="2102" t="s">
        <v>1971</v>
      </c>
      <c r="C104" s="2091" t="s">
        <v>1952</v>
      </c>
      <c r="D104" s="2098">
        <v>4.7E-2</v>
      </c>
      <c r="E104" s="3260" t="s">
        <v>2008</v>
      </c>
      <c r="F104" s="3261"/>
      <c r="G104" s="3261"/>
      <c r="H104" s="3261"/>
      <c r="I104" s="3261"/>
      <c r="J104" s="3261"/>
      <c r="K104" s="3261"/>
      <c r="L104" s="3261"/>
      <c r="M104" s="3262"/>
    </row>
    <row r="105" spans="2:16" ht="14.45" customHeight="1">
      <c r="B105" s="3282" t="s">
        <v>1972</v>
      </c>
      <c r="C105" s="2094" t="s">
        <v>1943</v>
      </c>
      <c r="D105" s="3279"/>
      <c r="E105" s="3263" t="s">
        <v>2009</v>
      </c>
      <c r="F105" s="3264"/>
      <c r="G105" s="3264"/>
      <c r="H105" s="3264"/>
      <c r="I105" s="3264"/>
      <c r="J105" s="3264"/>
      <c r="K105" s="3264"/>
      <c r="L105" s="3264"/>
      <c r="M105" s="3265"/>
      <c r="N105"/>
      <c r="O105"/>
      <c r="P105"/>
    </row>
    <row r="106" spans="2:16">
      <c r="B106" s="3283"/>
      <c r="C106" s="2094" t="s">
        <v>1943</v>
      </c>
      <c r="D106" s="3280"/>
      <c r="E106" s="3246" t="s">
        <v>2010</v>
      </c>
      <c r="F106" s="3247"/>
      <c r="G106" s="3247"/>
      <c r="H106" s="3247"/>
      <c r="I106" s="3247"/>
      <c r="J106" s="3247"/>
      <c r="K106" s="3247"/>
      <c r="L106" s="3247"/>
      <c r="M106" s="3248"/>
      <c r="N106"/>
      <c r="O106"/>
      <c r="P106"/>
    </row>
    <row r="107" spans="2:16" ht="18.600000000000001" customHeight="1" thickBot="1">
      <c r="B107" s="3284"/>
      <c r="C107" s="2091" t="s">
        <v>1943</v>
      </c>
      <c r="D107" s="3281"/>
      <c r="E107" s="3266" t="s">
        <v>2011</v>
      </c>
      <c r="F107" s="3267"/>
      <c r="G107" s="3267"/>
      <c r="H107" s="3267"/>
      <c r="I107" s="3267"/>
      <c r="J107" s="3267"/>
      <c r="K107" s="3267"/>
      <c r="L107" s="3267"/>
      <c r="M107" s="3268"/>
      <c r="N107"/>
      <c r="O107"/>
      <c r="P107"/>
    </row>
    <row r="108" spans="2:16" ht="29.25" thickBot="1">
      <c r="B108" s="2102" t="s">
        <v>1973</v>
      </c>
      <c r="C108" s="2091" t="s">
        <v>1952</v>
      </c>
      <c r="D108" s="2098">
        <v>0.24</v>
      </c>
      <c r="E108" s="3260"/>
      <c r="F108" s="3261"/>
      <c r="G108" s="3261"/>
      <c r="H108" s="3261"/>
      <c r="I108" s="3261"/>
      <c r="J108" s="3261"/>
      <c r="K108" s="3261"/>
      <c r="L108" s="3261"/>
      <c r="M108" s="3262"/>
      <c r="N108"/>
      <c r="O108"/>
      <c r="P108"/>
    </row>
    <row r="109" spans="2:16" ht="15" customHeight="1">
      <c r="B109" s="3277" t="s">
        <v>1974</v>
      </c>
      <c r="C109" s="3275" t="s">
        <v>1952</v>
      </c>
      <c r="D109" s="2103">
        <v>3.4000000000000002E-2</v>
      </c>
      <c r="E109" s="3263" t="s">
        <v>1975</v>
      </c>
      <c r="F109" s="3264"/>
      <c r="G109" s="3264"/>
      <c r="H109" s="3264"/>
      <c r="I109" s="3264"/>
      <c r="J109" s="3264"/>
      <c r="K109" s="3264"/>
      <c r="L109" s="3264"/>
      <c r="M109" s="3265"/>
      <c r="N109"/>
      <c r="O109"/>
      <c r="P109"/>
    </row>
    <row r="110" spans="2:16" ht="15.75" thickBot="1">
      <c r="B110" s="3278"/>
      <c r="C110" s="3276"/>
      <c r="D110" s="2104">
        <v>0.16900000000000001</v>
      </c>
      <c r="E110" s="3266"/>
      <c r="F110" s="3267"/>
      <c r="G110" s="3267"/>
      <c r="H110" s="3267"/>
      <c r="I110" s="3267"/>
      <c r="J110" s="3267"/>
      <c r="K110" s="3267"/>
      <c r="L110" s="3267"/>
      <c r="M110" s="3268"/>
      <c r="N110"/>
      <c r="O110"/>
      <c r="P110"/>
    </row>
    <row r="111" spans="2:16" ht="15" customHeight="1">
      <c r="B111" s="3273" t="s">
        <v>1976</v>
      </c>
      <c r="C111" s="3275" t="s">
        <v>1944</v>
      </c>
      <c r="D111" s="2106">
        <v>0.02</v>
      </c>
      <c r="E111" s="3263" t="s">
        <v>2012</v>
      </c>
      <c r="F111" s="3264"/>
      <c r="G111" s="3264"/>
      <c r="H111" s="3264"/>
      <c r="I111" s="3264"/>
      <c r="J111" s="3264"/>
      <c r="K111" s="3264"/>
      <c r="L111" s="3264"/>
      <c r="M111" s="3265"/>
      <c r="N111"/>
      <c r="O111"/>
      <c r="P111"/>
    </row>
    <row r="112" spans="2:16" ht="15" customHeight="1" thickBot="1">
      <c r="B112" s="3274"/>
      <c r="C112" s="3276"/>
      <c r="D112" s="2109">
        <v>7.0000000000000007E-2</v>
      </c>
      <c r="E112" s="3266"/>
      <c r="F112" s="3267"/>
      <c r="G112" s="3267"/>
      <c r="H112" s="3267"/>
      <c r="I112" s="3267"/>
      <c r="J112" s="3267"/>
      <c r="K112" s="3267"/>
      <c r="L112" s="3267"/>
      <c r="M112" s="3268"/>
      <c r="N112"/>
      <c r="O112"/>
      <c r="P112"/>
    </row>
    <row r="113" spans="2:16" ht="15" customHeight="1" thickBot="1">
      <c r="B113" s="2102" t="s">
        <v>1977</v>
      </c>
      <c r="C113" s="2091" t="s">
        <v>1944</v>
      </c>
      <c r="D113" s="2098">
        <v>0.05</v>
      </c>
      <c r="E113" s="3260"/>
      <c r="F113" s="3261"/>
      <c r="G113" s="3261"/>
      <c r="H113" s="3261"/>
      <c r="I113" s="3261"/>
      <c r="J113" s="3261"/>
      <c r="K113" s="3261"/>
      <c r="L113" s="3261"/>
      <c r="M113" s="3262"/>
      <c r="N113"/>
      <c r="O113"/>
      <c r="P113"/>
    </row>
    <row r="114" spans="2:16" ht="15" customHeight="1">
      <c r="B114" s="2128"/>
      <c r="C114" s="2121"/>
      <c r="D114" s="2121"/>
      <c r="E114" s="2121"/>
      <c r="F114" s="1128"/>
      <c r="G114" s="1128"/>
      <c r="H114" s="1128"/>
      <c r="I114" s="1128"/>
      <c r="J114" s="1128"/>
      <c r="K114" s="1128"/>
      <c r="L114" s="1128"/>
      <c r="M114" s="2129"/>
      <c r="N114"/>
      <c r="O114"/>
      <c r="P114"/>
    </row>
    <row r="115" spans="2:16" ht="42.6" customHeight="1">
      <c r="B115" s="3257" t="s">
        <v>2013</v>
      </c>
      <c r="C115" s="3258"/>
      <c r="D115" s="3258"/>
      <c r="E115" s="3258"/>
      <c r="F115" s="3258"/>
      <c r="G115" s="3258"/>
      <c r="H115" s="3258"/>
      <c r="I115" s="3258"/>
      <c r="J115" s="3258"/>
      <c r="K115" s="3258"/>
      <c r="L115" s="3258"/>
      <c r="M115" s="3259"/>
      <c r="N115"/>
      <c r="O115"/>
      <c r="P115"/>
    </row>
    <row r="116" spans="2:16">
      <c r="B116" s="2130"/>
      <c r="C116" s="2131"/>
      <c r="D116" s="2131"/>
      <c r="E116" s="2131"/>
      <c r="F116" s="1128"/>
      <c r="G116" s="1128"/>
      <c r="H116" s="1128"/>
      <c r="I116" s="1128"/>
      <c r="J116" s="1128"/>
      <c r="K116" s="1128"/>
      <c r="L116" s="1128"/>
      <c r="M116" s="2129"/>
      <c r="N116"/>
      <c r="O116"/>
      <c r="P116"/>
    </row>
    <row r="117" spans="2:16" ht="18.600000000000001" customHeight="1">
      <c r="B117" s="3257" t="s">
        <v>2014</v>
      </c>
      <c r="C117" s="3258"/>
      <c r="D117" s="3258"/>
      <c r="E117" s="3258"/>
      <c r="F117" s="3258"/>
      <c r="G117" s="3258"/>
      <c r="H117" s="3258"/>
      <c r="I117" s="3258"/>
      <c r="J117" s="3258"/>
      <c r="K117" s="3258"/>
      <c r="L117" s="3258"/>
      <c r="M117" s="3259"/>
      <c r="N117"/>
      <c r="O117"/>
      <c r="P117"/>
    </row>
    <row r="118" spans="2:16">
      <c r="B118" s="2130"/>
      <c r="C118" s="2131"/>
      <c r="D118" s="2131"/>
      <c r="E118" s="2131"/>
      <c r="F118" s="1128"/>
      <c r="G118" s="1128"/>
      <c r="H118" s="1128"/>
      <c r="I118" s="1128"/>
      <c r="J118" s="1128"/>
      <c r="K118" s="1128"/>
      <c r="L118" s="1128"/>
      <c r="M118" s="2129"/>
      <c r="N118"/>
      <c r="O118"/>
      <c r="P118"/>
    </row>
    <row r="119" spans="2:16" ht="19.899999999999999" customHeight="1">
      <c r="B119" s="3257" t="s">
        <v>1978</v>
      </c>
      <c r="C119" s="3258"/>
      <c r="D119" s="3258"/>
      <c r="E119" s="3258"/>
      <c r="F119" s="3258"/>
      <c r="G119" s="3258"/>
      <c r="H119" s="3258"/>
      <c r="I119" s="3258"/>
      <c r="J119" s="3258"/>
      <c r="K119" s="3258"/>
      <c r="L119" s="3258"/>
      <c r="M119" s="3259"/>
      <c r="N119"/>
      <c r="O119"/>
      <c r="P119"/>
    </row>
    <row r="120" spans="2:16">
      <c r="B120" s="2130"/>
      <c r="C120" s="2131"/>
      <c r="D120" s="2131"/>
      <c r="E120" s="2131"/>
      <c r="F120" s="1128"/>
      <c r="G120" s="1128"/>
      <c r="H120" s="1128"/>
      <c r="I120" s="1128"/>
      <c r="J120" s="1128"/>
      <c r="K120" s="1128"/>
      <c r="L120" s="1128"/>
      <c r="M120" s="2129"/>
      <c r="N120"/>
      <c r="O120"/>
      <c r="P120"/>
    </row>
    <row r="121" spans="2:16" ht="27" customHeight="1" thickBot="1">
      <c r="B121" s="3257" t="s">
        <v>1979</v>
      </c>
      <c r="C121" s="3258"/>
      <c r="D121" s="3258"/>
      <c r="E121" s="3258"/>
      <c r="F121" s="3258"/>
      <c r="G121" s="3258"/>
      <c r="H121" s="3258"/>
      <c r="I121" s="3258"/>
      <c r="J121" s="3258"/>
      <c r="K121" s="3258"/>
      <c r="L121" s="3258"/>
      <c r="M121" s="3259"/>
      <c r="N121"/>
      <c r="O121"/>
      <c r="P121"/>
    </row>
    <row r="122" spans="2:16" ht="15.75" thickBot="1">
      <c r="B122" s="2105" t="s">
        <v>1980</v>
      </c>
      <c r="C122" s="2110" t="s">
        <v>1981</v>
      </c>
      <c r="D122" s="2111"/>
      <c r="E122" s="2112"/>
      <c r="F122" s="1128"/>
      <c r="G122" s="1128"/>
      <c r="H122" s="1128"/>
      <c r="I122" s="1128"/>
      <c r="J122" s="1128"/>
      <c r="K122" s="1128"/>
      <c r="L122" s="1128"/>
      <c r="M122" s="2129"/>
      <c r="N122"/>
      <c r="O122"/>
      <c r="P122"/>
    </row>
    <row r="123" spans="2:16" ht="45.75" thickBot="1">
      <c r="B123" s="2088" t="s">
        <v>1982</v>
      </c>
      <c r="C123" s="2089" t="s">
        <v>1983</v>
      </c>
      <c r="D123" s="2113" t="s">
        <v>1984</v>
      </c>
      <c r="E123" s="2114"/>
      <c r="F123" s="1128"/>
      <c r="G123" s="1128"/>
      <c r="H123" s="1128"/>
      <c r="I123" s="1128"/>
      <c r="J123" s="1128"/>
      <c r="K123" s="1128"/>
      <c r="L123" s="1128"/>
      <c r="M123" s="2129"/>
      <c r="N123"/>
      <c r="O123"/>
      <c r="P123"/>
    </row>
    <row r="124" spans="2:16" ht="29.25" thickBot="1">
      <c r="B124" s="2090" t="s">
        <v>1985</v>
      </c>
      <c r="C124" s="2091" t="s">
        <v>1986</v>
      </c>
      <c r="D124" s="2115" t="s">
        <v>1987</v>
      </c>
      <c r="E124" s="2116"/>
      <c r="F124" s="1128"/>
      <c r="G124" s="1128"/>
      <c r="H124" s="1128"/>
      <c r="I124" s="1128"/>
      <c r="J124" s="1128"/>
      <c r="K124" s="1128"/>
      <c r="L124" s="1128"/>
      <c r="M124" s="2129"/>
      <c r="N124"/>
      <c r="O124"/>
      <c r="P124"/>
    </row>
    <row r="125" spans="2:16" ht="43.5" thickBot="1">
      <c r="B125" s="2090" t="s">
        <v>1988</v>
      </c>
      <c r="C125" s="2091" t="s">
        <v>1989</v>
      </c>
      <c r="D125" s="2117" t="s">
        <v>1990</v>
      </c>
      <c r="E125" s="2118"/>
      <c r="F125" s="1128"/>
      <c r="G125" s="1128"/>
      <c r="H125" s="1128"/>
      <c r="I125" s="1128"/>
      <c r="J125" s="1128"/>
      <c r="K125" s="1128"/>
      <c r="L125" s="1128"/>
      <c r="M125" s="2129"/>
      <c r="N125"/>
      <c r="O125"/>
      <c r="P125"/>
    </row>
    <row r="126" spans="2:16" ht="43.5" thickBot="1">
      <c r="B126" s="2090" t="s">
        <v>1991</v>
      </c>
      <c r="C126" s="2091" t="s">
        <v>1992</v>
      </c>
      <c r="D126" s="2119" t="s">
        <v>1993</v>
      </c>
      <c r="E126" s="2120"/>
      <c r="F126" s="1128"/>
      <c r="G126" s="1128"/>
      <c r="H126" s="1128"/>
      <c r="I126" s="1128"/>
      <c r="J126" s="1128"/>
      <c r="K126" s="1128"/>
      <c r="L126" s="1128"/>
      <c r="M126" s="2129"/>
      <c r="N126"/>
      <c r="O126"/>
      <c r="P126"/>
    </row>
    <row r="127" spans="2:16" ht="43.5" thickBot="1">
      <c r="B127" s="2090" t="s">
        <v>1994</v>
      </c>
      <c r="C127" s="2091" t="s">
        <v>1995</v>
      </c>
      <c r="D127" s="2117" t="s">
        <v>1996</v>
      </c>
      <c r="E127" s="2118"/>
      <c r="F127" s="1128"/>
      <c r="G127" s="1128"/>
      <c r="H127" s="1128"/>
      <c r="I127" s="1128"/>
      <c r="J127" s="1128"/>
      <c r="K127" s="1128"/>
      <c r="L127" s="1128"/>
      <c r="M127" s="2129"/>
      <c r="N127"/>
      <c r="O127"/>
      <c r="P127"/>
    </row>
    <row r="128" spans="2:16">
      <c r="B128" s="2132"/>
      <c r="C128" s="2121"/>
      <c r="D128" s="2121"/>
      <c r="E128" s="2121"/>
      <c r="F128" s="1128"/>
      <c r="G128" s="1128"/>
      <c r="H128" s="1128"/>
      <c r="I128" s="1128"/>
      <c r="J128" s="1128"/>
      <c r="K128" s="1128"/>
      <c r="L128" s="1128"/>
      <c r="M128" s="2129"/>
      <c r="N128"/>
      <c r="O128"/>
      <c r="P128"/>
    </row>
    <row r="129" spans="2:16" ht="70.150000000000006" customHeight="1">
      <c r="B129" s="3257" t="s">
        <v>2015</v>
      </c>
      <c r="C129" s="3258"/>
      <c r="D129" s="3258"/>
      <c r="E129" s="3258"/>
      <c r="F129" s="3258"/>
      <c r="G129" s="3258"/>
      <c r="H129" s="3258"/>
      <c r="I129" s="3258"/>
      <c r="J129" s="3258"/>
      <c r="K129" s="3258"/>
      <c r="L129" s="3258"/>
      <c r="M129" s="3259"/>
      <c r="N129"/>
      <c r="O129"/>
      <c r="P129"/>
    </row>
    <row r="130" spans="2:16" ht="15.75" thickBot="1">
      <c r="B130" s="1559"/>
      <c r="C130" s="1174"/>
      <c r="D130" s="1174"/>
      <c r="E130" s="1174"/>
      <c r="F130" s="1174"/>
      <c r="G130" s="1174"/>
      <c r="H130" s="1174"/>
      <c r="I130" s="1174"/>
      <c r="J130" s="1174"/>
      <c r="K130" s="1174"/>
      <c r="L130" s="1174"/>
      <c r="M130" s="2133"/>
    </row>
  </sheetData>
  <sheetProtection formatCells="0" formatColumns="0" formatRows="0" insertColumns="0" insertRows="0" insertHyperlinks="0" autoFilter="0"/>
  <mergeCells count="54">
    <mergeCell ref="B2:E2"/>
    <mergeCell ref="B105:B107"/>
    <mergeCell ref="E84:M84"/>
    <mergeCell ref="E85:M85"/>
    <mergeCell ref="E86:M86"/>
    <mergeCell ref="E87:M87"/>
    <mergeCell ref="E88:M88"/>
    <mergeCell ref="E89:M89"/>
    <mergeCell ref="E90:M90"/>
    <mergeCell ref="E91:M91"/>
    <mergeCell ref="E92:M92"/>
    <mergeCell ref="E93:M93"/>
    <mergeCell ref="E94:M94"/>
    <mergeCell ref="E107:M107"/>
    <mergeCell ref="E78:M78"/>
    <mergeCell ref="E79:M79"/>
    <mergeCell ref="E113:M113"/>
    <mergeCell ref="E111:M112"/>
    <mergeCell ref="C5:C6"/>
    <mergeCell ref="B5:B6"/>
    <mergeCell ref="D5:D6"/>
    <mergeCell ref="I24:J25"/>
    <mergeCell ref="B111:B112"/>
    <mergeCell ref="C111:C112"/>
    <mergeCell ref="B109:B110"/>
    <mergeCell ref="C109:C110"/>
    <mergeCell ref="E81:M81"/>
    <mergeCell ref="E82:M82"/>
    <mergeCell ref="E83:M83"/>
    <mergeCell ref="D105:D107"/>
    <mergeCell ref="E105:M105"/>
    <mergeCell ref="E106:M106"/>
    <mergeCell ref="E108:M108"/>
    <mergeCell ref="E109:M109"/>
    <mergeCell ref="E110:M110"/>
    <mergeCell ref="E98:M98"/>
    <mergeCell ref="E99:M99"/>
    <mergeCell ref="E100:M100"/>
    <mergeCell ref="E101:M101"/>
    <mergeCell ref="E102:M102"/>
    <mergeCell ref="E103:M103"/>
    <mergeCell ref="E104:M104"/>
    <mergeCell ref="B129:M129"/>
    <mergeCell ref="B115:M115"/>
    <mergeCell ref="B117:M117"/>
    <mergeCell ref="B119:M119"/>
    <mergeCell ref="B121:M121"/>
    <mergeCell ref="E97:M97"/>
    <mergeCell ref="E80:M80"/>
    <mergeCell ref="B27:D27"/>
    <mergeCell ref="B40:D40"/>
    <mergeCell ref="B26:D26"/>
    <mergeCell ref="E95:M95"/>
    <mergeCell ref="E96:M96"/>
  </mergeCells>
  <hyperlinks>
    <hyperlink ref="B2" location="INDEX!A1" display="INDEX!A1"/>
  </hyperlinks>
  <pageMargins left="0.7" right="0.7" top="0.75" bottom="0.75" header="0.3" footer="0.3"/>
  <pageSetup paperSize="9" orientation="portrait" r:id="rId1"/>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66"/>
  </sheetPr>
  <dimension ref="A1:Y89"/>
  <sheetViews>
    <sheetView zoomScale="82" zoomScaleNormal="82" workbookViewId="0">
      <selection activeCell="H7" sqref="H7"/>
    </sheetView>
  </sheetViews>
  <sheetFormatPr defaultRowHeight="12.75"/>
  <cols>
    <col min="1" max="1" width="4" style="410" customWidth="1"/>
    <col min="2" max="2" width="54" style="435" customWidth="1"/>
    <col min="3" max="3" width="8.85546875" style="435" bestFit="1" customWidth="1"/>
    <col min="4" max="4" width="9" style="435" customWidth="1"/>
    <col min="5" max="5" width="8.42578125" style="435" hidden="1" customWidth="1"/>
    <col min="6" max="6" width="9.7109375" style="435" customWidth="1"/>
    <col min="7" max="7" width="8.140625" style="435" hidden="1" customWidth="1"/>
    <col min="8" max="8" width="9.7109375" style="435" customWidth="1"/>
    <col min="9" max="9" width="10.42578125" style="435" hidden="1" customWidth="1"/>
    <col min="10" max="10" width="10.42578125" style="435" customWidth="1"/>
    <col min="11" max="11" width="8.42578125" style="435" hidden="1" customWidth="1"/>
    <col min="12" max="12" width="9.7109375" style="435" customWidth="1"/>
    <col min="13" max="13" width="8.140625" style="435" hidden="1" customWidth="1"/>
    <col min="14" max="14" width="9.7109375" style="435" customWidth="1"/>
    <col min="15" max="15" width="10.42578125" style="435" hidden="1" customWidth="1"/>
    <col min="16" max="16" width="9.85546875" style="435" bestFit="1" customWidth="1"/>
    <col min="17" max="17" width="8.42578125" style="435" hidden="1" customWidth="1"/>
    <col min="18" max="18" width="9.7109375" style="435" customWidth="1"/>
    <col min="19" max="19" width="8.140625" style="435" hidden="1" customWidth="1"/>
    <col min="20" max="20" width="9.7109375" style="435" customWidth="1"/>
    <col min="21" max="21" width="10.42578125" style="435" hidden="1" customWidth="1"/>
    <col min="22" max="256" width="9.140625" style="435"/>
    <col min="257" max="257" width="4" style="435" customWidth="1"/>
    <col min="258" max="258" width="54" style="435" customWidth="1"/>
    <col min="259" max="259" width="8.85546875" style="435" bestFit="1" customWidth="1"/>
    <col min="260" max="260" width="9" style="435" customWidth="1"/>
    <col min="261" max="261" width="0" style="435" hidden="1" customWidth="1"/>
    <col min="262" max="262" width="9.7109375" style="435" customWidth="1"/>
    <col min="263" max="263" width="0" style="435" hidden="1" customWidth="1"/>
    <col min="264" max="264" width="9.7109375" style="435" customWidth="1"/>
    <col min="265" max="265" width="0" style="435" hidden="1" customWidth="1"/>
    <col min="266" max="266" width="10.42578125" style="435" customWidth="1"/>
    <col min="267" max="267" width="0" style="435" hidden="1" customWidth="1"/>
    <col min="268" max="268" width="9.7109375" style="435" customWidth="1"/>
    <col min="269" max="269" width="0" style="435" hidden="1" customWidth="1"/>
    <col min="270" max="270" width="9.7109375" style="435" customWidth="1"/>
    <col min="271" max="271" width="0" style="435" hidden="1" customWidth="1"/>
    <col min="272" max="272" width="9.85546875" style="435" bestFit="1" customWidth="1"/>
    <col min="273" max="273" width="0" style="435" hidden="1" customWidth="1"/>
    <col min="274" max="274" width="9.7109375" style="435" customWidth="1"/>
    <col min="275" max="275" width="0" style="435" hidden="1" customWidth="1"/>
    <col min="276" max="276" width="9.7109375" style="435" customWidth="1"/>
    <col min="277" max="277" width="0" style="435" hidden="1" customWidth="1"/>
    <col min="278" max="512" width="9.140625" style="435"/>
    <col min="513" max="513" width="4" style="435" customWidth="1"/>
    <col min="514" max="514" width="54" style="435" customWidth="1"/>
    <col min="515" max="515" width="8.85546875" style="435" bestFit="1" customWidth="1"/>
    <col min="516" max="516" width="9" style="435" customWidth="1"/>
    <col min="517" max="517" width="0" style="435" hidden="1" customWidth="1"/>
    <col min="518" max="518" width="9.7109375" style="435" customWidth="1"/>
    <col min="519" max="519" width="0" style="435" hidden="1" customWidth="1"/>
    <col min="520" max="520" width="9.7109375" style="435" customWidth="1"/>
    <col min="521" max="521" width="0" style="435" hidden="1" customWidth="1"/>
    <col min="522" max="522" width="10.42578125" style="435" customWidth="1"/>
    <col min="523" max="523" width="0" style="435" hidden="1" customWidth="1"/>
    <col min="524" max="524" width="9.7109375" style="435" customWidth="1"/>
    <col min="525" max="525" width="0" style="435" hidden="1" customWidth="1"/>
    <col min="526" max="526" width="9.7109375" style="435" customWidth="1"/>
    <col min="527" max="527" width="0" style="435" hidden="1" customWidth="1"/>
    <col min="528" max="528" width="9.85546875" style="435" bestFit="1" customWidth="1"/>
    <col min="529" max="529" width="0" style="435" hidden="1" customWidth="1"/>
    <col min="530" max="530" width="9.7109375" style="435" customWidth="1"/>
    <col min="531" max="531" width="0" style="435" hidden="1" customWidth="1"/>
    <col min="532" max="532" width="9.7109375" style="435" customWidth="1"/>
    <col min="533" max="533" width="0" style="435" hidden="1" customWidth="1"/>
    <col min="534" max="768" width="9.140625" style="435"/>
    <col min="769" max="769" width="4" style="435" customWidth="1"/>
    <col min="770" max="770" width="54" style="435" customWidth="1"/>
    <col min="771" max="771" width="8.85546875" style="435" bestFit="1" customWidth="1"/>
    <col min="772" max="772" width="9" style="435" customWidth="1"/>
    <col min="773" max="773" width="0" style="435" hidden="1" customWidth="1"/>
    <col min="774" max="774" width="9.7109375" style="435" customWidth="1"/>
    <col min="775" max="775" width="0" style="435" hidden="1" customWidth="1"/>
    <col min="776" max="776" width="9.7109375" style="435" customWidth="1"/>
    <col min="777" max="777" width="0" style="435" hidden="1" customWidth="1"/>
    <col min="778" max="778" width="10.42578125" style="435" customWidth="1"/>
    <col min="779" max="779" width="0" style="435" hidden="1" customWidth="1"/>
    <col min="780" max="780" width="9.7109375" style="435" customWidth="1"/>
    <col min="781" max="781" width="0" style="435" hidden="1" customWidth="1"/>
    <col min="782" max="782" width="9.7109375" style="435" customWidth="1"/>
    <col min="783" max="783" width="0" style="435" hidden="1" customWidth="1"/>
    <col min="784" max="784" width="9.85546875" style="435" bestFit="1" customWidth="1"/>
    <col min="785" max="785" width="0" style="435" hidden="1" customWidth="1"/>
    <col min="786" max="786" width="9.7109375" style="435" customWidth="1"/>
    <col min="787" max="787" width="0" style="435" hidden="1" customWidth="1"/>
    <col min="788" max="788" width="9.7109375" style="435" customWidth="1"/>
    <col min="789" max="789" width="0" style="435" hidden="1" customWidth="1"/>
    <col min="790" max="1024" width="9.140625" style="435"/>
    <col min="1025" max="1025" width="4" style="435" customWidth="1"/>
    <col min="1026" max="1026" width="54" style="435" customWidth="1"/>
    <col min="1027" max="1027" width="8.85546875" style="435" bestFit="1" customWidth="1"/>
    <col min="1028" max="1028" width="9" style="435" customWidth="1"/>
    <col min="1029" max="1029" width="0" style="435" hidden="1" customWidth="1"/>
    <col min="1030" max="1030" width="9.7109375" style="435" customWidth="1"/>
    <col min="1031" max="1031" width="0" style="435" hidden="1" customWidth="1"/>
    <col min="1032" max="1032" width="9.7109375" style="435" customWidth="1"/>
    <col min="1033" max="1033" width="0" style="435" hidden="1" customWidth="1"/>
    <col min="1034" max="1034" width="10.42578125" style="435" customWidth="1"/>
    <col min="1035" max="1035" width="0" style="435" hidden="1" customWidth="1"/>
    <col min="1036" max="1036" width="9.7109375" style="435" customWidth="1"/>
    <col min="1037" max="1037" width="0" style="435" hidden="1" customWidth="1"/>
    <col min="1038" max="1038" width="9.7109375" style="435" customWidth="1"/>
    <col min="1039" max="1039" width="0" style="435" hidden="1" customWidth="1"/>
    <col min="1040" max="1040" width="9.85546875" style="435" bestFit="1" customWidth="1"/>
    <col min="1041" max="1041" width="0" style="435" hidden="1" customWidth="1"/>
    <col min="1042" max="1042" width="9.7109375" style="435" customWidth="1"/>
    <col min="1043" max="1043" width="0" style="435" hidden="1" customWidth="1"/>
    <col min="1044" max="1044" width="9.7109375" style="435" customWidth="1"/>
    <col min="1045" max="1045" width="0" style="435" hidden="1" customWidth="1"/>
    <col min="1046" max="1280" width="9.140625" style="435"/>
    <col min="1281" max="1281" width="4" style="435" customWidth="1"/>
    <col min="1282" max="1282" width="54" style="435" customWidth="1"/>
    <col min="1283" max="1283" width="8.85546875" style="435" bestFit="1" customWidth="1"/>
    <col min="1284" max="1284" width="9" style="435" customWidth="1"/>
    <col min="1285" max="1285" width="0" style="435" hidden="1" customWidth="1"/>
    <col min="1286" max="1286" width="9.7109375" style="435" customWidth="1"/>
    <col min="1287" max="1287" width="0" style="435" hidden="1" customWidth="1"/>
    <col min="1288" max="1288" width="9.7109375" style="435" customWidth="1"/>
    <col min="1289" max="1289" width="0" style="435" hidden="1" customWidth="1"/>
    <col min="1290" max="1290" width="10.42578125" style="435" customWidth="1"/>
    <col min="1291" max="1291" width="0" style="435" hidden="1" customWidth="1"/>
    <col min="1292" max="1292" width="9.7109375" style="435" customWidth="1"/>
    <col min="1293" max="1293" width="0" style="435" hidden="1" customWidth="1"/>
    <col min="1294" max="1294" width="9.7109375" style="435" customWidth="1"/>
    <col min="1295" max="1295" width="0" style="435" hidden="1" customWidth="1"/>
    <col min="1296" max="1296" width="9.85546875" style="435" bestFit="1" customWidth="1"/>
    <col min="1297" max="1297" width="0" style="435" hidden="1" customWidth="1"/>
    <col min="1298" max="1298" width="9.7109375" style="435" customWidth="1"/>
    <col min="1299" max="1299" width="0" style="435" hidden="1" customWidth="1"/>
    <col min="1300" max="1300" width="9.7109375" style="435" customWidth="1"/>
    <col min="1301" max="1301" width="0" style="435" hidden="1" customWidth="1"/>
    <col min="1302" max="1536" width="9.140625" style="435"/>
    <col min="1537" max="1537" width="4" style="435" customWidth="1"/>
    <col min="1538" max="1538" width="54" style="435" customWidth="1"/>
    <col min="1539" max="1539" width="8.85546875" style="435" bestFit="1" customWidth="1"/>
    <col min="1540" max="1540" width="9" style="435" customWidth="1"/>
    <col min="1541" max="1541" width="0" style="435" hidden="1" customWidth="1"/>
    <col min="1542" max="1542" width="9.7109375" style="435" customWidth="1"/>
    <col min="1543" max="1543" width="0" style="435" hidden="1" customWidth="1"/>
    <col min="1544" max="1544" width="9.7109375" style="435" customWidth="1"/>
    <col min="1545" max="1545" width="0" style="435" hidden="1" customWidth="1"/>
    <col min="1546" max="1546" width="10.42578125" style="435" customWidth="1"/>
    <col min="1547" max="1547" width="0" style="435" hidden="1" customWidth="1"/>
    <col min="1548" max="1548" width="9.7109375" style="435" customWidth="1"/>
    <col min="1549" max="1549" width="0" style="435" hidden="1" customWidth="1"/>
    <col min="1550" max="1550" width="9.7109375" style="435" customWidth="1"/>
    <col min="1551" max="1551" width="0" style="435" hidden="1" customWidth="1"/>
    <col min="1552" max="1552" width="9.85546875" style="435" bestFit="1" customWidth="1"/>
    <col min="1553" max="1553" width="0" style="435" hidden="1" customWidth="1"/>
    <col min="1554" max="1554" width="9.7109375" style="435" customWidth="1"/>
    <col min="1555" max="1555" width="0" style="435" hidden="1" customWidth="1"/>
    <col min="1556" max="1556" width="9.7109375" style="435" customWidth="1"/>
    <col min="1557" max="1557" width="0" style="435" hidden="1" customWidth="1"/>
    <col min="1558" max="1792" width="9.140625" style="435"/>
    <col min="1793" max="1793" width="4" style="435" customWidth="1"/>
    <col min="1794" max="1794" width="54" style="435" customWidth="1"/>
    <col min="1795" max="1795" width="8.85546875" style="435" bestFit="1" customWidth="1"/>
    <col min="1796" max="1796" width="9" style="435" customWidth="1"/>
    <col min="1797" max="1797" width="0" style="435" hidden="1" customWidth="1"/>
    <col min="1798" max="1798" width="9.7109375" style="435" customWidth="1"/>
    <col min="1799" max="1799" width="0" style="435" hidden="1" customWidth="1"/>
    <col min="1800" max="1800" width="9.7109375" style="435" customWidth="1"/>
    <col min="1801" max="1801" width="0" style="435" hidden="1" customWidth="1"/>
    <col min="1802" max="1802" width="10.42578125" style="435" customWidth="1"/>
    <col min="1803" max="1803" width="0" style="435" hidden="1" customWidth="1"/>
    <col min="1804" max="1804" width="9.7109375" style="435" customWidth="1"/>
    <col min="1805" max="1805" width="0" style="435" hidden="1" customWidth="1"/>
    <col min="1806" max="1806" width="9.7109375" style="435" customWidth="1"/>
    <col min="1807" max="1807" width="0" style="435" hidden="1" customWidth="1"/>
    <col min="1808" max="1808" width="9.85546875" style="435" bestFit="1" customWidth="1"/>
    <col min="1809" max="1809" width="0" style="435" hidden="1" customWidth="1"/>
    <col min="1810" max="1810" width="9.7109375" style="435" customWidth="1"/>
    <col min="1811" max="1811" width="0" style="435" hidden="1" customWidth="1"/>
    <col min="1812" max="1812" width="9.7109375" style="435" customWidth="1"/>
    <col min="1813" max="1813" width="0" style="435" hidden="1" customWidth="1"/>
    <col min="1814" max="2048" width="9.140625" style="435"/>
    <col min="2049" max="2049" width="4" style="435" customWidth="1"/>
    <col min="2050" max="2050" width="54" style="435" customWidth="1"/>
    <col min="2051" max="2051" width="8.85546875" style="435" bestFit="1" customWidth="1"/>
    <col min="2052" max="2052" width="9" style="435" customWidth="1"/>
    <col min="2053" max="2053" width="0" style="435" hidden="1" customWidth="1"/>
    <col min="2054" max="2054" width="9.7109375" style="435" customWidth="1"/>
    <col min="2055" max="2055" width="0" style="435" hidden="1" customWidth="1"/>
    <col min="2056" max="2056" width="9.7109375" style="435" customWidth="1"/>
    <col min="2057" max="2057" width="0" style="435" hidden="1" customWidth="1"/>
    <col min="2058" max="2058" width="10.42578125" style="435" customWidth="1"/>
    <col min="2059" max="2059" width="0" style="435" hidden="1" customWidth="1"/>
    <col min="2060" max="2060" width="9.7109375" style="435" customWidth="1"/>
    <col min="2061" max="2061" width="0" style="435" hidden="1" customWidth="1"/>
    <col min="2062" max="2062" width="9.7109375" style="435" customWidth="1"/>
    <col min="2063" max="2063" width="0" style="435" hidden="1" customWidth="1"/>
    <col min="2064" max="2064" width="9.85546875" style="435" bestFit="1" customWidth="1"/>
    <col min="2065" max="2065" width="0" style="435" hidden="1" customWidth="1"/>
    <col min="2066" max="2066" width="9.7109375" style="435" customWidth="1"/>
    <col min="2067" max="2067" width="0" style="435" hidden="1" customWidth="1"/>
    <col min="2068" max="2068" width="9.7109375" style="435" customWidth="1"/>
    <col min="2069" max="2069" width="0" style="435" hidden="1" customWidth="1"/>
    <col min="2070" max="2304" width="9.140625" style="435"/>
    <col min="2305" max="2305" width="4" style="435" customWidth="1"/>
    <col min="2306" max="2306" width="54" style="435" customWidth="1"/>
    <col min="2307" max="2307" width="8.85546875" style="435" bestFit="1" customWidth="1"/>
    <col min="2308" max="2308" width="9" style="435" customWidth="1"/>
    <col min="2309" max="2309" width="0" style="435" hidden="1" customWidth="1"/>
    <col min="2310" max="2310" width="9.7109375" style="435" customWidth="1"/>
    <col min="2311" max="2311" width="0" style="435" hidden="1" customWidth="1"/>
    <col min="2312" max="2312" width="9.7109375" style="435" customWidth="1"/>
    <col min="2313" max="2313" width="0" style="435" hidden="1" customWidth="1"/>
    <col min="2314" max="2314" width="10.42578125" style="435" customWidth="1"/>
    <col min="2315" max="2315" width="0" style="435" hidden="1" customWidth="1"/>
    <col min="2316" max="2316" width="9.7109375" style="435" customWidth="1"/>
    <col min="2317" max="2317" width="0" style="435" hidden="1" customWidth="1"/>
    <col min="2318" max="2318" width="9.7109375" style="435" customWidth="1"/>
    <col min="2319" max="2319" width="0" style="435" hidden="1" customWidth="1"/>
    <col min="2320" max="2320" width="9.85546875" style="435" bestFit="1" customWidth="1"/>
    <col min="2321" max="2321" width="0" style="435" hidden="1" customWidth="1"/>
    <col min="2322" max="2322" width="9.7109375" style="435" customWidth="1"/>
    <col min="2323" max="2323" width="0" style="435" hidden="1" customWidth="1"/>
    <col min="2324" max="2324" width="9.7109375" style="435" customWidth="1"/>
    <col min="2325" max="2325" width="0" style="435" hidden="1" customWidth="1"/>
    <col min="2326" max="2560" width="9.140625" style="435"/>
    <col min="2561" max="2561" width="4" style="435" customWidth="1"/>
    <col min="2562" max="2562" width="54" style="435" customWidth="1"/>
    <col min="2563" max="2563" width="8.85546875" style="435" bestFit="1" customWidth="1"/>
    <col min="2564" max="2564" width="9" style="435" customWidth="1"/>
    <col min="2565" max="2565" width="0" style="435" hidden="1" customWidth="1"/>
    <col min="2566" max="2566" width="9.7109375" style="435" customWidth="1"/>
    <col min="2567" max="2567" width="0" style="435" hidden="1" customWidth="1"/>
    <col min="2568" max="2568" width="9.7109375" style="435" customWidth="1"/>
    <col min="2569" max="2569" width="0" style="435" hidden="1" customWidth="1"/>
    <col min="2570" max="2570" width="10.42578125" style="435" customWidth="1"/>
    <col min="2571" max="2571" width="0" style="435" hidden="1" customWidth="1"/>
    <col min="2572" max="2572" width="9.7109375" style="435" customWidth="1"/>
    <col min="2573" max="2573" width="0" style="435" hidden="1" customWidth="1"/>
    <col min="2574" max="2574" width="9.7109375" style="435" customWidth="1"/>
    <col min="2575" max="2575" width="0" style="435" hidden="1" customWidth="1"/>
    <col min="2576" max="2576" width="9.85546875" style="435" bestFit="1" customWidth="1"/>
    <col min="2577" max="2577" width="0" style="435" hidden="1" customWidth="1"/>
    <col min="2578" max="2578" width="9.7109375" style="435" customWidth="1"/>
    <col min="2579" max="2579" width="0" style="435" hidden="1" customWidth="1"/>
    <col min="2580" max="2580" width="9.7109375" style="435" customWidth="1"/>
    <col min="2581" max="2581" width="0" style="435" hidden="1" customWidth="1"/>
    <col min="2582" max="2816" width="9.140625" style="435"/>
    <col min="2817" max="2817" width="4" style="435" customWidth="1"/>
    <col min="2818" max="2818" width="54" style="435" customWidth="1"/>
    <col min="2819" max="2819" width="8.85546875" style="435" bestFit="1" customWidth="1"/>
    <col min="2820" max="2820" width="9" style="435" customWidth="1"/>
    <col min="2821" max="2821" width="0" style="435" hidden="1" customWidth="1"/>
    <col min="2822" max="2822" width="9.7109375" style="435" customWidth="1"/>
    <col min="2823" max="2823" width="0" style="435" hidden="1" customWidth="1"/>
    <col min="2824" max="2824" width="9.7109375" style="435" customWidth="1"/>
    <col min="2825" max="2825" width="0" style="435" hidden="1" customWidth="1"/>
    <col min="2826" max="2826" width="10.42578125" style="435" customWidth="1"/>
    <col min="2827" max="2827" width="0" style="435" hidden="1" customWidth="1"/>
    <col min="2828" max="2828" width="9.7109375" style="435" customWidth="1"/>
    <col min="2829" max="2829" width="0" style="435" hidden="1" customWidth="1"/>
    <col min="2830" max="2830" width="9.7109375" style="435" customWidth="1"/>
    <col min="2831" max="2831" width="0" style="435" hidden="1" customWidth="1"/>
    <col min="2832" max="2832" width="9.85546875" style="435" bestFit="1" customWidth="1"/>
    <col min="2833" max="2833" width="0" style="435" hidden="1" customWidth="1"/>
    <col min="2834" max="2834" width="9.7109375" style="435" customWidth="1"/>
    <col min="2835" max="2835" width="0" style="435" hidden="1" customWidth="1"/>
    <col min="2836" max="2836" width="9.7109375" style="435" customWidth="1"/>
    <col min="2837" max="2837" width="0" style="435" hidden="1" customWidth="1"/>
    <col min="2838" max="3072" width="9.140625" style="435"/>
    <col min="3073" max="3073" width="4" style="435" customWidth="1"/>
    <col min="3074" max="3074" width="54" style="435" customWidth="1"/>
    <col min="3075" max="3075" width="8.85546875" style="435" bestFit="1" customWidth="1"/>
    <col min="3076" max="3076" width="9" style="435" customWidth="1"/>
    <col min="3077" max="3077" width="0" style="435" hidden="1" customWidth="1"/>
    <col min="3078" max="3078" width="9.7109375" style="435" customWidth="1"/>
    <col min="3079" max="3079" width="0" style="435" hidden="1" customWidth="1"/>
    <col min="3080" max="3080" width="9.7109375" style="435" customWidth="1"/>
    <col min="3081" max="3081" width="0" style="435" hidden="1" customWidth="1"/>
    <col min="3082" max="3082" width="10.42578125" style="435" customWidth="1"/>
    <col min="3083" max="3083" width="0" style="435" hidden="1" customWidth="1"/>
    <col min="3084" max="3084" width="9.7109375" style="435" customWidth="1"/>
    <col min="3085" max="3085" width="0" style="435" hidden="1" customWidth="1"/>
    <col min="3086" max="3086" width="9.7109375" style="435" customWidth="1"/>
    <col min="3087" max="3087" width="0" style="435" hidden="1" customWidth="1"/>
    <col min="3088" max="3088" width="9.85546875" style="435" bestFit="1" customWidth="1"/>
    <col min="3089" max="3089" width="0" style="435" hidden="1" customWidth="1"/>
    <col min="3090" max="3090" width="9.7109375" style="435" customWidth="1"/>
    <col min="3091" max="3091" width="0" style="435" hidden="1" customWidth="1"/>
    <col min="3092" max="3092" width="9.7109375" style="435" customWidth="1"/>
    <col min="3093" max="3093" width="0" style="435" hidden="1" customWidth="1"/>
    <col min="3094" max="3328" width="9.140625" style="435"/>
    <col min="3329" max="3329" width="4" style="435" customWidth="1"/>
    <col min="3330" max="3330" width="54" style="435" customWidth="1"/>
    <col min="3331" max="3331" width="8.85546875" style="435" bestFit="1" customWidth="1"/>
    <col min="3332" max="3332" width="9" style="435" customWidth="1"/>
    <col min="3333" max="3333" width="0" style="435" hidden="1" customWidth="1"/>
    <col min="3334" max="3334" width="9.7109375" style="435" customWidth="1"/>
    <col min="3335" max="3335" width="0" style="435" hidden="1" customWidth="1"/>
    <col min="3336" max="3336" width="9.7109375" style="435" customWidth="1"/>
    <col min="3337" max="3337" width="0" style="435" hidden="1" customWidth="1"/>
    <col min="3338" max="3338" width="10.42578125" style="435" customWidth="1"/>
    <col min="3339" max="3339" width="0" style="435" hidden="1" customWidth="1"/>
    <col min="3340" max="3340" width="9.7109375" style="435" customWidth="1"/>
    <col min="3341" max="3341" width="0" style="435" hidden="1" customWidth="1"/>
    <col min="3342" max="3342" width="9.7109375" style="435" customWidth="1"/>
    <col min="3343" max="3343" width="0" style="435" hidden="1" customWidth="1"/>
    <col min="3344" max="3344" width="9.85546875" style="435" bestFit="1" customWidth="1"/>
    <col min="3345" max="3345" width="0" style="435" hidden="1" customWidth="1"/>
    <col min="3346" max="3346" width="9.7109375" style="435" customWidth="1"/>
    <col min="3347" max="3347" width="0" style="435" hidden="1" customWidth="1"/>
    <col min="3348" max="3348" width="9.7109375" style="435" customWidth="1"/>
    <col min="3349" max="3349" width="0" style="435" hidden="1" customWidth="1"/>
    <col min="3350" max="3584" width="9.140625" style="435"/>
    <col min="3585" max="3585" width="4" style="435" customWidth="1"/>
    <col min="3586" max="3586" width="54" style="435" customWidth="1"/>
    <col min="3587" max="3587" width="8.85546875" style="435" bestFit="1" customWidth="1"/>
    <col min="3588" max="3588" width="9" style="435" customWidth="1"/>
    <col min="3589" max="3589" width="0" style="435" hidden="1" customWidth="1"/>
    <col min="3590" max="3590" width="9.7109375" style="435" customWidth="1"/>
    <col min="3591" max="3591" width="0" style="435" hidden="1" customWidth="1"/>
    <col min="3592" max="3592" width="9.7109375" style="435" customWidth="1"/>
    <col min="3593" max="3593" width="0" style="435" hidden="1" customWidth="1"/>
    <col min="3594" max="3594" width="10.42578125" style="435" customWidth="1"/>
    <col min="3595" max="3595" width="0" style="435" hidden="1" customWidth="1"/>
    <col min="3596" max="3596" width="9.7109375" style="435" customWidth="1"/>
    <col min="3597" max="3597" width="0" style="435" hidden="1" customWidth="1"/>
    <col min="3598" max="3598" width="9.7109375" style="435" customWidth="1"/>
    <col min="3599" max="3599" width="0" style="435" hidden="1" customWidth="1"/>
    <col min="3600" max="3600" width="9.85546875" style="435" bestFit="1" customWidth="1"/>
    <col min="3601" max="3601" width="0" style="435" hidden="1" customWidth="1"/>
    <col min="3602" max="3602" width="9.7109375" style="435" customWidth="1"/>
    <col min="3603" max="3603" width="0" style="435" hidden="1" customWidth="1"/>
    <col min="3604" max="3604" width="9.7109375" style="435" customWidth="1"/>
    <col min="3605" max="3605" width="0" style="435" hidden="1" customWidth="1"/>
    <col min="3606" max="3840" width="9.140625" style="435"/>
    <col min="3841" max="3841" width="4" style="435" customWidth="1"/>
    <col min="3842" max="3842" width="54" style="435" customWidth="1"/>
    <col min="3843" max="3843" width="8.85546875" style="435" bestFit="1" customWidth="1"/>
    <col min="3844" max="3844" width="9" style="435" customWidth="1"/>
    <col min="3845" max="3845" width="0" style="435" hidden="1" customWidth="1"/>
    <col min="3846" max="3846" width="9.7109375" style="435" customWidth="1"/>
    <col min="3847" max="3847" width="0" style="435" hidden="1" customWidth="1"/>
    <col min="3848" max="3848" width="9.7109375" style="435" customWidth="1"/>
    <col min="3849" max="3849" width="0" style="435" hidden="1" customWidth="1"/>
    <col min="3850" max="3850" width="10.42578125" style="435" customWidth="1"/>
    <col min="3851" max="3851" width="0" style="435" hidden="1" customWidth="1"/>
    <col min="3852" max="3852" width="9.7109375" style="435" customWidth="1"/>
    <col min="3853" max="3853" width="0" style="435" hidden="1" customWidth="1"/>
    <col min="3854" max="3854" width="9.7109375" style="435" customWidth="1"/>
    <col min="3855" max="3855" width="0" style="435" hidden="1" customWidth="1"/>
    <col min="3856" max="3856" width="9.85546875" style="435" bestFit="1" customWidth="1"/>
    <col min="3857" max="3857" width="0" style="435" hidden="1" customWidth="1"/>
    <col min="3858" max="3858" width="9.7109375" style="435" customWidth="1"/>
    <col min="3859" max="3859" width="0" style="435" hidden="1" customWidth="1"/>
    <col min="3860" max="3860" width="9.7109375" style="435" customWidth="1"/>
    <col min="3861" max="3861" width="0" style="435" hidden="1" customWidth="1"/>
    <col min="3862" max="4096" width="9.140625" style="435"/>
    <col min="4097" max="4097" width="4" style="435" customWidth="1"/>
    <col min="4098" max="4098" width="54" style="435" customWidth="1"/>
    <col min="4099" max="4099" width="8.85546875" style="435" bestFit="1" customWidth="1"/>
    <col min="4100" max="4100" width="9" style="435" customWidth="1"/>
    <col min="4101" max="4101" width="0" style="435" hidden="1" customWidth="1"/>
    <col min="4102" max="4102" width="9.7109375" style="435" customWidth="1"/>
    <col min="4103" max="4103" width="0" style="435" hidden="1" customWidth="1"/>
    <col min="4104" max="4104" width="9.7109375" style="435" customWidth="1"/>
    <col min="4105" max="4105" width="0" style="435" hidden="1" customWidth="1"/>
    <col min="4106" max="4106" width="10.42578125" style="435" customWidth="1"/>
    <col min="4107" max="4107" width="0" style="435" hidden="1" customWidth="1"/>
    <col min="4108" max="4108" width="9.7109375" style="435" customWidth="1"/>
    <col min="4109" max="4109" width="0" style="435" hidden="1" customWidth="1"/>
    <col min="4110" max="4110" width="9.7109375" style="435" customWidth="1"/>
    <col min="4111" max="4111" width="0" style="435" hidden="1" customWidth="1"/>
    <col min="4112" max="4112" width="9.85546875" style="435" bestFit="1" customWidth="1"/>
    <col min="4113" max="4113" width="0" style="435" hidden="1" customWidth="1"/>
    <col min="4114" max="4114" width="9.7109375" style="435" customWidth="1"/>
    <col min="4115" max="4115" width="0" style="435" hidden="1" customWidth="1"/>
    <col min="4116" max="4116" width="9.7109375" style="435" customWidth="1"/>
    <col min="4117" max="4117" width="0" style="435" hidden="1" customWidth="1"/>
    <col min="4118" max="4352" width="9.140625" style="435"/>
    <col min="4353" max="4353" width="4" style="435" customWidth="1"/>
    <col min="4354" max="4354" width="54" style="435" customWidth="1"/>
    <col min="4355" max="4355" width="8.85546875" style="435" bestFit="1" customWidth="1"/>
    <col min="4356" max="4356" width="9" style="435" customWidth="1"/>
    <col min="4357" max="4357" width="0" style="435" hidden="1" customWidth="1"/>
    <col min="4358" max="4358" width="9.7109375" style="435" customWidth="1"/>
    <col min="4359" max="4359" width="0" style="435" hidden="1" customWidth="1"/>
    <col min="4360" max="4360" width="9.7109375" style="435" customWidth="1"/>
    <col min="4361" max="4361" width="0" style="435" hidden="1" customWidth="1"/>
    <col min="4362" max="4362" width="10.42578125" style="435" customWidth="1"/>
    <col min="4363" max="4363" width="0" style="435" hidden="1" customWidth="1"/>
    <col min="4364" max="4364" width="9.7109375" style="435" customWidth="1"/>
    <col min="4365" max="4365" width="0" style="435" hidden="1" customWidth="1"/>
    <col min="4366" max="4366" width="9.7109375" style="435" customWidth="1"/>
    <col min="4367" max="4367" width="0" style="435" hidden="1" customWidth="1"/>
    <col min="4368" max="4368" width="9.85546875" style="435" bestFit="1" customWidth="1"/>
    <col min="4369" max="4369" width="0" style="435" hidden="1" customWidth="1"/>
    <col min="4370" max="4370" width="9.7109375" style="435" customWidth="1"/>
    <col min="4371" max="4371" width="0" style="435" hidden="1" customWidth="1"/>
    <col min="4372" max="4372" width="9.7109375" style="435" customWidth="1"/>
    <col min="4373" max="4373" width="0" style="435" hidden="1" customWidth="1"/>
    <col min="4374" max="4608" width="9.140625" style="435"/>
    <col min="4609" max="4609" width="4" style="435" customWidth="1"/>
    <col min="4610" max="4610" width="54" style="435" customWidth="1"/>
    <col min="4611" max="4611" width="8.85546875" style="435" bestFit="1" customWidth="1"/>
    <col min="4612" max="4612" width="9" style="435" customWidth="1"/>
    <col min="4613" max="4613" width="0" style="435" hidden="1" customWidth="1"/>
    <col min="4614" max="4614" width="9.7109375" style="435" customWidth="1"/>
    <col min="4615" max="4615" width="0" style="435" hidden="1" customWidth="1"/>
    <col min="4616" max="4616" width="9.7109375" style="435" customWidth="1"/>
    <col min="4617" max="4617" width="0" style="435" hidden="1" customWidth="1"/>
    <col min="4618" max="4618" width="10.42578125" style="435" customWidth="1"/>
    <col min="4619" max="4619" width="0" style="435" hidden="1" customWidth="1"/>
    <col min="4620" max="4620" width="9.7109375" style="435" customWidth="1"/>
    <col min="4621" max="4621" width="0" style="435" hidden="1" customWidth="1"/>
    <col min="4622" max="4622" width="9.7109375" style="435" customWidth="1"/>
    <col min="4623" max="4623" width="0" style="435" hidden="1" customWidth="1"/>
    <col min="4624" max="4624" width="9.85546875" style="435" bestFit="1" customWidth="1"/>
    <col min="4625" max="4625" width="0" style="435" hidden="1" customWidth="1"/>
    <col min="4626" max="4626" width="9.7109375" style="435" customWidth="1"/>
    <col min="4627" max="4627" width="0" style="435" hidden="1" customWidth="1"/>
    <col min="4628" max="4628" width="9.7109375" style="435" customWidth="1"/>
    <col min="4629" max="4629" width="0" style="435" hidden="1" customWidth="1"/>
    <col min="4630" max="4864" width="9.140625" style="435"/>
    <col min="4865" max="4865" width="4" style="435" customWidth="1"/>
    <col min="4866" max="4866" width="54" style="435" customWidth="1"/>
    <col min="4867" max="4867" width="8.85546875" style="435" bestFit="1" customWidth="1"/>
    <col min="4868" max="4868" width="9" style="435" customWidth="1"/>
    <col min="4869" max="4869" width="0" style="435" hidden="1" customWidth="1"/>
    <col min="4870" max="4870" width="9.7109375" style="435" customWidth="1"/>
    <col min="4871" max="4871" width="0" style="435" hidden="1" customWidth="1"/>
    <col min="4872" max="4872" width="9.7109375" style="435" customWidth="1"/>
    <col min="4873" max="4873" width="0" style="435" hidden="1" customWidth="1"/>
    <col min="4874" max="4874" width="10.42578125" style="435" customWidth="1"/>
    <col min="4875" max="4875" width="0" style="435" hidden="1" customWidth="1"/>
    <col min="4876" max="4876" width="9.7109375" style="435" customWidth="1"/>
    <col min="4877" max="4877" width="0" style="435" hidden="1" customWidth="1"/>
    <col min="4878" max="4878" width="9.7109375" style="435" customWidth="1"/>
    <col min="4879" max="4879" width="0" style="435" hidden="1" customWidth="1"/>
    <col min="4880" max="4880" width="9.85546875" style="435" bestFit="1" customWidth="1"/>
    <col min="4881" max="4881" width="0" style="435" hidden="1" customWidth="1"/>
    <col min="4882" max="4882" width="9.7109375" style="435" customWidth="1"/>
    <col min="4883" max="4883" width="0" style="435" hidden="1" customWidth="1"/>
    <col min="4884" max="4884" width="9.7109375" style="435" customWidth="1"/>
    <col min="4885" max="4885" width="0" style="435" hidden="1" customWidth="1"/>
    <col min="4886" max="5120" width="9.140625" style="435"/>
    <col min="5121" max="5121" width="4" style="435" customWidth="1"/>
    <col min="5122" max="5122" width="54" style="435" customWidth="1"/>
    <col min="5123" max="5123" width="8.85546875" style="435" bestFit="1" customWidth="1"/>
    <col min="5124" max="5124" width="9" style="435" customWidth="1"/>
    <col min="5125" max="5125" width="0" style="435" hidden="1" customWidth="1"/>
    <col min="5126" max="5126" width="9.7109375" style="435" customWidth="1"/>
    <col min="5127" max="5127" width="0" style="435" hidden="1" customWidth="1"/>
    <col min="5128" max="5128" width="9.7109375" style="435" customWidth="1"/>
    <col min="5129" max="5129" width="0" style="435" hidden="1" customWidth="1"/>
    <col min="5130" max="5130" width="10.42578125" style="435" customWidth="1"/>
    <col min="5131" max="5131" width="0" style="435" hidden="1" customWidth="1"/>
    <col min="5132" max="5132" width="9.7109375" style="435" customWidth="1"/>
    <col min="5133" max="5133" width="0" style="435" hidden="1" customWidth="1"/>
    <col min="5134" max="5134" width="9.7109375" style="435" customWidth="1"/>
    <col min="5135" max="5135" width="0" style="435" hidden="1" customWidth="1"/>
    <col min="5136" max="5136" width="9.85546875" style="435" bestFit="1" customWidth="1"/>
    <col min="5137" max="5137" width="0" style="435" hidden="1" customWidth="1"/>
    <col min="5138" max="5138" width="9.7109375" style="435" customWidth="1"/>
    <col min="5139" max="5139" width="0" style="435" hidden="1" customWidth="1"/>
    <col min="5140" max="5140" width="9.7109375" style="435" customWidth="1"/>
    <col min="5141" max="5141" width="0" style="435" hidden="1" customWidth="1"/>
    <col min="5142" max="5376" width="9.140625" style="435"/>
    <col min="5377" max="5377" width="4" style="435" customWidth="1"/>
    <col min="5378" max="5378" width="54" style="435" customWidth="1"/>
    <col min="5379" max="5379" width="8.85546875" style="435" bestFit="1" customWidth="1"/>
    <col min="5380" max="5380" width="9" style="435" customWidth="1"/>
    <col min="5381" max="5381" width="0" style="435" hidden="1" customWidth="1"/>
    <col min="5382" max="5382" width="9.7109375" style="435" customWidth="1"/>
    <col min="5383" max="5383" width="0" style="435" hidden="1" customWidth="1"/>
    <col min="5384" max="5384" width="9.7109375" style="435" customWidth="1"/>
    <col min="5385" max="5385" width="0" style="435" hidden="1" customWidth="1"/>
    <col min="5386" max="5386" width="10.42578125" style="435" customWidth="1"/>
    <col min="5387" max="5387" width="0" style="435" hidden="1" customWidth="1"/>
    <col min="5388" max="5388" width="9.7109375" style="435" customWidth="1"/>
    <col min="5389" max="5389" width="0" style="435" hidden="1" customWidth="1"/>
    <col min="5390" max="5390" width="9.7109375" style="435" customWidth="1"/>
    <col min="5391" max="5391" width="0" style="435" hidden="1" customWidth="1"/>
    <col min="5392" max="5392" width="9.85546875" style="435" bestFit="1" customWidth="1"/>
    <col min="5393" max="5393" width="0" style="435" hidden="1" customWidth="1"/>
    <col min="5394" max="5394" width="9.7109375" style="435" customWidth="1"/>
    <col min="5395" max="5395" width="0" style="435" hidden="1" customWidth="1"/>
    <col min="5396" max="5396" width="9.7109375" style="435" customWidth="1"/>
    <col min="5397" max="5397" width="0" style="435" hidden="1" customWidth="1"/>
    <col min="5398" max="5632" width="9.140625" style="435"/>
    <col min="5633" max="5633" width="4" style="435" customWidth="1"/>
    <col min="5634" max="5634" width="54" style="435" customWidth="1"/>
    <col min="5635" max="5635" width="8.85546875" style="435" bestFit="1" customWidth="1"/>
    <col min="5636" max="5636" width="9" style="435" customWidth="1"/>
    <col min="5637" max="5637" width="0" style="435" hidden="1" customWidth="1"/>
    <col min="5638" max="5638" width="9.7109375" style="435" customWidth="1"/>
    <col min="5639" max="5639" width="0" style="435" hidden="1" customWidth="1"/>
    <col min="5640" max="5640" width="9.7109375" style="435" customWidth="1"/>
    <col min="5641" max="5641" width="0" style="435" hidden="1" customWidth="1"/>
    <col min="5642" max="5642" width="10.42578125" style="435" customWidth="1"/>
    <col min="5643" max="5643" width="0" style="435" hidden="1" customWidth="1"/>
    <col min="5644" max="5644" width="9.7109375" style="435" customWidth="1"/>
    <col min="5645" max="5645" width="0" style="435" hidden="1" customWidth="1"/>
    <col min="5646" max="5646" width="9.7109375" style="435" customWidth="1"/>
    <col min="5647" max="5647" width="0" style="435" hidden="1" customWidth="1"/>
    <col min="5648" max="5648" width="9.85546875" style="435" bestFit="1" customWidth="1"/>
    <col min="5649" max="5649" width="0" style="435" hidden="1" customWidth="1"/>
    <col min="5650" max="5650" width="9.7109375" style="435" customWidth="1"/>
    <col min="5651" max="5651" width="0" style="435" hidden="1" customWidth="1"/>
    <col min="5652" max="5652" width="9.7109375" style="435" customWidth="1"/>
    <col min="5653" max="5653" width="0" style="435" hidden="1" customWidth="1"/>
    <col min="5654" max="5888" width="9.140625" style="435"/>
    <col min="5889" max="5889" width="4" style="435" customWidth="1"/>
    <col min="5890" max="5890" width="54" style="435" customWidth="1"/>
    <col min="5891" max="5891" width="8.85546875" style="435" bestFit="1" customWidth="1"/>
    <col min="5892" max="5892" width="9" style="435" customWidth="1"/>
    <col min="5893" max="5893" width="0" style="435" hidden="1" customWidth="1"/>
    <col min="5894" max="5894" width="9.7109375" style="435" customWidth="1"/>
    <col min="5895" max="5895" width="0" style="435" hidden="1" customWidth="1"/>
    <col min="5896" max="5896" width="9.7109375" style="435" customWidth="1"/>
    <col min="5897" max="5897" width="0" style="435" hidden="1" customWidth="1"/>
    <col min="5898" max="5898" width="10.42578125" style="435" customWidth="1"/>
    <col min="5899" max="5899" width="0" style="435" hidden="1" customWidth="1"/>
    <col min="5900" max="5900" width="9.7109375" style="435" customWidth="1"/>
    <col min="5901" max="5901" width="0" style="435" hidden="1" customWidth="1"/>
    <col min="5902" max="5902" width="9.7109375" style="435" customWidth="1"/>
    <col min="5903" max="5903" width="0" style="435" hidden="1" customWidth="1"/>
    <col min="5904" max="5904" width="9.85546875" style="435" bestFit="1" customWidth="1"/>
    <col min="5905" max="5905" width="0" style="435" hidden="1" customWidth="1"/>
    <col min="5906" max="5906" width="9.7109375" style="435" customWidth="1"/>
    <col min="5907" max="5907" width="0" style="435" hidden="1" customWidth="1"/>
    <col min="5908" max="5908" width="9.7109375" style="435" customWidth="1"/>
    <col min="5909" max="5909" width="0" style="435" hidden="1" customWidth="1"/>
    <col min="5910" max="6144" width="9.140625" style="435"/>
    <col min="6145" max="6145" width="4" style="435" customWidth="1"/>
    <col min="6146" max="6146" width="54" style="435" customWidth="1"/>
    <col min="6147" max="6147" width="8.85546875" style="435" bestFit="1" customWidth="1"/>
    <col min="6148" max="6148" width="9" style="435" customWidth="1"/>
    <col min="6149" max="6149" width="0" style="435" hidden="1" customWidth="1"/>
    <col min="6150" max="6150" width="9.7109375" style="435" customWidth="1"/>
    <col min="6151" max="6151" width="0" style="435" hidden="1" customWidth="1"/>
    <col min="6152" max="6152" width="9.7109375" style="435" customWidth="1"/>
    <col min="6153" max="6153" width="0" style="435" hidden="1" customWidth="1"/>
    <col min="6154" max="6154" width="10.42578125" style="435" customWidth="1"/>
    <col min="6155" max="6155" width="0" style="435" hidden="1" customWidth="1"/>
    <col min="6156" max="6156" width="9.7109375" style="435" customWidth="1"/>
    <col min="6157" max="6157" width="0" style="435" hidden="1" customWidth="1"/>
    <col min="6158" max="6158" width="9.7109375" style="435" customWidth="1"/>
    <col min="6159" max="6159" width="0" style="435" hidden="1" customWidth="1"/>
    <col min="6160" max="6160" width="9.85546875" style="435" bestFit="1" customWidth="1"/>
    <col min="6161" max="6161" width="0" style="435" hidden="1" customWidth="1"/>
    <col min="6162" max="6162" width="9.7109375" style="435" customWidth="1"/>
    <col min="6163" max="6163" width="0" style="435" hidden="1" customWidth="1"/>
    <col min="6164" max="6164" width="9.7109375" style="435" customWidth="1"/>
    <col min="6165" max="6165" width="0" style="435" hidden="1" customWidth="1"/>
    <col min="6166" max="6400" width="9.140625" style="435"/>
    <col min="6401" max="6401" width="4" style="435" customWidth="1"/>
    <col min="6402" max="6402" width="54" style="435" customWidth="1"/>
    <col min="6403" max="6403" width="8.85546875" style="435" bestFit="1" customWidth="1"/>
    <col min="6404" max="6404" width="9" style="435" customWidth="1"/>
    <col min="6405" max="6405" width="0" style="435" hidden="1" customWidth="1"/>
    <col min="6406" max="6406" width="9.7109375" style="435" customWidth="1"/>
    <col min="6407" max="6407" width="0" style="435" hidden="1" customWidth="1"/>
    <col min="6408" max="6408" width="9.7109375" style="435" customWidth="1"/>
    <col min="6409" max="6409" width="0" style="435" hidden="1" customWidth="1"/>
    <col min="6410" max="6410" width="10.42578125" style="435" customWidth="1"/>
    <col min="6411" max="6411" width="0" style="435" hidden="1" customWidth="1"/>
    <col min="6412" max="6412" width="9.7109375" style="435" customWidth="1"/>
    <col min="6413" max="6413" width="0" style="435" hidden="1" customWidth="1"/>
    <col min="6414" max="6414" width="9.7109375" style="435" customWidth="1"/>
    <col min="6415" max="6415" width="0" style="435" hidden="1" customWidth="1"/>
    <col min="6416" max="6416" width="9.85546875" style="435" bestFit="1" customWidth="1"/>
    <col min="6417" max="6417" width="0" style="435" hidden="1" customWidth="1"/>
    <col min="6418" max="6418" width="9.7109375" style="435" customWidth="1"/>
    <col min="6419" max="6419" width="0" style="435" hidden="1" customWidth="1"/>
    <col min="6420" max="6420" width="9.7109375" style="435" customWidth="1"/>
    <col min="6421" max="6421" width="0" style="435" hidden="1" customWidth="1"/>
    <col min="6422" max="6656" width="9.140625" style="435"/>
    <col min="6657" max="6657" width="4" style="435" customWidth="1"/>
    <col min="6658" max="6658" width="54" style="435" customWidth="1"/>
    <col min="6659" max="6659" width="8.85546875" style="435" bestFit="1" customWidth="1"/>
    <col min="6660" max="6660" width="9" style="435" customWidth="1"/>
    <col min="6661" max="6661" width="0" style="435" hidden="1" customWidth="1"/>
    <col min="6662" max="6662" width="9.7109375" style="435" customWidth="1"/>
    <col min="6663" max="6663" width="0" style="435" hidden="1" customWidth="1"/>
    <col min="6664" max="6664" width="9.7109375" style="435" customWidth="1"/>
    <col min="6665" max="6665" width="0" style="435" hidden="1" customWidth="1"/>
    <col min="6666" max="6666" width="10.42578125" style="435" customWidth="1"/>
    <col min="6667" max="6667" width="0" style="435" hidden="1" customWidth="1"/>
    <col min="6668" max="6668" width="9.7109375" style="435" customWidth="1"/>
    <col min="6669" max="6669" width="0" style="435" hidden="1" customWidth="1"/>
    <col min="6670" max="6670" width="9.7109375" style="435" customWidth="1"/>
    <col min="6671" max="6671" width="0" style="435" hidden="1" customWidth="1"/>
    <col min="6672" max="6672" width="9.85546875" style="435" bestFit="1" customWidth="1"/>
    <col min="6673" max="6673" width="0" style="435" hidden="1" customWidth="1"/>
    <col min="6674" max="6674" width="9.7109375" style="435" customWidth="1"/>
    <col min="6675" max="6675" width="0" style="435" hidden="1" customWidth="1"/>
    <col min="6676" max="6676" width="9.7109375" style="435" customWidth="1"/>
    <col min="6677" max="6677" width="0" style="435" hidden="1" customWidth="1"/>
    <col min="6678" max="6912" width="9.140625" style="435"/>
    <col min="6913" max="6913" width="4" style="435" customWidth="1"/>
    <col min="6914" max="6914" width="54" style="435" customWidth="1"/>
    <col min="6915" max="6915" width="8.85546875" style="435" bestFit="1" customWidth="1"/>
    <col min="6916" max="6916" width="9" style="435" customWidth="1"/>
    <col min="6917" max="6917" width="0" style="435" hidden="1" customWidth="1"/>
    <col min="6918" max="6918" width="9.7109375" style="435" customWidth="1"/>
    <col min="6919" max="6919" width="0" style="435" hidden="1" customWidth="1"/>
    <col min="6920" max="6920" width="9.7109375" style="435" customWidth="1"/>
    <col min="6921" max="6921" width="0" style="435" hidden="1" customWidth="1"/>
    <col min="6922" max="6922" width="10.42578125" style="435" customWidth="1"/>
    <col min="6923" max="6923" width="0" style="435" hidden="1" customWidth="1"/>
    <col min="6924" max="6924" width="9.7109375" style="435" customWidth="1"/>
    <col min="6925" max="6925" width="0" style="435" hidden="1" customWidth="1"/>
    <col min="6926" max="6926" width="9.7109375" style="435" customWidth="1"/>
    <col min="6927" max="6927" width="0" style="435" hidden="1" customWidth="1"/>
    <col min="6928" max="6928" width="9.85546875" style="435" bestFit="1" customWidth="1"/>
    <col min="6929" max="6929" width="0" style="435" hidden="1" customWidth="1"/>
    <col min="6930" max="6930" width="9.7109375" style="435" customWidth="1"/>
    <col min="6931" max="6931" width="0" style="435" hidden="1" customWidth="1"/>
    <col min="6932" max="6932" width="9.7109375" style="435" customWidth="1"/>
    <col min="6933" max="6933" width="0" style="435" hidden="1" customWidth="1"/>
    <col min="6934" max="7168" width="9.140625" style="435"/>
    <col min="7169" max="7169" width="4" style="435" customWidth="1"/>
    <col min="7170" max="7170" width="54" style="435" customWidth="1"/>
    <col min="7171" max="7171" width="8.85546875" style="435" bestFit="1" customWidth="1"/>
    <col min="7172" max="7172" width="9" style="435" customWidth="1"/>
    <col min="7173" max="7173" width="0" style="435" hidden="1" customWidth="1"/>
    <col min="7174" max="7174" width="9.7109375" style="435" customWidth="1"/>
    <col min="7175" max="7175" width="0" style="435" hidden="1" customWidth="1"/>
    <col min="7176" max="7176" width="9.7109375" style="435" customWidth="1"/>
    <col min="7177" max="7177" width="0" style="435" hidden="1" customWidth="1"/>
    <col min="7178" max="7178" width="10.42578125" style="435" customWidth="1"/>
    <col min="7179" max="7179" width="0" style="435" hidden="1" customWidth="1"/>
    <col min="7180" max="7180" width="9.7109375" style="435" customWidth="1"/>
    <col min="7181" max="7181" width="0" style="435" hidden="1" customWidth="1"/>
    <col min="7182" max="7182" width="9.7109375" style="435" customWidth="1"/>
    <col min="7183" max="7183" width="0" style="435" hidden="1" customWidth="1"/>
    <col min="7184" max="7184" width="9.85546875" style="435" bestFit="1" customWidth="1"/>
    <col min="7185" max="7185" width="0" style="435" hidden="1" customWidth="1"/>
    <col min="7186" max="7186" width="9.7109375" style="435" customWidth="1"/>
    <col min="7187" max="7187" width="0" style="435" hidden="1" customWidth="1"/>
    <col min="7188" max="7188" width="9.7109375" style="435" customWidth="1"/>
    <col min="7189" max="7189" width="0" style="435" hidden="1" customWidth="1"/>
    <col min="7190" max="7424" width="9.140625" style="435"/>
    <col min="7425" max="7425" width="4" style="435" customWidth="1"/>
    <col min="7426" max="7426" width="54" style="435" customWidth="1"/>
    <col min="7427" max="7427" width="8.85546875" style="435" bestFit="1" customWidth="1"/>
    <col min="7428" max="7428" width="9" style="435" customWidth="1"/>
    <col min="7429" max="7429" width="0" style="435" hidden="1" customWidth="1"/>
    <col min="7430" max="7430" width="9.7109375" style="435" customWidth="1"/>
    <col min="7431" max="7431" width="0" style="435" hidden="1" customWidth="1"/>
    <col min="7432" max="7432" width="9.7109375" style="435" customWidth="1"/>
    <col min="7433" max="7433" width="0" style="435" hidden="1" customWidth="1"/>
    <col min="7434" max="7434" width="10.42578125" style="435" customWidth="1"/>
    <col min="7435" max="7435" width="0" style="435" hidden="1" customWidth="1"/>
    <col min="7436" max="7436" width="9.7109375" style="435" customWidth="1"/>
    <col min="7437" max="7437" width="0" style="435" hidden="1" customWidth="1"/>
    <col min="7438" max="7438" width="9.7109375" style="435" customWidth="1"/>
    <col min="7439" max="7439" width="0" style="435" hidden="1" customWidth="1"/>
    <col min="7440" max="7440" width="9.85546875" style="435" bestFit="1" customWidth="1"/>
    <col min="7441" max="7441" width="0" style="435" hidden="1" customWidth="1"/>
    <col min="7442" max="7442" width="9.7109375" style="435" customWidth="1"/>
    <col min="7443" max="7443" width="0" style="435" hidden="1" customWidth="1"/>
    <col min="7444" max="7444" width="9.7109375" style="435" customWidth="1"/>
    <col min="7445" max="7445" width="0" style="435" hidden="1" customWidth="1"/>
    <col min="7446" max="7680" width="9.140625" style="435"/>
    <col min="7681" max="7681" width="4" style="435" customWidth="1"/>
    <col min="7682" max="7682" width="54" style="435" customWidth="1"/>
    <col min="7683" max="7683" width="8.85546875" style="435" bestFit="1" customWidth="1"/>
    <col min="7684" max="7684" width="9" style="435" customWidth="1"/>
    <col min="7685" max="7685" width="0" style="435" hidden="1" customWidth="1"/>
    <col min="7686" max="7686" width="9.7109375" style="435" customWidth="1"/>
    <col min="7687" max="7687" width="0" style="435" hidden="1" customWidth="1"/>
    <col min="7688" max="7688" width="9.7109375" style="435" customWidth="1"/>
    <col min="7689" max="7689" width="0" style="435" hidden="1" customWidth="1"/>
    <col min="7690" max="7690" width="10.42578125" style="435" customWidth="1"/>
    <col min="7691" max="7691" width="0" style="435" hidden="1" customWidth="1"/>
    <col min="7692" max="7692" width="9.7109375" style="435" customWidth="1"/>
    <col min="7693" max="7693" width="0" style="435" hidden="1" customWidth="1"/>
    <col min="7694" max="7694" width="9.7109375" style="435" customWidth="1"/>
    <col min="7695" max="7695" width="0" style="435" hidden="1" customWidth="1"/>
    <col min="7696" max="7696" width="9.85546875" style="435" bestFit="1" customWidth="1"/>
    <col min="7697" max="7697" width="0" style="435" hidden="1" customWidth="1"/>
    <col min="7698" max="7698" width="9.7109375" style="435" customWidth="1"/>
    <col min="7699" max="7699" width="0" style="435" hidden="1" customWidth="1"/>
    <col min="7700" max="7700" width="9.7109375" style="435" customWidth="1"/>
    <col min="7701" max="7701" width="0" style="435" hidden="1" customWidth="1"/>
    <col min="7702" max="7936" width="9.140625" style="435"/>
    <col min="7937" max="7937" width="4" style="435" customWidth="1"/>
    <col min="7938" max="7938" width="54" style="435" customWidth="1"/>
    <col min="7939" max="7939" width="8.85546875" style="435" bestFit="1" customWidth="1"/>
    <col min="7940" max="7940" width="9" style="435" customWidth="1"/>
    <col min="7941" max="7941" width="0" style="435" hidden="1" customWidth="1"/>
    <col min="7942" max="7942" width="9.7109375" style="435" customWidth="1"/>
    <col min="7943" max="7943" width="0" style="435" hidden="1" customWidth="1"/>
    <col min="7944" max="7944" width="9.7109375" style="435" customWidth="1"/>
    <col min="7945" max="7945" width="0" style="435" hidden="1" customWidth="1"/>
    <col min="7946" max="7946" width="10.42578125" style="435" customWidth="1"/>
    <col min="7947" max="7947" width="0" style="435" hidden="1" customWidth="1"/>
    <col min="7948" max="7948" width="9.7109375" style="435" customWidth="1"/>
    <col min="7949" max="7949" width="0" style="435" hidden="1" customWidth="1"/>
    <col min="7950" max="7950" width="9.7109375" style="435" customWidth="1"/>
    <col min="7951" max="7951" width="0" style="435" hidden="1" customWidth="1"/>
    <col min="7952" max="7952" width="9.85546875" style="435" bestFit="1" customWidth="1"/>
    <col min="7953" max="7953" width="0" style="435" hidden="1" customWidth="1"/>
    <col min="7954" max="7954" width="9.7109375" style="435" customWidth="1"/>
    <col min="7955" max="7955" width="0" style="435" hidden="1" customWidth="1"/>
    <col min="7956" max="7956" width="9.7109375" style="435" customWidth="1"/>
    <col min="7957" max="7957" width="0" style="435" hidden="1" customWidth="1"/>
    <col min="7958" max="8192" width="9.140625" style="435"/>
    <col min="8193" max="8193" width="4" style="435" customWidth="1"/>
    <col min="8194" max="8194" width="54" style="435" customWidth="1"/>
    <col min="8195" max="8195" width="8.85546875" style="435" bestFit="1" customWidth="1"/>
    <col min="8196" max="8196" width="9" style="435" customWidth="1"/>
    <col min="8197" max="8197" width="0" style="435" hidden="1" customWidth="1"/>
    <col min="8198" max="8198" width="9.7109375" style="435" customWidth="1"/>
    <col min="8199" max="8199" width="0" style="435" hidden="1" customWidth="1"/>
    <col min="8200" max="8200" width="9.7109375" style="435" customWidth="1"/>
    <col min="8201" max="8201" width="0" style="435" hidden="1" customWidth="1"/>
    <col min="8202" max="8202" width="10.42578125" style="435" customWidth="1"/>
    <col min="8203" max="8203" width="0" style="435" hidden="1" customWidth="1"/>
    <col min="8204" max="8204" width="9.7109375" style="435" customWidth="1"/>
    <col min="8205" max="8205" width="0" style="435" hidden="1" customWidth="1"/>
    <col min="8206" max="8206" width="9.7109375" style="435" customWidth="1"/>
    <col min="8207" max="8207" width="0" style="435" hidden="1" customWidth="1"/>
    <col min="8208" max="8208" width="9.85546875" style="435" bestFit="1" customWidth="1"/>
    <col min="8209" max="8209" width="0" style="435" hidden="1" customWidth="1"/>
    <col min="8210" max="8210" width="9.7109375" style="435" customWidth="1"/>
    <col min="8211" max="8211" width="0" style="435" hidden="1" customWidth="1"/>
    <col min="8212" max="8212" width="9.7109375" style="435" customWidth="1"/>
    <col min="8213" max="8213" width="0" style="435" hidden="1" customWidth="1"/>
    <col min="8214" max="8448" width="9.140625" style="435"/>
    <col min="8449" max="8449" width="4" style="435" customWidth="1"/>
    <col min="8450" max="8450" width="54" style="435" customWidth="1"/>
    <col min="8451" max="8451" width="8.85546875" style="435" bestFit="1" customWidth="1"/>
    <col min="8452" max="8452" width="9" style="435" customWidth="1"/>
    <col min="8453" max="8453" width="0" style="435" hidden="1" customWidth="1"/>
    <col min="8454" max="8454" width="9.7109375" style="435" customWidth="1"/>
    <col min="8455" max="8455" width="0" style="435" hidden="1" customWidth="1"/>
    <col min="8456" max="8456" width="9.7109375" style="435" customWidth="1"/>
    <col min="8457" max="8457" width="0" style="435" hidden="1" customWidth="1"/>
    <col min="8458" max="8458" width="10.42578125" style="435" customWidth="1"/>
    <col min="8459" max="8459" width="0" style="435" hidden="1" customWidth="1"/>
    <col min="8460" max="8460" width="9.7109375" style="435" customWidth="1"/>
    <col min="8461" max="8461" width="0" style="435" hidden="1" customWidth="1"/>
    <col min="8462" max="8462" width="9.7109375" style="435" customWidth="1"/>
    <col min="8463" max="8463" width="0" style="435" hidden="1" customWidth="1"/>
    <col min="8464" max="8464" width="9.85546875" style="435" bestFit="1" customWidth="1"/>
    <col min="8465" max="8465" width="0" style="435" hidden="1" customWidth="1"/>
    <col min="8466" max="8466" width="9.7109375" style="435" customWidth="1"/>
    <col min="8467" max="8467" width="0" style="435" hidden="1" customWidth="1"/>
    <col min="8468" max="8468" width="9.7109375" style="435" customWidth="1"/>
    <col min="8469" max="8469" width="0" style="435" hidden="1" customWidth="1"/>
    <col min="8470" max="8704" width="9.140625" style="435"/>
    <col min="8705" max="8705" width="4" style="435" customWidth="1"/>
    <col min="8706" max="8706" width="54" style="435" customWidth="1"/>
    <col min="8707" max="8707" width="8.85546875" style="435" bestFit="1" customWidth="1"/>
    <col min="8708" max="8708" width="9" style="435" customWidth="1"/>
    <col min="8709" max="8709" width="0" style="435" hidden="1" customWidth="1"/>
    <col min="8710" max="8710" width="9.7109375" style="435" customWidth="1"/>
    <col min="8711" max="8711" width="0" style="435" hidden="1" customWidth="1"/>
    <col min="8712" max="8712" width="9.7109375" style="435" customWidth="1"/>
    <col min="8713" max="8713" width="0" style="435" hidden="1" customWidth="1"/>
    <col min="8714" max="8714" width="10.42578125" style="435" customWidth="1"/>
    <col min="8715" max="8715" width="0" style="435" hidden="1" customWidth="1"/>
    <col min="8716" max="8716" width="9.7109375" style="435" customWidth="1"/>
    <col min="8717" max="8717" width="0" style="435" hidden="1" customWidth="1"/>
    <col min="8718" max="8718" width="9.7109375" style="435" customWidth="1"/>
    <col min="8719" max="8719" width="0" style="435" hidden="1" customWidth="1"/>
    <col min="8720" max="8720" width="9.85546875" style="435" bestFit="1" customWidth="1"/>
    <col min="8721" max="8721" width="0" style="435" hidden="1" customWidth="1"/>
    <col min="8722" max="8722" width="9.7109375" style="435" customWidth="1"/>
    <col min="8723" max="8723" width="0" style="435" hidden="1" customWidth="1"/>
    <col min="8724" max="8724" width="9.7109375" style="435" customWidth="1"/>
    <col min="8725" max="8725" width="0" style="435" hidden="1" customWidth="1"/>
    <col min="8726" max="8960" width="9.140625" style="435"/>
    <col min="8961" max="8961" width="4" style="435" customWidth="1"/>
    <col min="8962" max="8962" width="54" style="435" customWidth="1"/>
    <col min="8963" max="8963" width="8.85546875" style="435" bestFit="1" customWidth="1"/>
    <col min="8964" max="8964" width="9" style="435" customWidth="1"/>
    <col min="8965" max="8965" width="0" style="435" hidden="1" customWidth="1"/>
    <col min="8966" max="8966" width="9.7109375" style="435" customWidth="1"/>
    <col min="8967" max="8967" width="0" style="435" hidden="1" customWidth="1"/>
    <col min="8968" max="8968" width="9.7109375" style="435" customWidth="1"/>
    <col min="8969" max="8969" width="0" style="435" hidden="1" customWidth="1"/>
    <col min="8970" max="8970" width="10.42578125" style="435" customWidth="1"/>
    <col min="8971" max="8971" width="0" style="435" hidden="1" customWidth="1"/>
    <col min="8972" max="8972" width="9.7109375" style="435" customWidth="1"/>
    <col min="8973" max="8973" width="0" style="435" hidden="1" customWidth="1"/>
    <col min="8974" max="8974" width="9.7109375" style="435" customWidth="1"/>
    <col min="8975" max="8975" width="0" style="435" hidden="1" customWidth="1"/>
    <col min="8976" max="8976" width="9.85546875" style="435" bestFit="1" customWidth="1"/>
    <col min="8977" max="8977" width="0" style="435" hidden="1" customWidth="1"/>
    <col min="8978" max="8978" width="9.7109375" style="435" customWidth="1"/>
    <col min="8979" max="8979" width="0" style="435" hidden="1" customWidth="1"/>
    <col min="8980" max="8980" width="9.7109375" style="435" customWidth="1"/>
    <col min="8981" max="8981" width="0" style="435" hidden="1" customWidth="1"/>
    <col min="8982" max="9216" width="9.140625" style="435"/>
    <col min="9217" max="9217" width="4" style="435" customWidth="1"/>
    <col min="9218" max="9218" width="54" style="435" customWidth="1"/>
    <col min="9219" max="9219" width="8.85546875" style="435" bestFit="1" customWidth="1"/>
    <col min="9220" max="9220" width="9" style="435" customWidth="1"/>
    <col min="9221" max="9221" width="0" style="435" hidden="1" customWidth="1"/>
    <col min="9222" max="9222" width="9.7109375" style="435" customWidth="1"/>
    <col min="9223" max="9223" width="0" style="435" hidden="1" customWidth="1"/>
    <col min="9224" max="9224" width="9.7109375" style="435" customWidth="1"/>
    <col min="9225" max="9225" width="0" style="435" hidden="1" customWidth="1"/>
    <col min="9226" max="9226" width="10.42578125" style="435" customWidth="1"/>
    <col min="9227" max="9227" width="0" style="435" hidden="1" customWidth="1"/>
    <col min="9228" max="9228" width="9.7109375" style="435" customWidth="1"/>
    <col min="9229" max="9229" width="0" style="435" hidden="1" customWidth="1"/>
    <col min="9230" max="9230" width="9.7109375" style="435" customWidth="1"/>
    <col min="9231" max="9231" width="0" style="435" hidden="1" customWidth="1"/>
    <col min="9232" max="9232" width="9.85546875" style="435" bestFit="1" customWidth="1"/>
    <col min="9233" max="9233" width="0" style="435" hidden="1" customWidth="1"/>
    <col min="9234" max="9234" width="9.7109375" style="435" customWidth="1"/>
    <col min="9235" max="9235" width="0" style="435" hidden="1" customWidth="1"/>
    <col min="9236" max="9236" width="9.7109375" style="435" customWidth="1"/>
    <col min="9237" max="9237" width="0" style="435" hidden="1" customWidth="1"/>
    <col min="9238" max="9472" width="9.140625" style="435"/>
    <col min="9473" max="9473" width="4" style="435" customWidth="1"/>
    <col min="9474" max="9474" width="54" style="435" customWidth="1"/>
    <col min="9475" max="9475" width="8.85546875" style="435" bestFit="1" customWidth="1"/>
    <col min="9476" max="9476" width="9" style="435" customWidth="1"/>
    <col min="9477" max="9477" width="0" style="435" hidden="1" customWidth="1"/>
    <col min="9478" max="9478" width="9.7109375" style="435" customWidth="1"/>
    <col min="9479" max="9479" width="0" style="435" hidden="1" customWidth="1"/>
    <col min="9480" max="9480" width="9.7109375" style="435" customWidth="1"/>
    <col min="9481" max="9481" width="0" style="435" hidden="1" customWidth="1"/>
    <col min="9482" max="9482" width="10.42578125" style="435" customWidth="1"/>
    <col min="9483" max="9483" width="0" style="435" hidden="1" customWidth="1"/>
    <col min="9484" max="9484" width="9.7109375" style="435" customWidth="1"/>
    <col min="9485" max="9485" width="0" style="435" hidden="1" customWidth="1"/>
    <col min="9486" max="9486" width="9.7109375" style="435" customWidth="1"/>
    <col min="9487" max="9487" width="0" style="435" hidden="1" customWidth="1"/>
    <col min="9488" max="9488" width="9.85546875" style="435" bestFit="1" customWidth="1"/>
    <col min="9489" max="9489" width="0" style="435" hidden="1" customWidth="1"/>
    <col min="9490" max="9490" width="9.7109375" style="435" customWidth="1"/>
    <col min="9491" max="9491" width="0" style="435" hidden="1" customWidth="1"/>
    <col min="9492" max="9492" width="9.7109375" style="435" customWidth="1"/>
    <col min="9493" max="9493" width="0" style="435" hidden="1" customWidth="1"/>
    <col min="9494" max="9728" width="9.140625" style="435"/>
    <col min="9729" max="9729" width="4" style="435" customWidth="1"/>
    <col min="9730" max="9730" width="54" style="435" customWidth="1"/>
    <col min="9731" max="9731" width="8.85546875" style="435" bestFit="1" customWidth="1"/>
    <col min="9732" max="9732" width="9" style="435" customWidth="1"/>
    <col min="9733" max="9733" width="0" style="435" hidden="1" customWidth="1"/>
    <col min="9734" max="9734" width="9.7109375" style="435" customWidth="1"/>
    <col min="9735" max="9735" width="0" style="435" hidden="1" customWidth="1"/>
    <col min="9736" max="9736" width="9.7109375" style="435" customWidth="1"/>
    <col min="9737" max="9737" width="0" style="435" hidden="1" customWidth="1"/>
    <col min="9738" max="9738" width="10.42578125" style="435" customWidth="1"/>
    <col min="9739" max="9739" width="0" style="435" hidden="1" customWidth="1"/>
    <col min="9740" max="9740" width="9.7109375" style="435" customWidth="1"/>
    <col min="9741" max="9741" width="0" style="435" hidden="1" customWidth="1"/>
    <col min="9742" max="9742" width="9.7109375" style="435" customWidth="1"/>
    <col min="9743" max="9743" width="0" style="435" hidden="1" customWidth="1"/>
    <col min="9744" max="9744" width="9.85546875" style="435" bestFit="1" customWidth="1"/>
    <col min="9745" max="9745" width="0" style="435" hidden="1" customWidth="1"/>
    <col min="9746" max="9746" width="9.7109375" style="435" customWidth="1"/>
    <col min="9747" max="9747" width="0" style="435" hidden="1" customWidth="1"/>
    <col min="9748" max="9748" width="9.7109375" style="435" customWidth="1"/>
    <col min="9749" max="9749" width="0" style="435" hidden="1" customWidth="1"/>
    <col min="9750" max="9984" width="9.140625" style="435"/>
    <col min="9985" max="9985" width="4" style="435" customWidth="1"/>
    <col min="9986" max="9986" width="54" style="435" customWidth="1"/>
    <col min="9987" max="9987" width="8.85546875" style="435" bestFit="1" customWidth="1"/>
    <col min="9988" max="9988" width="9" style="435" customWidth="1"/>
    <col min="9989" max="9989" width="0" style="435" hidden="1" customWidth="1"/>
    <col min="9990" max="9990" width="9.7109375" style="435" customWidth="1"/>
    <col min="9991" max="9991" width="0" style="435" hidden="1" customWidth="1"/>
    <col min="9992" max="9992" width="9.7109375" style="435" customWidth="1"/>
    <col min="9993" max="9993" width="0" style="435" hidden="1" customWidth="1"/>
    <col min="9994" max="9994" width="10.42578125" style="435" customWidth="1"/>
    <col min="9995" max="9995" width="0" style="435" hidden="1" customWidth="1"/>
    <col min="9996" max="9996" width="9.7109375" style="435" customWidth="1"/>
    <col min="9997" max="9997" width="0" style="435" hidden="1" customWidth="1"/>
    <col min="9998" max="9998" width="9.7109375" style="435" customWidth="1"/>
    <col min="9999" max="9999" width="0" style="435" hidden="1" customWidth="1"/>
    <col min="10000" max="10000" width="9.85546875" style="435" bestFit="1" customWidth="1"/>
    <col min="10001" max="10001" width="0" style="435" hidden="1" customWidth="1"/>
    <col min="10002" max="10002" width="9.7109375" style="435" customWidth="1"/>
    <col min="10003" max="10003" width="0" style="435" hidden="1" customWidth="1"/>
    <col min="10004" max="10004" width="9.7109375" style="435" customWidth="1"/>
    <col min="10005" max="10005" width="0" style="435" hidden="1" customWidth="1"/>
    <col min="10006" max="10240" width="9.140625" style="435"/>
    <col min="10241" max="10241" width="4" style="435" customWidth="1"/>
    <col min="10242" max="10242" width="54" style="435" customWidth="1"/>
    <col min="10243" max="10243" width="8.85546875" style="435" bestFit="1" customWidth="1"/>
    <col min="10244" max="10244" width="9" style="435" customWidth="1"/>
    <col min="10245" max="10245" width="0" style="435" hidden="1" customWidth="1"/>
    <col min="10246" max="10246" width="9.7109375" style="435" customWidth="1"/>
    <col min="10247" max="10247" width="0" style="435" hidden="1" customWidth="1"/>
    <col min="10248" max="10248" width="9.7109375" style="435" customWidth="1"/>
    <col min="10249" max="10249" width="0" style="435" hidden="1" customWidth="1"/>
    <col min="10250" max="10250" width="10.42578125" style="435" customWidth="1"/>
    <col min="10251" max="10251" width="0" style="435" hidden="1" customWidth="1"/>
    <col min="10252" max="10252" width="9.7109375" style="435" customWidth="1"/>
    <col min="10253" max="10253" width="0" style="435" hidden="1" customWidth="1"/>
    <col min="10254" max="10254" width="9.7109375" style="435" customWidth="1"/>
    <col min="10255" max="10255" width="0" style="435" hidden="1" customWidth="1"/>
    <col min="10256" max="10256" width="9.85546875" style="435" bestFit="1" customWidth="1"/>
    <col min="10257" max="10257" width="0" style="435" hidden="1" customWidth="1"/>
    <col min="10258" max="10258" width="9.7109375" style="435" customWidth="1"/>
    <col min="10259" max="10259" width="0" style="435" hidden="1" customWidth="1"/>
    <col min="10260" max="10260" width="9.7109375" style="435" customWidth="1"/>
    <col min="10261" max="10261" width="0" style="435" hidden="1" customWidth="1"/>
    <col min="10262" max="10496" width="9.140625" style="435"/>
    <col min="10497" max="10497" width="4" style="435" customWidth="1"/>
    <col min="10498" max="10498" width="54" style="435" customWidth="1"/>
    <col min="10499" max="10499" width="8.85546875" style="435" bestFit="1" customWidth="1"/>
    <col min="10500" max="10500" width="9" style="435" customWidth="1"/>
    <col min="10501" max="10501" width="0" style="435" hidden="1" customWidth="1"/>
    <col min="10502" max="10502" width="9.7109375" style="435" customWidth="1"/>
    <col min="10503" max="10503" width="0" style="435" hidden="1" customWidth="1"/>
    <col min="10504" max="10504" width="9.7109375" style="435" customWidth="1"/>
    <col min="10505" max="10505" width="0" style="435" hidden="1" customWidth="1"/>
    <col min="10506" max="10506" width="10.42578125" style="435" customWidth="1"/>
    <col min="10507" max="10507" width="0" style="435" hidden="1" customWidth="1"/>
    <col min="10508" max="10508" width="9.7109375" style="435" customWidth="1"/>
    <col min="10509" max="10509" width="0" style="435" hidden="1" customWidth="1"/>
    <col min="10510" max="10510" width="9.7109375" style="435" customWidth="1"/>
    <col min="10511" max="10511" width="0" style="435" hidden="1" customWidth="1"/>
    <col min="10512" max="10512" width="9.85546875" style="435" bestFit="1" customWidth="1"/>
    <col min="10513" max="10513" width="0" style="435" hidden="1" customWidth="1"/>
    <col min="10514" max="10514" width="9.7109375" style="435" customWidth="1"/>
    <col min="10515" max="10515" width="0" style="435" hidden="1" customWidth="1"/>
    <col min="10516" max="10516" width="9.7109375" style="435" customWidth="1"/>
    <col min="10517" max="10517" width="0" style="435" hidden="1" customWidth="1"/>
    <col min="10518" max="10752" width="9.140625" style="435"/>
    <col min="10753" max="10753" width="4" style="435" customWidth="1"/>
    <col min="10754" max="10754" width="54" style="435" customWidth="1"/>
    <col min="10755" max="10755" width="8.85546875" style="435" bestFit="1" customWidth="1"/>
    <col min="10756" max="10756" width="9" style="435" customWidth="1"/>
    <col min="10757" max="10757" width="0" style="435" hidden="1" customWidth="1"/>
    <col min="10758" max="10758" width="9.7109375" style="435" customWidth="1"/>
    <col min="10759" max="10759" width="0" style="435" hidden="1" customWidth="1"/>
    <col min="10760" max="10760" width="9.7109375" style="435" customWidth="1"/>
    <col min="10761" max="10761" width="0" style="435" hidden="1" customWidth="1"/>
    <col min="10762" max="10762" width="10.42578125" style="435" customWidth="1"/>
    <col min="10763" max="10763" width="0" style="435" hidden="1" customWidth="1"/>
    <col min="10764" max="10764" width="9.7109375" style="435" customWidth="1"/>
    <col min="10765" max="10765" width="0" style="435" hidden="1" customWidth="1"/>
    <col min="10766" max="10766" width="9.7109375" style="435" customWidth="1"/>
    <col min="10767" max="10767" width="0" style="435" hidden="1" customWidth="1"/>
    <col min="10768" max="10768" width="9.85546875" style="435" bestFit="1" customWidth="1"/>
    <col min="10769" max="10769" width="0" style="435" hidden="1" customWidth="1"/>
    <col min="10770" max="10770" width="9.7109375" style="435" customWidth="1"/>
    <col min="10771" max="10771" width="0" style="435" hidden="1" customWidth="1"/>
    <col min="10772" max="10772" width="9.7109375" style="435" customWidth="1"/>
    <col min="10773" max="10773" width="0" style="435" hidden="1" customWidth="1"/>
    <col min="10774" max="11008" width="9.140625" style="435"/>
    <col min="11009" max="11009" width="4" style="435" customWidth="1"/>
    <col min="11010" max="11010" width="54" style="435" customWidth="1"/>
    <col min="11011" max="11011" width="8.85546875" style="435" bestFit="1" customWidth="1"/>
    <col min="11012" max="11012" width="9" style="435" customWidth="1"/>
    <col min="11013" max="11013" width="0" style="435" hidden="1" customWidth="1"/>
    <col min="11014" max="11014" width="9.7109375" style="435" customWidth="1"/>
    <col min="11015" max="11015" width="0" style="435" hidden="1" customWidth="1"/>
    <col min="11016" max="11016" width="9.7109375" style="435" customWidth="1"/>
    <col min="11017" max="11017" width="0" style="435" hidden="1" customWidth="1"/>
    <col min="11018" max="11018" width="10.42578125" style="435" customWidth="1"/>
    <col min="11019" max="11019" width="0" style="435" hidden="1" customWidth="1"/>
    <col min="11020" max="11020" width="9.7109375" style="435" customWidth="1"/>
    <col min="11021" max="11021" width="0" style="435" hidden="1" customWidth="1"/>
    <col min="11022" max="11022" width="9.7109375" style="435" customWidth="1"/>
    <col min="11023" max="11023" width="0" style="435" hidden="1" customWidth="1"/>
    <col min="11024" max="11024" width="9.85546875" style="435" bestFit="1" customWidth="1"/>
    <col min="11025" max="11025" width="0" style="435" hidden="1" customWidth="1"/>
    <col min="11026" max="11026" width="9.7109375" style="435" customWidth="1"/>
    <col min="11027" max="11027" width="0" style="435" hidden="1" customWidth="1"/>
    <col min="11028" max="11028" width="9.7109375" style="435" customWidth="1"/>
    <col min="11029" max="11029" width="0" style="435" hidden="1" customWidth="1"/>
    <col min="11030" max="11264" width="9.140625" style="435"/>
    <col min="11265" max="11265" width="4" style="435" customWidth="1"/>
    <col min="11266" max="11266" width="54" style="435" customWidth="1"/>
    <col min="11267" max="11267" width="8.85546875" style="435" bestFit="1" customWidth="1"/>
    <col min="11268" max="11268" width="9" style="435" customWidth="1"/>
    <col min="11269" max="11269" width="0" style="435" hidden="1" customWidth="1"/>
    <col min="11270" max="11270" width="9.7109375" style="435" customWidth="1"/>
    <col min="11271" max="11271" width="0" style="435" hidden="1" customWidth="1"/>
    <col min="11272" max="11272" width="9.7109375" style="435" customWidth="1"/>
    <col min="11273" max="11273" width="0" style="435" hidden="1" customWidth="1"/>
    <col min="11274" max="11274" width="10.42578125" style="435" customWidth="1"/>
    <col min="11275" max="11275" width="0" style="435" hidden="1" customWidth="1"/>
    <col min="11276" max="11276" width="9.7109375" style="435" customWidth="1"/>
    <col min="11277" max="11277" width="0" style="435" hidden="1" customWidth="1"/>
    <col min="11278" max="11278" width="9.7109375" style="435" customWidth="1"/>
    <col min="11279" max="11279" width="0" style="435" hidden="1" customWidth="1"/>
    <col min="11280" max="11280" width="9.85546875" style="435" bestFit="1" customWidth="1"/>
    <col min="11281" max="11281" width="0" style="435" hidden="1" customWidth="1"/>
    <col min="11282" max="11282" width="9.7109375" style="435" customWidth="1"/>
    <col min="11283" max="11283" width="0" style="435" hidden="1" customWidth="1"/>
    <col min="11284" max="11284" width="9.7109375" style="435" customWidth="1"/>
    <col min="11285" max="11285" width="0" style="435" hidden="1" customWidth="1"/>
    <col min="11286" max="11520" width="9.140625" style="435"/>
    <col min="11521" max="11521" width="4" style="435" customWidth="1"/>
    <col min="11522" max="11522" width="54" style="435" customWidth="1"/>
    <col min="11523" max="11523" width="8.85546875" style="435" bestFit="1" customWidth="1"/>
    <col min="11524" max="11524" width="9" style="435" customWidth="1"/>
    <col min="11525" max="11525" width="0" style="435" hidden="1" customWidth="1"/>
    <col min="11526" max="11526" width="9.7109375" style="435" customWidth="1"/>
    <col min="11527" max="11527" width="0" style="435" hidden="1" customWidth="1"/>
    <col min="11528" max="11528" width="9.7109375" style="435" customWidth="1"/>
    <col min="11529" max="11529" width="0" style="435" hidden="1" customWidth="1"/>
    <col min="11530" max="11530" width="10.42578125" style="435" customWidth="1"/>
    <col min="11531" max="11531" width="0" style="435" hidden="1" customWidth="1"/>
    <col min="11532" max="11532" width="9.7109375" style="435" customWidth="1"/>
    <col min="11533" max="11533" width="0" style="435" hidden="1" customWidth="1"/>
    <col min="11534" max="11534" width="9.7109375" style="435" customWidth="1"/>
    <col min="11535" max="11535" width="0" style="435" hidden="1" customWidth="1"/>
    <col min="11536" max="11536" width="9.85546875" style="435" bestFit="1" customWidth="1"/>
    <col min="11537" max="11537" width="0" style="435" hidden="1" customWidth="1"/>
    <col min="11538" max="11538" width="9.7109375" style="435" customWidth="1"/>
    <col min="11539" max="11539" width="0" style="435" hidden="1" customWidth="1"/>
    <col min="11540" max="11540" width="9.7109375" style="435" customWidth="1"/>
    <col min="11541" max="11541" width="0" style="435" hidden="1" customWidth="1"/>
    <col min="11542" max="11776" width="9.140625" style="435"/>
    <col min="11777" max="11777" width="4" style="435" customWidth="1"/>
    <col min="11778" max="11778" width="54" style="435" customWidth="1"/>
    <col min="11779" max="11779" width="8.85546875" style="435" bestFit="1" customWidth="1"/>
    <col min="11780" max="11780" width="9" style="435" customWidth="1"/>
    <col min="11781" max="11781" width="0" style="435" hidden="1" customWidth="1"/>
    <col min="11782" max="11782" width="9.7109375" style="435" customWidth="1"/>
    <col min="11783" max="11783" width="0" style="435" hidden="1" customWidth="1"/>
    <col min="11784" max="11784" width="9.7109375" style="435" customWidth="1"/>
    <col min="11785" max="11785" width="0" style="435" hidden="1" customWidth="1"/>
    <col min="11786" max="11786" width="10.42578125" style="435" customWidth="1"/>
    <col min="11787" max="11787" width="0" style="435" hidden="1" customWidth="1"/>
    <col min="11788" max="11788" width="9.7109375" style="435" customWidth="1"/>
    <col min="11789" max="11789" width="0" style="435" hidden="1" customWidth="1"/>
    <col min="11790" max="11790" width="9.7109375" style="435" customWidth="1"/>
    <col min="11791" max="11791" width="0" style="435" hidden="1" customWidth="1"/>
    <col min="11792" max="11792" width="9.85546875" style="435" bestFit="1" customWidth="1"/>
    <col min="11793" max="11793" width="0" style="435" hidden="1" customWidth="1"/>
    <col min="11794" max="11794" width="9.7109375" style="435" customWidth="1"/>
    <col min="11795" max="11795" width="0" style="435" hidden="1" customWidth="1"/>
    <col min="11796" max="11796" width="9.7109375" style="435" customWidth="1"/>
    <col min="11797" max="11797" width="0" style="435" hidden="1" customWidth="1"/>
    <col min="11798" max="12032" width="9.140625" style="435"/>
    <col min="12033" max="12033" width="4" style="435" customWidth="1"/>
    <col min="12034" max="12034" width="54" style="435" customWidth="1"/>
    <col min="12035" max="12035" width="8.85546875" style="435" bestFit="1" customWidth="1"/>
    <col min="12036" max="12036" width="9" style="435" customWidth="1"/>
    <col min="12037" max="12037" width="0" style="435" hidden="1" customWidth="1"/>
    <col min="12038" max="12038" width="9.7109375" style="435" customWidth="1"/>
    <col min="12039" max="12039" width="0" style="435" hidden="1" customWidth="1"/>
    <col min="12040" max="12040" width="9.7109375" style="435" customWidth="1"/>
    <col min="12041" max="12041" width="0" style="435" hidden="1" customWidth="1"/>
    <col min="12042" max="12042" width="10.42578125" style="435" customWidth="1"/>
    <col min="12043" max="12043" width="0" style="435" hidden="1" customWidth="1"/>
    <col min="12044" max="12044" width="9.7109375" style="435" customWidth="1"/>
    <col min="12045" max="12045" width="0" style="435" hidden="1" customWidth="1"/>
    <col min="12046" max="12046" width="9.7109375" style="435" customWidth="1"/>
    <col min="12047" max="12047" width="0" style="435" hidden="1" customWidth="1"/>
    <col min="12048" max="12048" width="9.85546875" style="435" bestFit="1" customWidth="1"/>
    <col min="12049" max="12049" width="0" style="435" hidden="1" customWidth="1"/>
    <col min="12050" max="12050" width="9.7109375" style="435" customWidth="1"/>
    <col min="12051" max="12051" width="0" style="435" hidden="1" customWidth="1"/>
    <col min="12052" max="12052" width="9.7109375" style="435" customWidth="1"/>
    <col min="12053" max="12053" width="0" style="435" hidden="1" customWidth="1"/>
    <col min="12054" max="12288" width="9.140625" style="435"/>
    <col min="12289" max="12289" width="4" style="435" customWidth="1"/>
    <col min="12290" max="12290" width="54" style="435" customWidth="1"/>
    <col min="12291" max="12291" width="8.85546875" style="435" bestFit="1" customWidth="1"/>
    <col min="12292" max="12292" width="9" style="435" customWidth="1"/>
    <col min="12293" max="12293" width="0" style="435" hidden="1" customWidth="1"/>
    <col min="12294" max="12294" width="9.7109375" style="435" customWidth="1"/>
    <col min="12295" max="12295" width="0" style="435" hidden="1" customWidth="1"/>
    <col min="12296" max="12296" width="9.7109375" style="435" customWidth="1"/>
    <col min="12297" max="12297" width="0" style="435" hidden="1" customWidth="1"/>
    <col min="12298" max="12298" width="10.42578125" style="435" customWidth="1"/>
    <col min="12299" max="12299" width="0" style="435" hidden="1" customWidth="1"/>
    <col min="12300" max="12300" width="9.7109375" style="435" customWidth="1"/>
    <col min="12301" max="12301" width="0" style="435" hidden="1" customWidth="1"/>
    <col min="12302" max="12302" width="9.7109375" style="435" customWidth="1"/>
    <col min="12303" max="12303" width="0" style="435" hidden="1" customWidth="1"/>
    <col min="12304" max="12304" width="9.85546875" style="435" bestFit="1" customWidth="1"/>
    <col min="12305" max="12305" width="0" style="435" hidden="1" customWidth="1"/>
    <col min="12306" max="12306" width="9.7109375" style="435" customWidth="1"/>
    <col min="12307" max="12307" width="0" style="435" hidden="1" customWidth="1"/>
    <col min="12308" max="12308" width="9.7109375" style="435" customWidth="1"/>
    <col min="12309" max="12309" width="0" style="435" hidden="1" customWidth="1"/>
    <col min="12310" max="12544" width="9.140625" style="435"/>
    <col min="12545" max="12545" width="4" style="435" customWidth="1"/>
    <col min="12546" max="12546" width="54" style="435" customWidth="1"/>
    <col min="12547" max="12547" width="8.85546875" style="435" bestFit="1" customWidth="1"/>
    <col min="12548" max="12548" width="9" style="435" customWidth="1"/>
    <col min="12549" max="12549" width="0" style="435" hidden="1" customWidth="1"/>
    <col min="12550" max="12550" width="9.7109375" style="435" customWidth="1"/>
    <col min="12551" max="12551" width="0" style="435" hidden="1" customWidth="1"/>
    <col min="12552" max="12552" width="9.7109375" style="435" customWidth="1"/>
    <col min="12553" max="12553" width="0" style="435" hidden="1" customWidth="1"/>
    <col min="12554" max="12554" width="10.42578125" style="435" customWidth="1"/>
    <col min="12555" max="12555" width="0" style="435" hidden="1" customWidth="1"/>
    <col min="12556" max="12556" width="9.7109375" style="435" customWidth="1"/>
    <col min="12557" max="12557" width="0" style="435" hidden="1" customWidth="1"/>
    <col min="12558" max="12558" width="9.7109375" style="435" customWidth="1"/>
    <col min="12559" max="12559" width="0" style="435" hidden="1" customWidth="1"/>
    <col min="12560" max="12560" width="9.85546875" style="435" bestFit="1" customWidth="1"/>
    <col min="12561" max="12561" width="0" style="435" hidden="1" customWidth="1"/>
    <col min="12562" max="12562" width="9.7109375" style="435" customWidth="1"/>
    <col min="12563" max="12563" width="0" style="435" hidden="1" customWidth="1"/>
    <col min="12564" max="12564" width="9.7109375" style="435" customWidth="1"/>
    <col min="12565" max="12565" width="0" style="435" hidden="1" customWidth="1"/>
    <col min="12566" max="12800" width="9.140625" style="435"/>
    <col min="12801" max="12801" width="4" style="435" customWidth="1"/>
    <col min="12802" max="12802" width="54" style="435" customWidth="1"/>
    <col min="12803" max="12803" width="8.85546875" style="435" bestFit="1" customWidth="1"/>
    <col min="12804" max="12804" width="9" style="435" customWidth="1"/>
    <col min="12805" max="12805" width="0" style="435" hidden="1" customWidth="1"/>
    <col min="12806" max="12806" width="9.7109375" style="435" customWidth="1"/>
    <col min="12807" max="12807" width="0" style="435" hidden="1" customWidth="1"/>
    <col min="12808" max="12808" width="9.7109375" style="435" customWidth="1"/>
    <col min="12809" max="12809" width="0" style="435" hidden="1" customWidth="1"/>
    <col min="12810" max="12810" width="10.42578125" style="435" customWidth="1"/>
    <col min="12811" max="12811" width="0" style="435" hidden="1" customWidth="1"/>
    <col min="12812" max="12812" width="9.7109375" style="435" customWidth="1"/>
    <col min="12813" max="12813" width="0" style="435" hidden="1" customWidth="1"/>
    <col min="12814" max="12814" width="9.7109375" style="435" customWidth="1"/>
    <col min="12815" max="12815" width="0" style="435" hidden="1" customWidth="1"/>
    <col min="12816" max="12816" width="9.85546875" style="435" bestFit="1" customWidth="1"/>
    <col min="12817" max="12817" width="0" style="435" hidden="1" customWidth="1"/>
    <col min="12818" max="12818" width="9.7109375" style="435" customWidth="1"/>
    <col min="12819" max="12819" width="0" style="435" hidden="1" customWidth="1"/>
    <col min="12820" max="12820" width="9.7109375" style="435" customWidth="1"/>
    <col min="12821" max="12821" width="0" style="435" hidden="1" customWidth="1"/>
    <col min="12822" max="13056" width="9.140625" style="435"/>
    <col min="13057" max="13057" width="4" style="435" customWidth="1"/>
    <col min="13058" max="13058" width="54" style="435" customWidth="1"/>
    <col min="13059" max="13059" width="8.85546875" style="435" bestFit="1" customWidth="1"/>
    <col min="13060" max="13060" width="9" style="435" customWidth="1"/>
    <col min="13061" max="13061" width="0" style="435" hidden="1" customWidth="1"/>
    <col min="13062" max="13062" width="9.7109375" style="435" customWidth="1"/>
    <col min="13063" max="13063" width="0" style="435" hidden="1" customWidth="1"/>
    <col min="13064" max="13064" width="9.7109375" style="435" customWidth="1"/>
    <col min="13065" max="13065" width="0" style="435" hidden="1" customWidth="1"/>
    <col min="13066" max="13066" width="10.42578125" style="435" customWidth="1"/>
    <col min="13067" max="13067" width="0" style="435" hidden="1" customWidth="1"/>
    <col min="13068" max="13068" width="9.7109375" style="435" customWidth="1"/>
    <col min="13069" max="13069" width="0" style="435" hidden="1" customWidth="1"/>
    <col min="13070" max="13070" width="9.7109375" style="435" customWidth="1"/>
    <col min="13071" max="13071" width="0" style="435" hidden="1" customWidth="1"/>
    <col min="13072" max="13072" width="9.85546875" style="435" bestFit="1" customWidth="1"/>
    <col min="13073" max="13073" width="0" style="435" hidden="1" customWidth="1"/>
    <col min="13074" max="13074" width="9.7109375" style="435" customWidth="1"/>
    <col min="13075" max="13075" width="0" style="435" hidden="1" customWidth="1"/>
    <col min="13076" max="13076" width="9.7109375" style="435" customWidth="1"/>
    <col min="13077" max="13077" width="0" style="435" hidden="1" customWidth="1"/>
    <col min="13078" max="13312" width="9.140625" style="435"/>
    <col min="13313" max="13313" width="4" style="435" customWidth="1"/>
    <col min="13314" max="13314" width="54" style="435" customWidth="1"/>
    <col min="13315" max="13315" width="8.85546875" style="435" bestFit="1" customWidth="1"/>
    <col min="13316" max="13316" width="9" style="435" customWidth="1"/>
    <col min="13317" max="13317" width="0" style="435" hidden="1" customWidth="1"/>
    <col min="13318" max="13318" width="9.7109375" style="435" customWidth="1"/>
    <col min="13319" max="13319" width="0" style="435" hidden="1" customWidth="1"/>
    <col min="13320" max="13320" width="9.7109375" style="435" customWidth="1"/>
    <col min="13321" max="13321" width="0" style="435" hidden="1" customWidth="1"/>
    <col min="13322" max="13322" width="10.42578125" style="435" customWidth="1"/>
    <col min="13323" max="13323" width="0" style="435" hidden="1" customWidth="1"/>
    <col min="13324" max="13324" width="9.7109375" style="435" customWidth="1"/>
    <col min="13325" max="13325" width="0" style="435" hidden="1" customWidth="1"/>
    <col min="13326" max="13326" width="9.7109375" style="435" customWidth="1"/>
    <col min="13327" max="13327" width="0" style="435" hidden="1" customWidth="1"/>
    <col min="13328" max="13328" width="9.85546875" style="435" bestFit="1" customWidth="1"/>
    <col min="13329" max="13329" width="0" style="435" hidden="1" customWidth="1"/>
    <col min="13330" max="13330" width="9.7109375" style="435" customWidth="1"/>
    <col min="13331" max="13331" width="0" style="435" hidden="1" customWidth="1"/>
    <col min="13332" max="13332" width="9.7109375" style="435" customWidth="1"/>
    <col min="13333" max="13333" width="0" style="435" hidden="1" customWidth="1"/>
    <col min="13334" max="13568" width="9.140625" style="435"/>
    <col min="13569" max="13569" width="4" style="435" customWidth="1"/>
    <col min="13570" max="13570" width="54" style="435" customWidth="1"/>
    <col min="13571" max="13571" width="8.85546875" style="435" bestFit="1" customWidth="1"/>
    <col min="13572" max="13572" width="9" style="435" customWidth="1"/>
    <col min="13573" max="13573" width="0" style="435" hidden="1" customWidth="1"/>
    <col min="13574" max="13574" width="9.7109375" style="435" customWidth="1"/>
    <col min="13575" max="13575" width="0" style="435" hidden="1" customWidth="1"/>
    <col min="13576" max="13576" width="9.7109375" style="435" customWidth="1"/>
    <col min="13577" max="13577" width="0" style="435" hidden="1" customWidth="1"/>
    <col min="13578" max="13578" width="10.42578125" style="435" customWidth="1"/>
    <col min="13579" max="13579" width="0" style="435" hidden="1" customWidth="1"/>
    <col min="13580" max="13580" width="9.7109375" style="435" customWidth="1"/>
    <col min="13581" max="13581" width="0" style="435" hidden="1" customWidth="1"/>
    <col min="13582" max="13582" width="9.7109375" style="435" customWidth="1"/>
    <col min="13583" max="13583" width="0" style="435" hidden="1" customWidth="1"/>
    <col min="13584" max="13584" width="9.85546875" style="435" bestFit="1" customWidth="1"/>
    <col min="13585" max="13585" width="0" style="435" hidden="1" customWidth="1"/>
    <col min="13586" max="13586" width="9.7109375" style="435" customWidth="1"/>
    <col min="13587" max="13587" width="0" style="435" hidden="1" customWidth="1"/>
    <col min="13588" max="13588" width="9.7109375" style="435" customWidth="1"/>
    <col min="13589" max="13589" width="0" style="435" hidden="1" customWidth="1"/>
    <col min="13590" max="13824" width="9.140625" style="435"/>
    <col min="13825" max="13825" width="4" style="435" customWidth="1"/>
    <col min="13826" max="13826" width="54" style="435" customWidth="1"/>
    <col min="13827" max="13827" width="8.85546875" style="435" bestFit="1" customWidth="1"/>
    <col min="13828" max="13828" width="9" style="435" customWidth="1"/>
    <col min="13829" max="13829" width="0" style="435" hidden="1" customWidth="1"/>
    <col min="13830" max="13830" width="9.7109375" style="435" customWidth="1"/>
    <col min="13831" max="13831" width="0" style="435" hidden="1" customWidth="1"/>
    <col min="13832" max="13832" width="9.7109375" style="435" customWidth="1"/>
    <col min="13833" max="13833" width="0" style="435" hidden="1" customWidth="1"/>
    <col min="13834" max="13834" width="10.42578125" style="435" customWidth="1"/>
    <col min="13835" max="13835" width="0" style="435" hidden="1" customWidth="1"/>
    <col min="13836" max="13836" width="9.7109375" style="435" customWidth="1"/>
    <col min="13837" max="13837" width="0" style="435" hidden="1" customWidth="1"/>
    <col min="13838" max="13838" width="9.7109375" style="435" customWidth="1"/>
    <col min="13839" max="13839" width="0" style="435" hidden="1" customWidth="1"/>
    <col min="13840" max="13840" width="9.85546875" style="435" bestFit="1" customWidth="1"/>
    <col min="13841" max="13841" width="0" style="435" hidden="1" customWidth="1"/>
    <col min="13842" max="13842" width="9.7109375" style="435" customWidth="1"/>
    <col min="13843" max="13843" width="0" style="435" hidden="1" customWidth="1"/>
    <col min="13844" max="13844" width="9.7109375" style="435" customWidth="1"/>
    <col min="13845" max="13845" width="0" style="435" hidden="1" customWidth="1"/>
    <col min="13846" max="14080" width="9.140625" style="435"/>
    <col min="14081" max="14081" width="4" style="435" customWidth="1"/>
    <col min="14082" max="14082" width="54" style="435" customWidth="1"/>
    <col min="14083" max="14083" width="8.85546875" style="435" bestFit="1" customWidth="1"/>
    <col min="14084" max="14084" width="9" style="435" customWidth="1"/>
    <col min="14085" max="14085" width="0" style="435" hidden="1" customWidth="1"/>
    <col min="14086" max="14086" width="9.7109375" style="435" customWidth="1"/>
    <col min="14087" max="14087" width="0" style="435" hidden="1" customWidth="1"/>
    <col min="14088" max="14088" width="9.7109375" style="435" customWidth="1"/>
    <col min="14089" max="14089" width="0" style="435" hidden="1" customWidth="1"/>
    <col min="14090" max="14090" width="10.42578125" style="435" customWidth="1"/>
    <col min="14091" max="14091" width="0" style="435" hidden="1" customWidth="1"/>
    <col min="14092" max="14092" width="9.7109375" style="435" customWidth="1"/>
    <col min="14093" max="14093" width="0" style="435" hidden="1" customWidth="1"/>
    <col min="14094" max="14094" width="9.7109375" style="435" customWidth="1"/>
    <col min="14095" max="14095" width="0" style="435" hidden="1" customWidth="1"/>
    <col min="14096" max="14096" width="9.85546875" style="435" bestFit="1" customWidth="1"/>
    <col min="14097" max="14097" width="0" style="435" hidden="1" customWidth="1"/>
    <col min="14098" max="14098" width="9.7109375" style="435" customWidth="1"/>
    <col min="14099" max="14099" width="0" style="435" hidden="1" customWidth="1"/>
    <col min="14100" max="14100" width="9.7109375" style="435" customWidth="1"/>
    <col min="14101" max="14101" width="0" style="435" hidden="1" customWidth="1"/>
    <col min="14102" max="14336" width="9.140625" style="435"/>
    <col min="14337" max="14337" width="4" style="435" customWidth="1"/>
    <col min="14338" max="14338" width="54" style="435" customWidth="1"/>
    <col min="14339" max="14339" width="8.85546875" style="435" bestFit="1" customWidth="1"/>
    <col min="14340" max="14340" width="9" style="435" customWidth="1"/>
    <col min="14341" max="14341" width="0" style="435" hidden="1" customWidth="1"/>
    <col min="14342" max="14342" width="9.7109375" style="435" customWidth="1"/>
    <col min="14343" max="14343" width="0" style="435" hidden="1" customWidth="1"/>
    <col min="14344" max="14344" width="9.7109375" style="435" customWidth="1"/>
    <col min="14345" max="14345" width="0" style="435" hidden="1" customWidth="1"/>
    <col min="14346" max="14346" width="10.42578125" style="435" customWidth="1"/>
    <col min="14347" max="14347" width="0" style="435" hidden="1" customWidth="1"/>
    <col min="14348" max="14348" width="9.7109375" style="435" customWidth="1"/>
    <col min="14349" max="14349" width="0" style="435" hidden="1" customWidth="1"/>
    <col min="14350" max="14350" width="9.7109375" style="435" customWidth="1"/>
    <col min="14351" max="14351" width="0" style="435" hidden="1" customWidth="1"/>
    <col min="14352" max="14352" width="9.85546875" style="435" bestFit="1" customWidth="1"/>
    <col min="14353" max="14353" width="0" style="435" hidden="1" customWidth="1"/>
    <col min="14354" max="14354" width="9.7109375" style="435" customWidth="1"/>
    <col min="14355" max="14355" width="0" style="435" hidden="1" customWidth="1"/>
    <col min="14356" max="14356" width="9.7109375" style="435" customWidth="1"/>
    <col min="14357" max="14357" width="0" style="435" hidden="1" customWidth="1"/>
    <col min="14358" max="14592" width="9.140625" style="435"/>
    <col min="14593" max="14593" width="4" style="435" customWidth="1"/>
    <col min="14594" max="14594" width="54" style="435" customWidth="1"/>
    <col min="14595" max="14595" width="8.85546875" style="435" bestFit="1" customWidth="1"/>
    <col min="14596" max="14596" width="9" style="435" customWidth="1"/>
    <col min="14597" max="14597" width="0" style="435" hidden="1" customWidth="1"/>
    <col min="14598" max="14598" width="9.7109375" style="435" customWidth="1"/>
    <col min="14599" max="14599" width="0" style="435" hidden="1" customWidth="1"/>
    <col min="14600" max="14600" width="9.7109375" style="435" customWidth="1"/>
    <col min="14601" max="14601" width="0" style="435" hidden="1" customWidth="1"/>
    <col min="14602" max="14602" width="10.42578125" style="435" customWidth="1"/>
    <col min="14603" max="14603" width="0" style="435" hidden="1" customWidth="1"/>
    <col min="14604" max="14604" width="9.7109375" style="435" customWidth="1"/>
    <col min="14605" max="14605" width="0" style="435" hidden="1" customWidth="1"/>
    <col min="14606" max="14606" width="9.7109375" style="435" customWidth="1"/>
    <col min="14607" max="14607" width="0" style="435" hidden="1" customWidth="1"/>
    <col min="14608" max="14608" width="9.85546875" style="435" bestFit="1" customWidth="1"/>
    <col min="14609" max="14609" width="0" style="435" hidden="1" customWidth="1"/>
    <col min="14610" max="14610" width="9.7109375" style="435" customWidth="1"/>
    <col min="14611" max="14611" width="0" style="435" hidden="1" customWidth="1"/>
    <col min="14612" max="14612" width="9.7109375" style="435" customWidth="1"/>
    <col min="14613" max="14613" width="0" style="435" hidden="1" customWidth="1"/>
    <col min="14614" max="14848" width="9.140625" style="435"/>
    <col min="14849" max="14849" width="4" style="435" customWidth="1"/>
    <col min="14850" max="14850" width="54" style="435" customWidth="1"/>
    <col min="14851" max="14851" width="8.85546875" style="435" bestFit="1" customWidth="1"/>
    <col min="14852" max="14852" width="9" style="435" customWidth="1"/>
    <col min="14853" max="14853" width="0" style="435" hidden="1" customWidth="1"/>
    <col min="14854" max="14854" width="9.7109375" style="435" customWidth="1"/>
    <col min="14855" max="14855" width="0" style="435" hidden="1" customWidth="1"/>
    <col min="14856" max="14856" width="9.7109375" style="435" customWidth="1"/>
    <col min="14857" max="14857" width="0" style="435" hidden="1" customWidth="1"/>
    <col min="14858" max="14858" width="10.42578125" style="435" customWidth="1"/>
    <col min="14859" max="14859" width="0" style="435" hidden="1" customWidth="1"/>
    <col min="14860" max="14860" width="9.7109375" style="435" customWidth="1"/>
    <col min="14861" max="14861" width="0" style="435" hidden="1" customWidth="1"/>
    <col min="14862" max="14862" width="9.7109375" style="435" customWidth="1"/>
    <col min="14863" max="14863" width="0" style="435" hidden="1" customWidth="1"/>
    <col min="14864" max="14864" width="9.85546875" style="435" bestFit="1" customWidth="1"/>
    <col min="14865" max="14865" width="0" style="435" hidden="1" customWidth="1"/>
    <col min="14866" max="14866" width="9.7109375" style="435" customWidth="1"/>
    <col min="14867" max="14867" width="0" style="435" hidden="1" customWidth="1"/>
    <col min="14868" max="14868" width="9.7109375" style="435" customWidth="1"/>
    <col min="14869" max="14869" width="0" style="435" hidden="1" customWidth="1"/>
    <col min="14870" max="15104" width="9.140625" style="435"/>
    <col min="15105" max="15105" width="4" style="435" customWidth="1"/>
    <col min="15106" max="15106" width="54" style="435" customWidth="1"/>
    <col min="15107" max="15107" width="8.85546875" style="435" bestFit="1" customWidth="1"/>
    <col min="15108" max="15108" width="9" style="435" customWidth="1"/>
    <col min="15109" max="15109" width="0" style="435" hidden="1" customWidth="1"/>
    <col min="15110" max="15110" width="9.7109375" style="435" customWidth="1"/>
    <col min="15111" max="15111" width="0" style="435" hidden="1" customWidth="1"/>
    <col min="15112" max="15112" width="9.7109375" style="435" customWidth="1"/>
    <col min="15113" max="15113" width="0" style="435" hidden="1" customWidth="1"/>
    <col min="15114" max="15114" width="10.42578125" style="435" customWidth="1"/>
    <col min="15115" max="15115" width="0" style="435" hidden="1" customWidth="1"/>
    <col min="15116" max="15116" width="9.7109375" style="435" customWidth="1"/>
    <col min="15117" max="15117" width="0" style="435" hidden="1" customWidth="1"/>
    <col min="15118" max="15118" width="9.7109375" style="435" customWidth="1"/>
    <col min="15119" max="15119" width="0" style="435" hidden="1" customWidth="1"/>
    <col min="15120" max="15120" width="9.85546875" style="435" bestFit="1" customWidth="1"/>
    <col min="15121" max="15121" width="0" style="435" hidden="1" customWidth="1"/>
    <col min="15122" max="15122" width="9.7109375" style="435" customWidth="1"/>
    <col min="15123" max="15123" width="0" style="435" hidden="1" customWidth="1"/>
    <col min="15124" max="15124" width="9.7109375" style="435" customWidth="1"/>
    <col min="15125" max="15125" width="0" style="435" hidden="1" customWidth="1"/>
    <col min="15126" max="15360" width="9.140625" style="435"/>
    <col min="15361" max="15361" width="4" style="435" customWidth="1"/>
    <col min="15362" max="15362" width="54" style="435" customWidth="1"/>
    <col min="15363" max="15363" width="8.85546875" style="435" bestFit="1" customWidth="1"/>
    <col min="15364" max="15364" width="9" style="435" customWidth="1"/>
    <col min="15365" max="15365" width="0" style="435" hidden="1" customWidth="1"/>
    <col min="15366" max="15366" width="9.7109375" style="435" customWidth="1"/>
    <col min="15367" max="15367" width="0" style="435" hidden="1" customWidth="1"/>
    <col min="15368" max="15368" width="9.7109375" style="435" customWidth="1"/>
    <col min="15369" max="15369" width="0" style="435" hidden="1" customWidth="1"/>
    <col min="15370" max="15370" width="10.42578125" style="435" customWidth="1"/>
    <col min="15371" max="15371" width="0" style="435" hidden="1" customWidth="1"/>
    <col min="15372" max="15372" width="9.7109375" style="435" customWidth="1"/>
    <col min="15373" max="15373" width="0" style="435" hidden="1" customWidth="1"/>
    <col min="15374" max="15374" width="9.7109375" style="435" customWidth="1"/>
    <col min="15375" max="15375" width="0" style="435" hidden="1" customWidth="1"/>
    <col min="15376" max="15376" width="9.85546875" style="435" bestFit="1" customWidth="1"/>
    <col min="15377" max="15377" width="0" style="435" hidden="1" customWidth="1"/>
    <col min="15378" max="15378" width="9.7109375" style="435" customWidth="1"/>
    <col min="15379" max="15379" width="0" style="435" hidden="1" customWidth="1"/>
    <col min="15380" max="15380" width="9.7109375" style="435" customWidth="1"/>
    <col min="15381" max="15381" width="0" style="435" hidden="1" customWidth="1"/>
    <col min="15382" max="15616" width="9.140625" style="435"/>
    <col min="15617" max="15617" width="4" style="435" customWidth="1"/>
    <col min="15618" max="15618" width="54" style="435" customWidth="1"/>
    <col min="15619" max="15619" width="8.85546875" style="435" bestFit="1" customWidth="1"/>
    <col min="15620" max="15620" width="9" style="435" customWidth="1"/>
    <col min="15621" max="15621" width="0" style="435" hidden="1" customWidth="1"/>
    <col min="15622" max="15622" width="9.7109375" style="435" customWidth="1"/>
    <col min="15623" max="15623" width="0" style="435" hidden="1" customWidth="1"/>
    <col min="15624" max="15624" width="9.7109375" style="435" customWidth="1"/>
    <col min="15625" max="15625" width="0" style="435" hidden="1" customWidth="1"/>
    <col min="15626" max="15626" width="10.42578125" style="435" customWidth="1"/>
    <col min="15627" max="15627" width="0" style="435" hidden="1" customWidth="1"/>
    <col min="15628" max="15628" width="9.7109375" style="435" customWidth="1"/>
    <col min="15629" max="15629" width="0" style="435" hidden="1" customWidth="1"/>
    <col min="15630" max="15630" width="9.7109375" style="435" customWidth="1"/>
    <col min="15631" max="15631" width="0" style="435" hidden="1" customWidth="1"/>
    <col min="15632" max="15632" width="9.85546875" style="435" bestFit="1" customWidth="1"/>
    <col min="15633" max="15633" width="0" style="435" hidden="1" customWidth="1"/>
    <col min="15634" max="15634" width="9.7109375" style="435" customWidth="1"/>
    <col min="15635" max="15635" width="0" style="435" hidden="1" customWidth="1"/>
    <col min="15636" max="15636" width="9.7109375" style="435" customWidth="1"/>
    <col min="15637" max="15637" width="0" style="435" hidden="1" customWidth="1"/>
    <col min="15638" max="15872" width="9.140625" style="435"/>
    <col min="15873" max="15873" width="4" style="435" customWidth="1"/>
    <col min="15874" max="15874" width="54" style="435" customWidth="1"/>
    <col min="15875" max="15875" width="8.85546875" style="435" bestFit="1" customWidth="1"/>
    <col min="15876" max="15876" width="9" style="435" customWidth="1"/>
    <col min="15877" max="15877" width="0" style="435" hidden="1" customWidth="1"/>
    <col min="15878" max="15878" width="9.7109375" style="435" customWidth="1"/>
    <col min="15879" max="15879" width="0" style="435" hidden="1" customWidth="1"/>
    <col min="15880" max="15880" width="9.7109375" style="435" customWidth="1"/>
    <col min="15881" max="15881" width="0" style="435" hidden="1" customWidth="1"/>
    <col min="15882" max="15882" width="10.42578125" style="435" customWidth="1"/>
    <col min="15883" max="15883" width="0" style="435" hidden="1" customWidth="1"/>
    <col min="15884" max="15884" width="9.7109375" style="435" customWidth="1"/>
    <col min="15885" max="15885" width="0" style="435" hidden="1" customWidth="1"/>
    <col min="15886" max="15886" width="9.7109375" style="435" customWidth="1"/>
    <col min="15887" max="15887" width="0" style="435" hidden="1" customWidth="1"/>
    <col min="15888" max="15888" width="9.85546875" style="435" bestFit="1" customWidth="1"/>
    <col min="15889" max="15889" width="0" style="435" hidden="1" customWidth="1"/>
    <col min="15890" max="15890" width="9.7109375" style="435" customWidth="1"/>
    <col min="15891" max="15891" width="0" style="435" hidden="1" customWidth="1"/>
    <col min="15892" max="15892" width="9.7109375" style="435" customWidth="1"/>
    <col min="15893" max="15893" width="0" style="435" hidden="1" customWidth="1"/>
    <col min="15894" max="16128" width="9.140625" style="435"/>
    <col min="16129" max="16129" width="4" style="435" customWidth="1"/>
    <col min="16130" max="16130" width="54" style="435" customWidth="1"/>
    <col min="16131" max="16131" width="8.85546875" style="435" bestFit="1" customWidth="1"/>
    <col min="16132" max="16132" width="9" style="435" customWidth="1"/>
    <col min="16133" max="16133" width="0" style="435" hidden="1" customWidth="1"/>
    <col min="16134" max="16134" width="9.7109375" style="435" customWidth="1"/>
    <col min="16135" max="16135" width="0" style="435" hidden="1" customWidth="1"/>
    <col min="16136" max="16136" width="9.7109375" style="435" customWidth="1"/>
    <col min="16137" max="16137" width="0" style="435" hidden="1" customWidth="1"/>
    <col min="16138" max="16138" width="10.42578125" style="435" customWidth="1"/>
    <col min="16139" max="16139" width="0" style="435" hidden="1" customWidth="1"/>
    <col min="16140" max="16140" width="9.7109375" style="435" customWidth="1"/>
    <col min="16141" max="16141" width="0" style="435" hidden="1" customWidth="1"/>
    <col min="16142" max="16142" width="9.7109375" style="435" customWidth="1"/>
    <col min="16143" max="16143" width="0" style="435" hidden="1" customWidth="1"/>
    <col min="16144" max="16144" width="9.85546875" style="435" bestFit="1" customWidth="1"/>
    <col min="16145" max="16145" width="0" style="435" hidden="1" customWidth="1"/>
    <col min="16146" max="16146" width="9.7109375" style="435" customWidth="1"/>
    <col min="16147" max="16147" width="0" style="435" hidden="1" customWidth="1"/>
    <col min="16148" max="16148" width="9.7109375" style="435" customWidth="1"/>
    <col min="16149" max="16149" width="0" style="435" hidden="1" customWidth="1"/>
    <col min="16150" max="16384" width="9.140625" style="435"/>
  </cols>
  <sheetData>
    <row r="1" spans="1:25" s="263" customFormat="1" ht="24" thickBot="1">
      <c r="A1" s="260"/>
      <c r="B1" s="261" t="s">
        <v>504</v>
      </c>
      <c r="C1" s="262"/>
      <c r="V1" s="3193" t="s">
        <v>1749</v>
      </c>
      <c r="W1" s="3194"/>
      <c r="X1" s="3194"/>
      <c r="Y1" s="3195"/>
    </row>
    <row r="2" spans="1:25" s="263" customFormat="1" ht="23.25" thickBot="1">
      <c r="A2" s="260"/>
      <c r="B2" s="264" t="s">
        <v>505</v>
      </c>
      <c r="C2" s="265" t="s">
        <v>506</v>
      </c>
      <c r="D2" s="266" t="s">
        <v>507</v>
      </c>
      <c r="E2" s="262"/>
      <c r="F2" s="262"/>
      <c r="G2" s="262"/>
      <c r="H2" s="262"/>
      <c r="I2" s="262"/>
      <c r="J2" s="267" t="s">
        <v>508</v>
      </c>
      <c r="K2" s="262"/>
      <c r="L2" s="262"/>
      <c r="M2" s="262"/>
      <c r="N2" s="262"/>
      <c r="O2" s="262"/>
      <c r="P2" s="268" t="s">
        <v>509</v>
      </c>
      <c r="Q2" s="262"/>
      <c r="R2" s="262"/>
      <c r="S2" s="262"/>
      <c r="T2" s="262"/>
      <c r="U2" s="262"/>
    </row>
    <row r="3" spans="1:25" s="274" customFormat="1" ht="14.25" customHeight="1" thickBot="1">
      <c r="A3" s="269"/>
      <c r="B3" s="270" t="s">
        <v>510</v>
      </c>
      <c r="C3" s="271" t="s">
        <v>511</v>
      </c>
      <c r="D3" s="272" t="s">
        <v>512</v>
      </c>
      <c r="E3" s="273"/>
      <c r="F3" s="272" t="s">
        <v>513</v>
      </c>
      <c r="G3" s="273"/>
      <c r="H3" s="272" t="s">
        <v>514</v>
      </c>
      <c r="I3" s="273"/>
      <c r="J3" s="272" t="s">
        <v>512</v>
      </c>
      <c r="K3" s="273"/>
      <c r="L3" s="272" t="s">
        <v>513</v>
      </c>
      <c r="M3" s="273"/>
      <c r="N3" s="272" t="s">
        <v>514</v>
      </c>
      <c r="O3" s="273"/>
      <c r="P3" s="272" t="s">
        <v>512</v>
      </c>
      <c r="Q3" s="273"/>
      <c r="R3" s="272" t="s">
        <v>513</v>
      </c>
      <c r="S3" s="273"/>
      <c r="T3" s="272" t="s">
        <v>514</v>
      </c>
      <c r="U3" s="273"/>
    </row>
    <row r="4" spans="1:25" s="274" customFormat="1" ht="14.25" customHeight="1">
      <c r="A4" s="269"/>
      <c r="B4" s="275" t="s">
        <v>515</v>
      </c>
      <c r="C4" s="276">
        <f>SUM(D4,J4,P4)</f>
        <v>0</v>
      </c>
      <c r="D4" s="277"/>
      <c r="E4" s="278"/>
      <c r="F4" s="279">
        <f>D4</f>
        <v>0</v>
      </c>
      <c r="G4" s="280"/>
      <c r="H4" s="279">
        <f>(H38+H39+H44+H43)/((H34+H9+H10+H11)-(H15*I40*4.187*H24*H16))</f>
        <v>-5.4330177460665929</v>
      </c>
      <c r="I4" s="278">
        <f>H47/(H34+H9+H10+H11)</f>
        <v>-5.4330177460665929</v>
      </c>
      <c r="J4" s="277"/>
      <c r="K4" s="278"/>
      <c r="L4" s="279">
        <f>J4</f>
        <v>0</v>
      </c>
      <c r="M4" s="280"/>
      <c r="N4" s="279">
        <f>(N38+N39+N44+N43)/((N34+N9+N10+N11)-(N15*O40*4.187*N24*N16))</f>
        <v>0</v>
      </c>
      <c r="O4" s="278">
        <f>N47/(N34+N9+N10+N11)</f>
        <v>0</v>
      </c>
      <c r="P4" s="277"/>
      <c r="Q4" s="278"/>
      <c r="R4" s="279">
        <f>P4</f>
        <v>0</v>
      </c>
      <c r="S4" s="280"/>
      <c r="T4" s="279">
        <f>(T38+T39+T44+T43)/((T34+T9+T10+T11)-(T15*U40*4.187*T24*T16))</f>
        <v>0</v>
      </c>
      <c r="U4" s="281">
        <f>T47/(T34+T9+T10+T11)</f>
        <v>0</v>
      </c>
    </row>
    <row r="5" spans="1:25" s="274" customFormat="1" ht="14.25" customHeight="1">
      <c r="A5" s="269"/>
      <c r="B5" s="275" t="s">
        <v>516</v>
      </c>
      <c r="C5" s="276">
        <f>SUM(D5,J5,P5)</f>
        <v>46.9</v>
      </c>
      <c r="D5" s="277">
        <v>7</v>
      </c>
      <c r="E5" s="278"/>
      <c r="F5" s="279">
        <f>D5</f>
        <v>7</v>
      </c>
      <c r="G5" s="280"/>
      <c r="H5" s="279">
        <v>0</v>
      </c>
      <c r="I5" s="278"/>
      <c r="J5" s="277">
        <v>18.2</v>
      </c>
      <c r="K5" s="278"/>
      <c r="L5" s="279">
        <f>J5</f>
        <v>18.2</v>
      </c>
      <c r="M5" s="280"/>
      <c r="N5" s="279">
        <v>0</v>
      </c>
      <c r="O5" s="278"/>
      <c r="P5" s="277">
        <v>21.7</v>
      </c>
      <c r="Q5" s="278"/>
      <c r="R5" s="279">
        <f>P5</f>
        <v>21.7</v>
      </c>
      <c r="S5" s="280"/>
      <c r="T5" s="279">
        <v>0</v>
      </c>
      <c r="U5" s="281"/>
    </row>
    <row r="6" spans="1:25" s="274" customFormat="1" ht="14.25" customHeight="1">
      <c r="A6" s="269"/>
      <c r="B6" s="282" t="s">
        <v>517</v>
      </c>
      <c r="C6" s="276">
        <f>SUM(D6,J6,P6)</f>
        <v>46.9</v>
      </c>
      <c r="D6" s="283">
        <f t="shared" ref="D6:U6" si="0">SUM(D4:D5)</f>
        <v>7</v>
      </c>
      <c r="E6" s="284">
        <f t="shared" si="0"/>
        <v>0</v>
      </c>
      <c r="F6" s="285">
        <f t="shared" si="0"/>
        <v>7</v>
      </c>
      <c r="G6" s="279">
        <f t="shared" si="0"/>
        <v>0</v>
      </c>
      <c r="H6" s="279">
        <f t="shared" si="0"/>
        <v>-5.4330177460665929</v>
      </c>
      <c r="I6" s="286">
        <f t="shared" si="0"/>
        <v>-5.4330177460665929</v>
      </c>
      <c r="J6" s="283">
        <f>SUM(J4:J5)</f>
        <v>18.2</v>
      </c>
      <c r="K6" s="284">
        <f t="shared" si="0"/>
        <v>0</v>
      </c>
      <c r="L6" s="279">
        <f t="shared" si="0"/>
        <v>18.2</v>
      </c>
      <c r="M6" s="279">
        <f t="shared" si="0"/>
        <v>0</v>
      </c>
      <c r="N6" s="279">
        <f t="shared" si="0"/>
        <v>0</v>
      </c>
      <c r="O6" s="286">
        <f t="shared" si="0"/>
        <v>0</v>
      </c>
      <c r="P6" s="283">
        <f t="shared" si="0"/>
        <v>21.7</v>
      </c>
      <c r="Q6" s="284">
        <f t="shared" si="0"/>
        <v>0</v>
      </c>
      <c r="R6" s="279">
        <f t="shared" si="0"/>
        <v>21.7</v>
      </c>
      <c r="S6" s="279">
        <f t="shared" si="0"/>
        <v>0</v>
      </c>
      <c r="T6" s="279">
        <f t="shared" si="0"/>
        <v>0</v>
      </c>
      <c r="U6" s="287">
        <f t="shared" si="0"/>
        <v>0</v>
      </c>
    </row>
    <row r="7" spans="1:25" s="274" customFormat="1" ht="11.25">
      <c r="A7" s="269"/>
      <c r="B7" s="288" t="s">
        <v>518</v>
      </c>
      <c r="C7" s="288"/>
      <c r="D7" s="289">
        <v>1650</v>
      </c>
      <c r="E7" s="290"/>
      <c r="F7" s="291">
        <f>D7</f>
        <v>1650</v>
      </c>
      <c r="G7" s="292"/>
      <c r="H7" s="291"/>
      <c r="I7" s="293"/>
      <c r="J7" s="289">
        <v>3052</v>
      </c>
      <c r="K7" s="290"/>
      <c r="L7" s="291">
        <f>J7</f>
        <v>3052</v>
      </c>
      <c r="M7" s="292"/>
      <c r="N7" s="291">
        <f t="shared" ref="N7:N12" si="1">J7</f>
        <v>3052</v>
      </c>
      <c r="O7" s="293"/>
      <c r="P7" s="289">
        <v>3052</v>
      </c>
      <c r="Q7" s="290"/>
      <c r="R7" s="291">
        <f>P7</f>
        <v>3052</v>
      </c>
      <c r="S7" s="292"/>
      <c r="T7" s="291">
        <f>P7</f>
        <v>3052</v>
      </c>
      <c r="U7" s="294"/>
    </row>
    <row r="8" spans="1:25" s="274" customFormat="1" ht="14.25" customHeight="1">
      <c r="A8" s="269"/>
      <c r="B8" s="288" t="s">
        <v>519</v>
      </c>
      <c r="C8" s="288"/>
      <c r="D8" s="289">
        <v>3000</v>
      </c>
      <c r="E8" s="295"/>
      <c r="F8" s="296">
        <f>D8</f>
        <v>3000</v>
      </c>
      <c r="G8" s="296"/>
      <c r="H8" s="296"/>
      <c r="I8" s="297"/>
      <c r="J8" s="289">
        <v>1400</v>
      </c>
      <c r="K8" s="295"/>
      <c r="L8" s="296">
        <f>J8</f>
        <v>1400</v>
      </c>
      <c r="M8" s="296"/>
      <c r="N8" s="296">
        <f t="shared" si="1"/>
        <v>1400</v>
      </c>
      <c r="O8" s="297"/>
      <c r="P8" s="289">
        <v>1400</v>
      </c>
      <c r="Q8" s="295"/>
      <c r="R8" s="296">
        <f>P8</f>
        <v>1400</v>
      </c>
      <c r="S8" s="296"/>
      <c r="T8" s="296">
        <f>P8</f>
        <v>1400</v>
      </c>
      <c r="U8" s="298"/>
    </row>
    <row r="9" spans="1:25" s="274" customFormat="1" ht="14.25" customHeight="1">
      <c r="A9" s="269"/>
      <c r="B9" s="299" t="s">
        <v>520</v>
      </c>
      <c r="C9" s="294"/>
      <c r="D9" s="300">
        <v>0</v>
      </c>
      <c r="E9" s="290">
        <v>10</v>
      </c>
      <c r="F9" s="292">
        <f>D9</f>
        <v>0</v>
      </c>
      <c r="G9" s="292">
        <v>10</v>
      </c>
      <c r="H9" s="292"/>
      <c r="I9" s="293">
        <v>10</v>
      </c>
      <c r="J9" s="300"/>
      <c r="K9" s="290"/>
      <c r="L9" s="292"/>
      <c r="M9" s="292"/>
      <c r="N9" s="292">
        <f t="shared" si="1"/>
        <v>0</v>
      </c>
      <c r="O9" s="293">
        <v>10</v>
      </c>
      <c r="P9" s="300">
        <v>10</v>
      </c>
      <c r="Q9" s="290">
        <v>10</v>
      </c>
      <c r="R9" s="292">
        <f>P9</f>
        <v>10</v>
      </c>
      <c r="S9" s="292">
        <v>10</v>
      </c>
      <c r="T9" s="292"/>
      <c r="U9" s="294"/>
    </row>
    <row r="10" spans="1:25" s="274" customFormat="1" ht="14.25" customHeight="1">
      <c r="A10" s="269"/>
      <c r="B10" s="299" t="s">
        <v>521</v>
      </c>
      <c r="C10" s="294"/>
      <c r="D10" s="300">
        <v>5</v>
      </c>
      <c r="E10" s="290">
        <v>3</v>
      </c>
      <c r="F10" s="292">
        <f>D10</f>
        <v>5</v>
      </c>
      <c r="G10" s="292">
        <v>3</v>
      </c>
      <c r="H10" s="292">
        <f>D10</f>
        <v>5</v>
      </c>
      <c r="I10" s="293">
        <v>3</v>
      </c>
      <c r="J10" s="300"/>
      <c r="K10" s="290"/>
      <c r="L10" s="292"/>
      <c r="M10" s="292"/>
      <c r="N10" s="292">
        <f t="shared" si="1"/>
        <v>0</v>
      </c>
      <c r="O10" s="293">
        <v>3</v>
      </c>
      <c r="P10" s="300">
        <v>5</v>
      </c>
      <c r="Q10" s="290">
        <v>3</v>
      </c>
      <c r="R10" s="292">
        <f>P10</f>
        <v>5</v>
      </c>
      <c r="S10" s="292">
        <v>3</v>
      </c>
      <c r="T10" s="292"/>
      <c r="U10" s="294"/>
    </row>
    <row r="11" spans="1:25" s="274" customFormat="1" ht="14.25" customHeight="1" thickBot="1">
      <c r="A11" s="269"/>
      <c r="B11" s="299" t="s">
        <v>522</v>
      </c>
      <c r="C11" s="294"/>
      <c r="D11" s="301">
        <v>38.200000000000003</v>
      </c>
      <c r="E11" s="302">
        <v>10</v>
      </c>
      <c r="F11" s="303">
        <f>D11</f>
        <v>38.200000000000003</v>
      </c>
      <c r="G11" s="303">
        <v>10</v>
      </c>
      <c r="H11" s="303">
        <f>D11</f>
        <v>38.200000000000003</v>
      </c>
      <c r="I11" s="304">
        <v>10</v>
      </c>
      <c r="J11" s="301"/>
      <c r="K11" s="302"/>
      <c r="L11" s="303"/>
      <c r="M11" s="303"/>
      <c r="N11" s="303">
        <f t="shared" si="1"/>
        <v>0</v>
      </c>
      <c r="O11" s="304">
        <v>10</v>
      </c>
      <c r="P11" s="301">
        <v>68</v>
      </c>
      <c r="Q11" s="302">
        <v>10</v>
      </c>
      <c r="R11" s="303">
        <f>P11</f>
        <v>68</v>
      </c>
      <c r="S11" s="303">
        <v>10</v>
      </c>
      <c r="T11" s="303"/>
      <c r="U11" s="305"/>
    </row>
    <row r="12" spans="1:25" s="274" customFormat="1" ht="13.5" customHeight="1" thickBot="1">
      <c r="A12" s="269"/>
      <c r="B12" s="305" t="s">
        <v>523</v>
      </c>
      <c r="C12" s="276">
        <f>SUM(D12,J12,P12)</f>
        <v>38</v>
      </c>
      <c r="D12" s="306">
        <v>13</v>
      </c>
      <c r="E12" s="307"/>
      <c r="F12" s="308" t="e">
        <f>D49</f>
        <v>#DIV/0!</v>
      </c>
      <c r="G12" s="308"/>
      <c r="H12" s="308">
        <f>D12</f>
        <v>13</v>
      </c>
      <c r="I12" s="309"/>
      <c r="J12" s="306"/>
      <c r="K12" s="307"/>
      <c r="L12" s="308"/>
      <c r="M12" s="308"/>
      <c r="N12" s="308">
        <f t="shared" si="1"/>
        <v>0</v>
      </c>
      <c r="O12" s="309"/>
      <c r="P12" s="306">
        <v>25</v>
      </c>
      <c r="Q12" s="307"/>
      <c r="R12" s="308">
        <f>P49</f>
        <v>25.056510562583458</v>
      </c>
      <c r="S12" s="308"/>
      <c r="T12" s="308"/>
      <c r="U12" s="310"/>
      <c r="X12" s="311"/>
    </row>
    <row r="13" spans="1:25" s="274" customFormat="1" ht="14.25" customHeight="1">
      <c r="A13" s="269"/>
      <c r="B13" s="312" t="s">
        <v>524</v>
      </c>
      <c r="C13" s="313"/>
      <c r="D13" s="314">
        <f t="shared" ref="D13:R13" si="2">(D4+D5)*D14</f>
        <v>14</v>
      </c>
      <c r="E13" s="315">
        <f t="shared" si="2"/>
        <v>0</v>
      </c>
      <c r="F13" s="316">
        <f t="shared" si="2"/>
        <v>14</v>
      </c>
      <c r="G13" s="316">
        <f t="shared" si="2"/>
        <v>0</v>
      </c>
      <c r="H13" s="316">
        <f t="shared" si="2"/>
        <v>-10.866035492133186</v>
      </c>
      <c r="I13" s="317">
        <f t="shared" si="2"/>
        <v>-10.866035492133186</v>
      </c>
      <c r="J13" s="314"/>
      <c r="K13" s="315"/>
      <c r="L13" s="316"/>
      <c r="M13" s="316"/>
      <c r="N13" s="316">
        <f>(N4+N5)*N14</f>
        <v>0</v>
      </c>
      <c r="O13" s="317">
        <f>(O4+O5)*O14</f>
        <v>0</v>
      </c>
      <c r="P13" s="314">
        <f>(P4+P5)*P14</f>
        <v>43.4</v>
      </c>
      <c r="Q13" s="315">
        <f>(Q4+Q5)*Q14</f>
        <v>0</v>
      </c>
      <c r="R13" s="316">
        <f t="shared" si="2"/>
        <v>43.4</v>
      </c>
      <c r="S13" s="316">
        <f>(S4+S5)*S14</f>
        <v>0</v>
      </c>
      <c r="T13" s="316"/>
      <c r="U13" s="318"/>
    </row>
    <row r="14" spans="1:25" s="274" customFormat="1" ht="14.25" customHeight="1">
      <c r="A14" s="269"/>
      <c r="B14" s="319" t="s">
        <v>525</v>
      </c>
      <c r="C14" s="313"/>
      <c r="D14" s="320">
        <v>2</v>
      </c>
      <c r="E14" s="321">
        <f>D14</f>
        <v>2</v>
      </c>
      <c r="F14" s="292">
        <f>D14</f>
        <v>2</v>
      </c>
      <c r="G14" s="322">
        <f>D14</f>
        <v>2</v>
      </c>
      <c r="H14" s="292">
        <f>D14</f>
        <v>2</v>
      </c>
      <c r="I14" s="321">
        <f>D14</f>
        <v>2</v>
      </c>
      <c r="J14" s="320"/>
      <c r="K14" s="321"/>
      <c r="L14" s="292"/>
      <c r="M14" s="322"/>
      <c r="N14" s="292">
        <f>J14</f>
        <v>0</v>
      </c>
      <c r="O14" s="321">
        <f>J14</f>
        <v>0</v>
      </c>
      <c r="P14" s="320">
        <v>2</v>
      </c>
      <c r="Q14" s="321">
        <f>P14</f>
        <v>2</v>
      </c>
      <c r="R14" s="292">
        <f>P14</f>
        <v>2</v>
      </c>
      <c r="S14" s="322">
        <f>P14</f>
        <v>2</v>
      </c>
      <c r="T14" s="292">
        <f>P14</f>
        <v>2</v>
      </c>
      <c r="U14" s="323">
        <f>P14</f>
        <v>2</v>
      </c>
    </row>
    <row r="15" spans="1:25" s="274" customFormat="1" ht="14.25" customHeight="1">
      <c r="A15" s="269"/>
      <c r="B15" s="319" t="s">
        <v>526</v>
      </c>
      <c r="C15" s="288"/>
      <c r="D15" s="324">
        <v>0.06</v>
      </c>
      <c r="E15" s="325">
        <f>D15</f>
        <v>0.06</v>
      </c>
      <c r="F15" s="292">
        <f>D15</f>
        <v>0.06</v>
      </c>
      <c r="G15" s="322">
        <f>D15</f>
        <v>0.06</v>
      </c>
      <c r="H15" s="292">
        <f>D15</f>
        <v>0.06</v>
      </c>
      <c r="I15" s="326">
        <f>D15</f>
        <v>0.06</v>
      </c>
      <c r="J15" s="324"/>
      <c r="K15" s="325"/>
      <c r="L15" s="292"/>
      <c r="M15" s="322"/>
      <c r="N15" s="292">
        <f>J15</f>
        <v>0</v>
      </c>
      <c r="O15" s="326">
        <f>J15</f>
        <v>0</v>
      </c>
      <c r="P15" s="324">
        <v>0.06</v>
      </c>
      <c r="Q15" s="325">
        <f>P15</f>
        <v>0.06</v>
      </c>
      <c r="R15" s="292">
        <f>P15</f>
        <v>0.06</v>
      </c>
      <c r="S15" s="322">
        <f>P15</f>
        <v>0.06</v>
      </c>
      <c r="T15" s="292">
        <f>P15</f>
        <v>0.06</v>
      </c>
      <c r="U15" s="327">
        <f>P15</f>
        <v>0.06</v>
      </c>
    </row>
    <row r="16" spans="1:25" s="274" customFormat="1" ht="14.25" customHeight="1">
      <c r="A16" s="269"/>
      <c r="B16" s="328"/>
      <c r="C16" s="288"/>
      <c r="D16" s="329"/>
      <c r="E16" s="330"/>
      <c r="F16" s="331"/>
      <c r="G16" s="330"/>
      <c r="H16" s="331">
        <f>D16</f>
        <v>0</v>
      </c>
      <c r="I16" s="330">
        <f>H16</f>
        <v>0</v>
      </c>
      <c r="J16" s="329"/>
      <c r="K16" s="330"/>
      <c r="L16" s="331"/>
      <c r="M16" s="330"/>
      <c r="N16" s="331">
        <f>J16</f>
        <v>0</v>
      </c>
      <c r="O16" s="330">
        <f>N16</f>
        <v>0</v>
      </c>
      <c r="P16" s="329">
        <v>1</v>
      </c>
      <c r="Q16" s="330">
        <f>P16</f>
        <v>1</v>
      </c>
      <c r="R16" s="331">
        <f>P16</f>
        <v>1</v>
      </c>
      <c r="S16" s="330">
        <f>R16</f>
        <v>1</v>
      </c>
      <c r="T16" s="331">
        <f>P16</f>
        <v>1</v>
      </c>
      <c r="U16" s="332">
        <f>T16</f>
        <v>1</v>
      </c>
    </row>
    <row r="17" spans="1:24" s="274" customFormat="1" ht="14.25" customHeight="1">
      <c r="A17" s="269"/>
      <c r="B17" s="328"/>
      <c r="C17" s="288"/>
      <c r="D17" s="329"/>
      <c r="E17" s="330"/>
      <c r="F17" s="331"/>
      <c r="G17" s="330"/>
      <c r="H17" s="331">
        <f>D17</f>
        <v>0</v>
      </c>
      <c r="I17" s="330">
        <f>IF(H17&lt;1,1,0)</f>
        <v>1</v>
      </c>
      <c r="J17" s="329"/>
      <c r="K17" s="330"/>
      <c r="L17" s="331"/>
      <c r="M17" s="330"/>
      <c r="N17" s="331">
        <f>J17</f>
        <v>0</v>
      </c>
      <c r="O17" s="330">
        <f>IF(N17&lt;1,1,0)</f>
        <v>1</v>
      </c>
      <c r="P17" s="329">
        <v>1</v>
      </c>
      <c r="Q17" s="330">
        <f>IF(P17&lt;1,1,0)</f>
        <v>0</v>
      </c>
      <c r="R17" s="331">
        <f>P17</f>
        <v>1</v>
      </c>
      <c r="S17" s="330">
        <f>IF(R17&lt;1,1,0)</f>
        <v>0</v>
      </c>
      <c r="T17" s="331">
        <f>P17</f>
        <v>1</v>
      </c>
      <c r="U17" s="332">
        <f>IF(T17&lt;1,1,0)</f>
        <v>0</v>
      </c>
    </row>
    <row r="18" spans="1:24" s="274" customFormat="1" ht="14.25" customHeight="1">
      <c r="A18" s="269"/>
      <c r="B18" s="319" t="s">
        <v>528</v>
      </c>
      <c r="C18" s="288"/>
      <c r="D18" s="333"/>
      <c r="E18" s="325">
        <f>D18</f>
        <v>0</v>
      </c>
      <c r="F18" s="334"/>
      <c r="G18" s="335"/>
      <c r="H18" s="334"/>
      <c r="I18" s="326">
        <f>D18</f>
        <v>0</v>
      </c>
      <c r="J18" s="333"/>
      <c r="K18" s="325"/>
      <c r="L18" s="334"/>
      <c r="M18" s="335"/>
      <c r="N18" s="334"/>
      <c r="O18" s="326">
        <f>J18</f>
        <v>0</v>
      </c>
      <c r="P18" s="333"/>
      <c r="Q18" s="325">
        <f>P18</f>
        <v>0</v>
      </c>
      <c r="R18" s="334"/>
      <c r="S18" s="335"/>
      <c r="T18" s="334"/>
      <c r="U18" s="327">
        <f>P18</f>
        <v>0</v>
      </c>
    </row>
    <row r="19" spans="1:24" s="274" customFormat="1" ht="14.25" customHeight="1">
      <c r="A19" s="269"/>
      <c r="B19" s="328" t="s">
        <v>529</v>
      </c>
      <c r="C19" s="288"/>
      <c r="D19" s="300"/>
      <c r="E19" s="321">
        <f>D19</f>
        <v>0</v>
      </c>
      <c r="F19" s="292">
        <f t="shared" ref="F19:F24" si="3">D19</f>
        <v>0</v>
      </c>
      <c r="G19" s="321">
        <f>D19</f>
        <v>0</v>
      </c>
      <c r="H19" s="334"/>
      <c r="I19" s="321"/>
      <c r="J19" s="300"/>
      <c r="K19" s="321">
        <f>J19</f>
        <v>0</v>
      </c>
      <c r="L19" s="292">
        <f t="shared" ref="L19:L24" si="4">J19</f>
        <v>0</v>
      </c>
      <c r="M19" s="321"/>
      <c r="N19" s="334"/>
      <c r="O19" s="321"/>
      <c r="P19" s="300"/>
      <c r="Q19" s="321">
        <f>P19</f>
        <v>0</v>
      </c>
      <c r="R19" s="292">
        <f t="shared" ref="R19:R24" si="5">P19</f>
        <v>0</v>
      </c>
      <c r="S19" s="321">
        <f>P19</f>
        <v>0</v>
      </c>
      <c r="T19" s="334"/>
      <c r="U19" s="323"/>
    </row>
    <row r="20" spans="1:24" s="274" customFormat="1" ht="14.25" customHeight="1">
      <c r="A20" s="269"/>
      <c r="B20" s="328" t="s">
        <v>530</v>
      </c>
      <c r="C20" s="288"/>
      <c r="D20" s="300"/>
      <c r="E20" s="321">
        <f>D20</f>
        <v>0</v>
      </c>
      <c r="F20" s="292">
        <f t="shared" si="3"/>
        <v>0</v>
      </c>
      <c r="G20" s="321">
        <f>D20</f>
        <v>0</v>
      </c>
      <c r="H20" s="334"/>
      <c r="I20" s="321"/>
      <c r="J20" s="300"/>
      <c r="K20" s="321">
        <f>J20</f>
        <v>0</v>
      </c>
      <c r="L20" s="292">
        <f t="shared" si="4"/>
        <v>0</v>
      </c>
      <c r="M20" s="321"/>
      <c r="N20" s="334"/>
      <c r="O20" s="321"/>
      <c r="P20" s="300"/>
      <c r="Q20" s="321">
        <f>P20</f>
        <v>0</v>
      </c>
      <c r="R20" s="292">
        <f t="shared" si="5"/>
        <v>0</v>
      </c>
      <c r="S20" s="321">
        <f>P20</f>
        <v>0</v>
      </c>
      <c r="T20" s="334"/>
      <c r="U20" s="323"/>
    </row>
    <row r="21" spans="1:24" s="274" customFormat="1" ht="14.25" customHeight="1">
      <c r="A21" s="269"/>
      <c r="B21" s="328" t="s">
        <v>531</v>
      </c>
      <c r="C21" s="288"/>
      <c r="D21" s="320">
        <v>1.68</v>
      </c>
      <c r="E21" s="336"/>
      <c r="F21" s="337">
        <f>D21</f>
        <v>1.68</v>
      </c>
      <c r="G21" s="336"/>
      <c r="H21" s="338"/>
      <c r="I21" s="336"/>
      <c r="J21" s="320">
        <v>13</v>
      </c>
      <c r="K21" s="336"/>
      <c r="L21" s="337">
        <f>J21</f>
        <v>13</v>
      </c>
      <c r="M21" s="336"/>
      <c r="N21" s="338"/>
      <c r="O21" s="336"/>
      <c r="P21" s="320">
        <v>16.2</v>
      </c>
      <c r="Q21" s="336"/>
      <c r="R21" s="337">
        <f>P21</f>
        <v>16.2</v>
      </c>
      <c r="S21" s="336"/>
      <c r="T21" s="338"/>
      <c r="U21" s="323"/>
    </row>
    <row r="22" spans="1:24" s="274" customFormat="1" ht="14.25" customHeight="1">
      <c r="A22" s="269"/>
      <c r="B22" s="339" t="s">
        <v>532</v>
      </c>
      <c r="C22" s="288"/>
      <c r="D22" s="340">
        <f>D21*6</f>
        <v>10.08</v>
      </c>
      <c r="E22" s="321">
        <f>D22</f>
        <v>10.08</v>
      </c>
      <c r="F22" s="292">
        <f t="shared" si="3"/>
        <v>10.08</v>
      </c>
      <c r="G22" s="321">
        <f>D22</f>
        <v>10.08</v>
      </c>
      <c r="H22" s="334"/>
      <c r="I22" s="321"/>
      <c r="J22" s="340">
        <f>J21*6</f>
        <v>78</v>
      </c>
      <c r="K22" s="321">
        <f t="shared" ref="K22:K29" si="6">J22</f>
        <v>78</v>
      </c>
      <c r="L22" s="292">
        <f t="shared" si="4"/>
        <v>78</v>
      </c>
      <c r="M22" s="321">
        <f t="shared" ref="M22:M29" si="7">J22</f>
        <v>78</v>
      </c>
      <c r="N22" s="334"/>
      <c r="O22" s="321"/>
      <c r="P22" s="340">
        <f>P21*6</f>
        <v>97.199999999999989</v>
      </c>
      <c r="Q22" s="321">
        <f>P22</f>
        <v>97.199999999999989</v>
      </c>
      <c r="R22" s="292">
        <f t="shared" si="5"/>
        <v>97.199999999999989</v>
      </c>
      <c r="S22" s="321">
        <f>P22</f>
        <v>97.199999999999989</v>
      </c>
      <c r="T22" s="334"/>
      <c r="U22" s="323"/>
    </row>
    <row r="23" spans="1:24" s="274" customFormat="1" ht="14.25" customHeight="1">
      <c r="A23" s="269"/>
      <c r="B23" s="328" t="s">
        <v>533</v>
      </c>
      <c r="C23" s="288"/>
      <c r="D23" s="300">
        <v>11</v>
      </c>
      <c r="E23" s="321">
        <f>D23</f>
        <v>11</v>
      </c>
      <c r="F23" s="292">
        <f t="shared" si="3"/>
        <v>11</v>
      </c>
      <c r="G23" s="321">
        <f>D23</f>
        <v>11</v>
      </c>
      <c r="H23" s="334"/>
      <c r="I23" s="321"/>
      <c r="J23" s="300">
        <v>14.2</v>
      </c>
      <c r="K23" s="321">
        <f t="shared" si="6"/>
        <v>14.2</v>
      </c>
      <c r="L23" s="292">
        <f t="shared" si="4"/>
        <v>14.2</v>
      </c>
      <c r="M23" s="321">
        <f t="shared" si="7"/>
        <v>14.2</v>
      </c>
      <c r="N23" s="334"/>
      <c r="O23" s="321"/>
      <c r="P23" s="300">
        <v>14.2</v>
      </c>
      <c r="Q23" s="321">
        <f>P23</f>
        <v>14.2</v>
      </c>
      <c r="R23" s="292">
        <f t="shared" si="5"/>
        <v>14.2</v>
      </c>
      <c r="S23" s="321">
        <f>P23</f>
        <v>14.2</v>
      </c>
      <c r="T23" s="334"/>
      <c r="U23" s="323"/>
      <c r="X23" s="311"/>
    </row>
    <row r="24" spans="1:24" s="274" customFormat="1" ht="14.25" customHeight="1">
      <c r="A24" s="269"/>
      <c r="B24" s="339" t="s">
        <v>534</v>
      </c>
      <c r="C24" s="288"/>
      <c r="D24" s="300">
        <v>8</v>
      </c>
      <c r="E24" s="321">
        <f>D24</f>
        <v>8</v>
      </c>
      <c r="F24" s="292">
        <f t="shared" si="3"/>
        <v>8</v>
      </c>
      <c r="G24" s="321">
        <f>D24</f>
        <v>8</v>
      </c>
      <c r="H24" s="292">
        <f>D24</f>
        <v>8</v>
      </c>
      <c r="I24" s="321">
        <f>D24</f>
        <v>8</v>
      </c>
      <c r="J24" s="300">
        <v>8</v>
      </c>
      <c r="K24" s="321">
        <f t="shared" si="6"/>
        <v>8</v>
      </c>
      <c r="L24" s="292">
        <f t="shared" si="4"/>
        <v>8</v>
      </c>
      <c r="M24" s="321">
        <f t="shared" si="7"/>
        <v>8</v>
      </c>
      <c r="N24" s="292">
        <f>J24</f>
        <v>8</v>
      </c>
      <c r="O24" s="321">
        <f>J24</f>
        <v>8</v>
      </c>
      <c r="P24" s="300">
        <v>8</v>
      </c>
      <c r="Q24" s="321">
        <f>P24</f>
        <v>8</v>
      </c>
      <c r="R24" s="292">
        <f t="shared" si="5"/>
        <v>8</v>
      </c>
      <c r="S24" s="321">
        <f>P24</f>
        <v>8</v>
      </c>
      <c r="T24" s="292"/>
      <c r="U24" s="323"/>
    </row>
    <row r="25" spans="1:24" s="274" customFormat="1" ht="14.25" customHeight="1">
      <c r="A25" s="269"/>
      <c r="B25" s="319" t="s">
        <v>535</v>
      </c>
      <c r="C25" s="288"/>
      <c r="D25" s="300">
        <v>80</v>
      </c>
      <c r="E25" s="321">
        <f>D25</f>
        <v>80</v>
      </c>
      <c r="F25" s="292">
        <f>D25</f>
        <v>80</v>
      </c>
      <c r="G25" s="321">
        <f>D25</f>
        <v>80</v>
      </c>
      <c r="H25" s="292">
        <f>D25</f>
        <v>80</v>
      </c>
      <c r="I25" s="321">
        <f>D25</f>
        <v>80</v>
      </c>
      <c r="J25" s="300">
        <v>80</v>
      </c>
      <c r="K25" s="321">
        <f t="shared" si="6"/>
        <v>80</v>
      </c>
      <c r="L25" s="292">
        <f>J25</f>
        <v>80</v>
      </c>
      <c r="M25" s="321">
        <f t="shared" si="7"/>
        <v>80</v>
      </c>
      <c r="N25" s="292">
        <f>J25</f>
        <v>80</v>
      </c>
      <c r="O25" s="321">
        <f>J25</f>
        <v>80</v>
      </c>
      <c r="P25" s="300">
        <v>80</v>
      </c>
      <c r="Q25" s="321">
        <f>P25</f>
        <v>80</v>
      </c>
      <c r="R25" s="292">
        <f>P25</f>
        <v>80</v>
      </c>
      <c r="S25" s="321">
        <f>P25</f>
        <v>80</v>
      </c>
      <c r="T25" s="292">
        <f>P25</f>
        <v>80</v>
      </c>
      <c r="U25" s="323">
        <f>P25</f>
        <v>80</v>
      </c>
    </row>
    <row r="26" spans="1:24" s="274" customFormat="1" ht="14.25" customHeight="1">
      <c r="A26" s="269"/>
      <c r="B26" s="319" t="s">
        <v>536</v>
      </c>
      <c r="C26" s="288"/>
      <c r="D26" s="301">
        <v>1.1299999999999999E-2</v>
      </c>
      <c r="E26" s="302"/>
      <c r="F26" s="341"/>
      <c r="G26" s="341"/>
      <c r="H26" s="341"/>
      <c r="I26" s="304"/>
      <c r="J26" s="301">
        <v>1.1299999999999999E-2</v>
      </c>
      <c r="K26" s="302">
        <f t="shared" si="6"/>
        <v>1.1299999999999999E-2</v>
      </c>
      <c r="L26" s="341">
        <f>J26</f>
        <v>1.1299999999999999E-2</v>
      </c>
      <c r="M26" s="341">
        <f t="shared" si="7"/>
        <v>1.1299999999999999E-2</v>
      </c>
      <c r="N26" s="341"/>
      <c r="O26" s="304"/>
      <c r="P26" s="301">
        <v>1.0370000000000001E-2</v>
      </c>
      <c r="Q26" s="302"/>
      <c r="R26" s="341"/>
      <c r="S26" s="341"/>
      <c r="T26" s="341"/>
      <c r="U26" s="305"/>
    </row>
    <row r="27" spans="1:24" s="274" customFormat="1" ht="14.25" customHeight="1">
      <c r="A27" s="269"/>
      <c r="B27" s="319" t="s">
        <v>537</v>
      </c>
      <c r="C27" s="288"/>
      <c r="D27" s="342">
        <v>21</v>
      </c>
      <c r="E27" s="302"/>
      <c r="F27" s="341"/>
      <c r="G27" s="341"/>
      <c r="H27" s="341"/>
      <c r="I27" s="304"/>
      <c r="J27" s="342">
        <v>21</v>
      </c>
      <c r="K27" s="302">
        <f t="shared" si="6"/>
        <v>21</v>
      </c>
      <c r="L27" s="341">
        <f>J27</f>
        <v>21</v>
      </c>
      <c r="M27" s="341">
        <f t="shared" si="7"/>
        <v>21</v>
      </c>
      <c r="N27" s="341"/>
      <c r="O27" s="304"/>
      <c r="P27" s="342">
        <v>21</v>
      </c>
      <c r="Q27" s="302"/>
      <c r="R27" s="341"/>
      <c r="S27" s="341"/>
      <c r="T27" s="341"/>
      <c r="U27" s="305"/>
    </row>
    <row r="28" spans="1:24" s="274" customFormat="1" ht="14.25" customHeight="1">
      <c r="A28" s="269"/>
      <c r="B28" s="339" t="s">
        <v>538</v>
      </c>
      <c r="C28" s="328"/>
      <c r="D28" s="343">
        <v>87</v>
      </c>
      <c r="E28" s="302">
        <f>D28</f>
        <v>87</v>
      </c>
      <c r="F28" s="341"/>
      <c r="G28" s="341">
        <f>D28</f>
        <v>87</v>
      </c>
      <c r="H28" s="341"/>
      <c r="I28" s="304">
        <f>D28</f>
        <v>87</v>
      </c>
      <c r="J28" s="343">
        <v>87</v>
      </c>
      <c r="K28" s="302">
        <f t="shared" si="6"/>
        <v>87</v>
      </c>
      <c r="L28" s="341"/>
      <c r="M28" s="341">
        <f t="shared" si="7"/>
        <v>87</v>
      </c>
      <c r="N28" s="341"/>
      <c r="O28" s="304">
        <f>J28</f>
        <v>87</v>
      </c>
      <c r="P28" s="343">
        <v>87</v>
      </c>
      <c r="Q28" s="302">
        <f>P28</f>
        <v>87</v>
      </c>
      <c r="R28" s="341"/>
      <c r="S28" s="341">
        <f>P28</f>
        <v>87</v>
      </c>
      <c r="T28" s="341"/>
      <c r="U28" s="305">
        <f>P28</f>
        <v>87</v>
      </c>
    </row>
    <row r="29" spans="1:24" s="274" customFormat="1" ht="14.25" customHeight="1" thickBot="1">
      <c r="A29" s="269"/>
      <c r="B29" s="344" t="s">
        <v>539</v>
      </c>
      <c r="C29" s="345"/>
      <c r="D29" s="346">
        <v>28.5</v>
      </c>
      <c r="E29" s="347">
        <f>D29</f>
        <v>28.5</v>
      </c>
      <c r="F29" s="348">
        <f>D29</f>
        <v>28.5</v>
      </c>
      <c r="G29" s="348">
        <f>D29</f>
        <v>28.5</v>
      </c>
      <c r="H29" s="348">
        <f>D29</f>
        <v>28.5</v>
      </c>
      <c r="I29" s="349">
        <f>D29</f>
        <v>28.5</v>
      </c>
      <c r="J29" s="346">
        <v>28.5</v>
      </c>
      <c r="K29" s="347">
        <f t="shared" si="6"/>
        <v>28.5</v>
      </c>
      <c r="L29" s="348">
        <f>J29</f>
        <v>28.5</v>
      </c>
      <c r="M29" s="348">
        <f t="shared" si="7"/>
        <v>28.5</v>
      </c>
      <c r="N29" s="348">
        <f>J29</f>
        <v>28.5</v>
      </c>
      <c r="O29" s="349">
        <f>J29</f>
        <v>28.5</v>
      </c>
      <c r="P29" s="346">
        <v>28.5</v>
      </c>
      <c r="Q29" s="347">
        <f>P29</f>
        <v>28.5</v>
      </c>
      <c r="R29" s="348">
        <f>P29</f>
        <v>28.5</v>
      </c>
      <c r="S29" s="348">
        <f>P29</f>
        <v>28.5</v>
      </c>
      <c r="T29" s="348">
        <f>P29</f>
        <v>28.5</v>
      </c>
      <c r="U29" s="350">
        <f>P29</f>
        <v>28.5</v>
      </c>
    </row>
    <row r="30" spans="1:24" s="274" customFormat="1" ht="20.25" customHeight="1" thickBot="1">
      <c r="A30" s="269"/>
      <c r="B30" s="264"/>
      <c r="C30" s="351"/>
      <c r="D30" s="352"/>
      <c r="E30" s="353"/>
      <c r="F30" s="321"/>
      <c r="G30" s="353"/>
      <c r="H30" s="321"/>
      <c r="I30" s="353"/>
      <c r="J30" s="352"/>
      <c r="K30" s="353"/>
      <c r="L30" s="321"/>
      <c r="M30" s="353"/>
      <c r="N30" s="321"/>
      <c r="O30" s="353"/>
      <c r="P30" s="352"/>
      <c r="Q30" s="353"/>
      <c r="R30" s="321"/>
      <c r="S30" s="353"/>
      <c r="T30" s="321"/>
      <c r="U30" s="354"/>
    </row>
    <row r="31" spans="1:24" s="274" customFormat="1" ht="15.75" thickBot="1">
      <c r="A31" s="269"/>
      <c r="B31" s="355"/>
      <c r="C31" s="355"/>
      <c r="D31" s="356"/>
      <c r="E31" s="357"/>
      <c r="F31" s="356"/>
      <c r="G31" s="357"/>
      <c r="H31" s="356"/>
      <c r="I31" s="357"/>
      <c r="J31" s="356"/>
      <c r="K31" s="357"/>
      <c r="L31" s="356"/>
      <c r="M31" s="357"/>
      <c r="N31" s="356"/>
      <c r="O31" s="357"/>
      <c r="P31" s="356"/>
      <c r="Q31" s="357"/>
      <c r="R31" s="356"/>
      <c r="S31" s="357"/>
      <c r="T31" s="356"/>
      <c r="U31" s="358"/>
    </row>
    <row r="32" spans="1:24" s="274" customFormat="1" ht="14.25" customHeight="1">
      <c r="A32" s="269"/>
      <c r="B32" s="1061"/>
      <c r="C32" s="275"/>
      <c r="D32" s="359"/>
      <c r="E32" s="360"/>
      <c r="F32" s="359">
        <f>(((F8-1000)*((2.3*F35)-59.5)/2500)+((6.833*F35)-178))</f>
        <v>-225.6</v>
      </c>
      <c r="G32" s="360" t="e">
        <f>(3*F36-3*F45)/F37</f>
        <v>#DIV/0!</v>
      </c>
      <c r="H32" s="359">
        <f>(((H8-1000)*((2.3*H35)-59.5)/2500)+((6.833*H35)-178))</f>
        <v>-154.19999999999999</v>
      </c>
      <c r="I32" s="360">
        <f>(3*H36-3*H45)/H37</f>
        <v>140.25</v>
      </c>
      <c r="J32" s="359">
        <f>(((J8-1000)*((2.3*J35)-59.5)/2500)+((6.833*J35)-178))</f>
        <v>212.0462076</v>
      </c>
      <c r="K32" s="360" t="e">
        <f>(3*J36-3*J45)/J37</f>
        <v>#DIV/0!</v>
      </c>
      <c r="L32" s="359">
        <f>(((L8-1000)*((2.3*L35)-59.5)/2500)+((6.833*L35)-178))</f>
        <v>212.0462076</v>
      </c>
      <c r="M32" s="360" t="e">
        <f>(3*L36-3*L45)/L37</f>
        <v>#DIV/0!</v>
      </c>
      <c r="N32" s="359">
        <f>(((N8-1000)*((2.3*N35)-59.5)/2500)+((6.833*N35)-178))</f>
        <v>212.0462076</v>
      </c>
      <c r="O32" s="360" t="e">
        <f>(3*N36-3*N45)/N37</f>
        <v>#DIV/0!</v>
      </c>
      <c r="P32" s="359">
        <f>(((P8-1000)*((2.3*P35)-59.5)/2500)+((6.833*P35)-178))</f>
        <v>191.60717724000003</v>
      </c>
      <c r="Q32" s="360">
        <f>(3*P36-3*P45)/P37</f>
        <v>40.910767055952569</v>
      </c>
      <c r="R32" s="359">
        <f>(((R8-1000)*((2.3*R35)-59.5)/2500)+((6.833*R35)-178))</f>
        <v>191.60717724000003</v>
      </c>
      <c r="S32" s="360">
        <f>(3*R36-3*R45)/R37</f>
        <v>40.81850000000005</v>
      </c>
      <c r="T32" s="359">
        <f>(((T8-1000)*((2.3*T35)-59.5)/2500)+((6.833*T35)-178))</f>
        <v>-187.52</v>
      </c>
      <c r="U32" s="361" t="e">
        <f>(3*T36-3*T45)/T37</f>
        <v>#DIV/0!</v>
      </c>
    </row>
    <row r="33" spans="1:21" s="274" customFormat="1" ht="14.25" customHeight="1">
      <c r="A33" s="269"/>
      <c r="B33" s="1063"/>
      <c r="C33" s="288"/>
      <c r="D33" s="363"/>
      <c r="E33" s="364"/>
      <c r="F33" s="363">
        <f>(-4*F29+120)/100</f>
        <v>0.06</v>
      </c>
      <c r="G33" s="364">
        <f>(0.0533*F7)-174.5</f>
        <v>-86.555000000000007</v>
      </c>
      <c r="H33" s="363">
        <f>(-4*H29+120)/100</f>
        <v>0.06</v>
      </c>
      <c r="I33" s="364">
        <f>(0.0533*H7)-174.5</f>
        <v>-174.5</v>
      </c>
      <c r="J33" s="363">
        <f>(-4*J29+120)/100</f>
        <v>0.06</v>
      </c>
      <c r="K33" s="364">
        <f>(0.0533*J7)-174.5</f>
        <v>-11.828399999999988</v>
      </c>
      <c r="L33" s="363">
        <f>(-4*L29+120)/100</f>
        <v>0.06</v>
      </c>
      <c r="M33" s="364">
        <f>(0.0533*L7)-174.5</f>
        <v>-11.828399999999988</v>
      </c>
      <c r="N33" s="363">
        <f>(-4*N29+120)/100</f>
        <v>0.06</v>
      </c>
      <c r="O33" s="364">
        <f>(0.0533*N7)-174.5</f>
        <v>-11.828399999999988</v>
      </c>
      <c r="P33" s="363">
        <f>(-4*P29+120)/100</f>
        <v>0.06</v>
      </c>
      <c r="Q33" s="364">
        <f>(0.0533*P7)-174.5</f>
        <v>-11.828399999999988</v>
      </c>
      <c r="R33" s="363">
        <f>(-4*R29+120)/100</f>
        <v>0.06</v>
      </c>
      <c r="S33" s="364">
        <f>(0.0533*R7)-174.5</f>
        <v>-11.828399999999988</v>
      </c>
      <c r="T33" s="363">
        <f>(-4*T29+120)/100</f>
        <v>0.06</v>
      </c>
      <c r="U33" s="365">
        <f>(0.0533*T7)-174.5</f>
        <v>-11.828399999999988</v>
      </c>
    </row>
    <row r="34" spans="1:21" s="274" customFormat="1" ht="14.25" customHeight="1">
      <c r="A34" s="269"/>
      <c r="B34" s="1065"/>
      <c r="C34" s="288"/>
      <c r="D34" s="366"/>
      <c r="E34" s="367"/>
      <c r="F34" s="366">
        <f>F32+F32*F33</f>
        <v>-239.136</v>
      </c>
      <c r="G34" s="367">
        <f>(-0.00125*F7)+15.25</f>
        <v>13.1875</v>
      </c>
      <c r="H34" s="366">
        <f>H32+H32*H33</f>
        <v>-163.452</v>
      </c>
      <c r="I34" s="367">
        <f>(-0.00125*H7)+15.25</f>
        <v>15.25</v>
      </c>
      <c r="J34" s="366">
        <f>J32+J32*J33</f>
        <v>224.768980056</v>
      </c>
      <c r="K34" s="367">
        <f>(-0.00125*J7)+15.25</f>
        <v>11.435</v>
      </c>
      <c r="L34" s="366">
        <f>L32+L32*L33</f>
        <v>224.768980056</v>
      </c>
      <c r="M34" s="367">
        <f>(-0.00125*L7)+15.25</f>
        <v>11.435</v>
      </c>
      <c r="N34" s="366">
        <f>N32+N32*N33</f>
        <v>224.768980056</v>
      </c>
      <c r="O34" s="367">
        <f>(-0.00125*N7)+15.25</f>
        <v>11.435</v>
      </c>
      <c r="P34" s="366">
        <f>P32+P32*P33</f>
        <v>203.10360787440004</v>
      </c>
      <c r="Q34" s="367">
        <f>(-0.00125*P7)+15.25</f>
        <v>11.435</v>
      </c>
      <c r="R34" s="366">
        <f>R32+R32*R33</f>
        <v>203.10360787440004</v>
      </c>
      <c r="S34" s="367">
        <f>(-0.00125*R7)+15.25</f>
        <v>11.435</v>
      </c>
      <c r="T34" s="366">
        <f>T32+T32*T33</f>
        <v>-198.77120000000002</v>
      </c>
      <c r="U34" s="368">
        <f>(-0.00125*T7)+15.25</f>
        <v>11.435</v>
      </c>
    </row>
    <row r="35" spans="1:21" s="274" customFormat="1" ht="14.25" customHeight="1">
      <c r="A35" s="269"/>
      <c r="B35" s="1067"/>
      <c r="C35" s="288"/>
      <c r="D35" s="369"/>
      <c r="E35" s="325"/>
      <c r="F35" s="369">
        <f>D35</f>
        <v>0</v>
      </c>
      <c r="G35" s="325"/>
      <c r="H35" s="369">
        <f>D35</f>
        <v>0</v>
      </c>
      <c r="I35" s="325"/>
      <c r="J35" s="369">
        <f>J27+(J26*J7)</f>
        <v>55.4876</v>
      </c>
      <c r="K35" s="325"/>
      <c r="L35" s="369">
        <f>J35</f>
        <v>55.4876</v>
      </c>
      <c r="M35" s="325"/>
      <c r="N35" s="369">
        <f>J35</f>
        <v>55.4876</v>
      </c>
      <c r="O35" s="325"/>
      <c r="P35" s="369">
        <f>P27+(P26*P7)</f>
        <v>52.649240000000006</v>
      </c>
      <c r="Q35" s="325"/>
      <c r="R35" s="369">
        <f>P35</f>
        <v>52.649240000000006</v>
      </c>
      <c r="S35" s="325"/>
      <c r="T35" s="369"/>
      <c r="U35" s="370"/>
    </row>
    <row r="36" spans="1:21" s="274" customFormat="1" ht="14.25" customHeight="1">
      <c r="A36" s="269"/>
      <c r="B36" s="1067"/>
      <c r="C36" s="371"/>
      <c r="D36" s="366"/>
      <c r="E36" s="290"/>
      <c r="F36" s="366">
        <f>(F4+F5)*(F34+F9+F10+F11)</f>
        <v>-1371.5519999999999</v>
      </c>
      <c r="G36" s="290"/>
      <c r="H36" s="366">
        <f>(H4+H5)*(H34+H9+H10+H11)</f>
        <v>653.33124999999995</v>
      </c>
      <c r="I36" s="290"/>
      <c r="J36" s="366">
        <f>(J4+J5)*(J34+J9+J10+J11)</f>
        <v>4090.7954370192001</v>
      </c>
      <c r="K36" s="290"/>
      <c r="L36" s="366">
        <f>(L4+L5)*(L34+L9+L10+L11)</f>
        <v>4090.7954370192001</v>
      </c>
      <c r="M36" s="290"/>
      <c r="N36" s="366">
        <f>(N4+N5)*(N34+N9+N10+N11)</f>
        <v>0</v>
      </c>
      <c r="O36" s="290"/>
      <c r="P36" s="366">
        <f>(P4+P5)*(P34+P9+P10+P11)</f>
        <v>6208.4482908744803</v>
      </c>
      <c r="Q36" s="290"/>
      <c r="R36" s="366">
        <f>(R4+R5)*(R34+R9+R10+R11)</f>
        <v>6208.4482908744803</v>
      </c>
      <c r="S36" s="290"/>
      <c r="T36" s="366"/>
      <c r="U36" s="372"/>
    </row>
    <row r="37" spans="1:21" s="274" customFormat="1" ht="14.25" customHeight="1">
      <c r="A37" s="269"/>
      <c r="B37" s="1069"/>
      <c r="C37" s="373"/>
      <c r="D37" s="374"/>
      <c r="E37" s="325"/>
      <c r="F37" s="374" t="e">
        <f>F12*G49</f>
        <v>#DIV/0!</v>
      </c>
      <c r="G37" s="325"/>
      <c r="H37" s="374">
        <f>H12*I49</f>
        <v>13.975</v>
      </c>
      <c r="I37" s="325"/>
      <c r="J37" s="374">
        <f>J12*K49</f>
        <v>0</v>
      </c>
      <c r="K37" s="325"/>
      <c r="L37" s="374">
        <f>L12*M49</f>
        <v>0</v>
      </c>
      <c r="M37" s="325"/>
      <c r="N37" s="374">
        <f>N12*O49</f>
        <v>0</v>
      </c>
      <c r="O37" s="325"/>
      <c r="P37" s="374">
        <f>P12*Q49</f>
        <v>29.944548999999999</v>
      </c>
      <c r="Q37" s="325"/>
      <c r="R37" s="374">
        <f>R12*S49</f>
        <v>30.012236332411916</v>
      </c>
      <c r="S37" s="325"/>
      <c r="T37" s="374"/>
      <c r="U37" s="370"/>
    </row>
    <row r="38" spans="1:21" s="274" customFormat="1" ht="14.25" customHeight="1">
      <c r="A38" s="269"/>
      <c r="B38" s="1071"/>
      <c r="C38" s="371"/>
      <c r="D38" s="366"/>
      <c r="E38" s="325"/>
      <c r="F38" s="366" t="e">
        <f>(F37*G38)*F17</f>
        <v>#DIV/0!</v>
      </c>
      <c r="G38" s="325">
        <f>(F29-26)*(-0.00125*F7+15.25)/3-0.01775*F7+58.25</f>
        <v>39.952083333333334</v>
      </c>
      <c r="H38" s="366">
        <f>(H37*I38)*H17</f>
        <v>0</v>
      </c>
      <c r="I38" s="325">
        <f>(H29-26)*(-0.00125*H7+15.25)/3-0.01775*H7+58.25</f>
        <v>70.958333333333329</v>
      </c>
      <c r="J38" s="366">
        <f>(J37*K38)*J17</f>
        <v>0</v>
      </c>
      <c r="K38" s="325">
        <f>(J29-26)*(-0.00125*J7+15.25)/3-0.01775*J7+58.25</f>
        <v>13.606166666666674</v>
      </c>
      <c r="L38" s="366">
        <f>(L37*M38)*L17</f>
        <v>0</v>
      </c>
      <c r="M38" s="325">
        <f>(L29-26)*(-0.00125*L7+15.25)/3-0.01775*L7+58.25</f>
        <v>13.606166666666674</v>
      </c>
      <c r="N38" s="366">
        <f>(N37*O38)*N17</f>
        <v>0</v>
      </c>
      <c r="O38" s="325">
        <f>(N29-26)*(-0.00125*N7+15.25)/3-0.01775*N7+58.25</f>
        <v>13.606166666666674</v>
      </c>
      <c r="P38" s="366">
        <f>(P37*Q38)*P17</f>
        <v>407.43052445216688</v>
      </c>
      <c r="Q38" s="325">
        <f>(P29-26)*(-0.00125*P7+15.25)/3-0.01775*P7+58.25</f>
        <v>13.606166666666674</v>
      </c>
      <c r="R38" s="366">
        <f>(R37*S38)*R17</f>
        <v>408.35148957818546</v>
      </c>
      <c r="S38" s="325">
        <f>(R29-26)*(-0.00125*R7+15.25)/3-0.01775*R7+58.25</f>
        <v>13.606166666666674</v>
      </c>
      <c r="T38" s="366"/>
      <c r="U38" s="370"/>
    </row>
    <row r="39" spans="1:21" s="274" customFormat="1" ht="14.25" customHeight="1">
      <c r="A39" s="269"/>
      <c r="B39" s="375"/>
      <c r="C39" s="371"/>
      <c r="D39" s="376"/>
      <c r="E39" s="367"/>
      <c r="F39" s="376" t="e">
        <f>F37*G39*G17</f>
        <v>#DIV/0!</v>
      </c>
      <c r="G39" s="367">
        <f>(F29-26)*(-0.0026*F7+20.1)/3-0.015*F7+30</f>
        <v>18.425000000000004</v>
      </c>
      <c r="H39" s="376">
        <f>H37*I39*I17</f>
        <v>653.33124999999995</v>
      </c>
      <c r="I39" s="367">
        <f>(H29-26)*(-0.0026*H7+20.1)/3-0.015*H7+30</f>
        <v>46.75</v>
      </c>
      <c r="J39" s="376">
        <f>J37*K39*K17</f>
        <v>0</v>
      </c>
      <c r="K39" s="367">
        <f>(J29-26)*(-0.0026*J7+20.1)/3-0.015*J7+30</f>
        <v>-5.6426666666666705</v>
      </c>
      <c r="L39" s="376">
        <f>L37*M39*M17</f>
        <v>0</v>
      </c>
      <c r="M39" s="367">
        <f>(L29-26)*(-0.0026*L7+20.1)/3-0.015*L7+30</f>
        <v>-5.6426666666666705</v>
      </c>
      <c r="N39" s="376">
        <f>N37*O39*O17</f>
        <v>0</v>
      </c>
      <c r="O39" s="367">
        <f>(N29-26)*(-0.0026*N7+20.1)/3-0.015*N7+30</f>
        <v>-5.6426666666666705</v>
      </c>
      <c r="P39" s="376">
        <f>P37*Q39*Q17</f>
        <v>0</v>
      </c>
      <c r="Q39" s="367">
        <f>(P29-26)*(-0.0026*P7+20.1)/3-0.015*P7+30</f>
        <v>-5.6426666666666705</v>
      </c>
      <c r="R39" s="376">
        <f>R37*S39*S17</f>
        <v>0</v>
      </c>
      <c r="S39" s="367">
        <f>(R29-26)*(-0.0026*R7+20.1)/3-0.015*R7+30</f>
        <v>-5.6426666666666705</v>
      </c>
      <c r="T39" s="376"/>
      <c r="U39" s="368"/>
    </row>
    <row r="40" spans="1:21" s="274" customFormat="1" ht="14.25" customHeight="1">
      <c r="A40" s="269"/>
      <c r="B40" s="362" t="s">
        <v>548</v>
      </c>
      <c r="C40" s="276">
        <f>SUM(D40,J40,P40)</f>
        <v>0.83043981481481466</v>
      </c>
      <c r="D40" s="359">
        <f>D15*(D4+D5)*E40</f>
        <v>0.20254629629629628</v>
      </c>
      <c r="E40" s="377">
        <f>1000*1000/(24*24*3600)</f>
        <v>0.48225308641975306</v>
      </c>
      <c r="F40" s="359">
        <f>F15*(F4+F5)*G40</f>
        <v>0.20254629629629628</v>
      </c>
      <c r="G40" s="377">
        <f>1000*1000/(24*24*3600)</f>
        <v>0.48225308641975306</v>
      </c>
      <c r="H40" s="359">
        <f>H15*(H4+H5)*I40</f>
        <v>-0.15720537459683429</v>
      </c>
      <c r="I40" s="377">
        <f>1000*1000/(24*24*3600)</f>
        <v>0.48225308641975306</v>
      </c>
      <c r="J40" s="359">
        <f>J15*(J4+J5)*K40</f>
        <v>0</v>
      </c>
      <c r="K40" s="377">
        <f>1000*1000/(24*24*3600)</f>
        <v>0.48225308641975306</v>
      </c>
      <c r="L40" s="359">
        <f>L15*(L4+L5)*M40</f>
        <v>0</v>
      </c>
      <c r="M40" s="377">
        <f>1000*1000/(24*24*3600)</f>
        <v>0.48225308641975306</v>
      </c>
      <c r="N40" s="359">
        <f>N15*(N4+N5)*O40</f>
        <v>0</v>
      </c>
      <c r="O40" s="377">
        <f>1000*1000/(24*24*3600)</f>
        <v>0.48225308641975306</v>
      </c>
      <c r="P40" s="359">
        <f>P15*(P4+P5)*Q40</f>
        <v>0.62789351851851838</v>
      </c>
      <c r="Q40" s="377">
        <f>1000*1000/(24*24*3600)</f>
        <v>0.48225308641975306</v>
      </c>
      <c r="R40" s="359">
        <f>R15*(R4+R5)*S40</f>
        <v>0.62789351851851838</v>
      </c>
      <c r="S40" s="377">
        <f>1000*1000/(24*24*3600)</f>
        <v>0.48225308641975306</v>
      </c>
      <c r="T40" s="359">
        <f>T15*(T4+T5)*U40</f>
        <v>0</v>
      </c>
      <c r="U40" s="378">
        <f>1000*1000/(24*24*3600)</f>
        <v>0.48225308641975306</v>
      </c>
    </row>
    <row r="41" spans="1:21" s="274" customFormat="1" ht="14.25" customHeight="1">
      <c r="A41" s="269"/>
      <c r="B41" s="362" t="s">
        <v>549</v>
      </c>
      <c r="C41" s="276"/>
      <c r="D41" s="359">
        <f>D40+D19+D22</f>
        <v>10.282546296296296</v>
      </c>
      <c r="E41" s="377"/>
      <c r="F41" s="359"/>
      <c r="G41" s="377"/>
      <c r="H41" s="359"/>
      <c r="I41" s="377"/>
      <c r="J41" s="359">
        <f>J40+J19+J22</f>
        <v>78</v>
      </c>
      <c r="K41" s="377"/>
      <c r="L41" s="359"/>
      <c r="M41" s="377"/>
      <c r="N41" s="359"/>
      <c r="O41" s="377"/>
      <c r="P41" s="359">
        <f>P40+P19+P22</f>
        <v>97.827893518518508</v>
      </c>
      <c r="Q41" s="377"/>
      <c r="R41" s="359"/>
      <c r="S41" s="377"/>
      <c r="T41" s="359"/>
      <c r="U41" s="378"/>
    </row>
    <row r="42" spans="1:21" s="274" customFormat="1" ht="14.25" customHeight="1">
      <c r="A42" s="269"/>
      <c r="B42" s="379" t="s">
        <v>550</v>
      </c>
      <c r="C42" s="380"/>
      <c r="D42" s="381">
        <f>D40*4.187*D24*D16</f>
        <v>0</v>
      </c>
      <c r="E42" s="382">
        <f>E40*4.187*D24*E16</f>
        <v>0</v>
      </c>
      <c r="F42" s="381">
        <f>F40*4.187*F24*F16</f>
        <v>0</v>
      </c>
      <c r="G42" s="382">
        <f>G40*4.187*F24*G16</f>
        <v>0</v>
      </c>
      <c r="H42" s="381">
        <f>H40*4.187*H24*H16</f>
        <v>0</v>
      </c>
      <c r="I42" s="382">
        <f>I40*4.187*H24*I16</f>
        <v>0</v>
      </c>
      <c r="J42" s="381">
        <f>J40*4.187*J24*J16</f>
        <v>0</v>
      </c>
      <c r="K42" s="382">
        <f>K40*4.187*J24*K16</f>
        <v>0</v>
      </c>
      <c r="L42" s="381">
        <f>L40*4.187*L24*L16</f>
        <v>0</v>
      </c>
      <c r="M42" s="382">
        <f>M40*4.187*L24*M16</f>
        <v>0</v>
      </c>
      <c r="N42" s="381">
        <f>N40*4.187*N24*N16</f>
        <v>0</v>
      </c>
      <c r="O42" s="382">
        <f>O40*4.187*N24*O16</f>
        <v>0</v>
      </c>
      <c r="P42" s="381">
        <f>P40*4.187*P24*P16</f>
        <v>21.031921296296293</v>
      </c>
      <c r="Q42" s="382">
        <f>Q40*4.187*P24*Q16</f>
        <v>16.153549382716051</v>
      </c>
      <c r="R42" s="381">
        <f>R40*4.187*R24*R16</f>
        <v>21.031921296296293</v>
      </c>
      <c r="S42" s="382">
        <f>S40*4.187*R24*S16</f>
        <v>16.153549382716051</v>
      </c>
      <c r="T42" s="381">
        <f>T40*4.187*T24*T16</f>
        <v>0</v>
      </c>
      <c r="U42" s="383">
        <f>U40*4.187*T24*U16</f>
        <v>0</v>
      </c>
    </row>
    <row r="43" spans="1:21" s="274" customFormat="1" ht="14.25" customHeight="1">
      <c r="A43" s="269"/>
      <c r="B43" s="379" t="s">
        <v>551</v>
      </c>
      <c r="C43" s="380"/>
      <c r="D43" s="381">
        <f>D19*4.187*D20</f>
        <v>0</v>
      </c>
      <c r="E43" s="384">
        <f>0.045*D7-90</f>
        <v>-15.75</v>
      </c>
      <c r="F43" s="381">
        <f>F19*4.187*F20</f>
        <v>0</v>
      </c>
      <c r="G43" s="384">
        <f>0.045*F7-90</f>
        <v>-15.75</v>
      </c>
      <c r="H43" s="381">
        <f>H19*4.187*H20</f>
        <v>0</v>
      </c>
      <c r="I43" s="384">
        <f>0.045*H7-90</f>
        <v>-90</v>
      </c>
      <c r="J43" s="381">
        <f>J19*4.187*J20</f>
        <v>0</v>
      </c>
      <c r="K43" s="384">
        <f>0.045*J7-90</f>
        <v>47.34</v>
      </c>
      <c r="L43" s="381">
        <f>L19*4.187*L20</f>
        <v>0</v>
      </c>
      <c r="M43" s="384">
        <f>0.045*L7-90</f>
        <v>47.34</v>
      </c>
      <c r="N43" s="381">
        <f>N19*4.187*N20</f>
        <v>0</v>
      </c>
      <c r="O43" s="384">
        <f>0.045*N7-90</f>
        <v>47.34</v>
      </c>
      <c r="P43" s="381">
        <f>P19*4.187*P20</f>
        <v>0</v>
      </c>
      <c r="Q43" s="384">
        <f>0.045*P7-90</f>
        <v>47.34</v>
      </c>
      <c r="R43" s="381">
        <f>R19*4.187*R20</f>
        <v>0</v>
      </c>
      <c r="S43" s="384">
        <f>0.045*R7-90</f>
        <v>47.34</v>
      </c>
      <c r="T43" s="381">
        <f>T19*4.187*T20</f>
        <v>0</v>
      </c>
      <c r="U43" s="385">
        <f>0.045*T7-90</f>
        <v>47.34</v>
      </c>
    </row>
    <row r="44" spans="1:21" s="274" customFormat="1" ht="14.25" customHeight="1">
      <c r="A44" s="269"/>
      <c r="B44" s="379" t="s">
        <v>552</v>
      </c>
      <c r="C44" s="380"/>
      <c r="D44" s="381">
        <f>D22*4.187*D23</f>
        <v>464.25455999999997</v>
      </c>
      <c r="E44" s="384">
        <f>-0.0026*D7+20.1</f>
        <v>15.810000000000002</v>
      </c>
      <c r="F44" s="381">
        <f>F22*4.187*F23</f>
        <v>464.25455999999997</v>
      </c>
      <c r="G44" s="384">
        <f>-0.0026*F7+20.1</f>
        <v>15.810000000000002</v>
      </c>
      <c r="H44" s="381">
        <f>H22*4.187*H23</f>
        <v>0</v>
      </c>
      <c r="I44" s="384">
        <f>-0.0026*H7+20.1</f>
        <v>20.100000000000001</v>
      </c>
      <c r="J44" s="381">
        <f>J22*4.187*J23</f>
        <v>4637.5212000000001</v>
      </c>
      <c r="K44" s="384">
        <f>-0.0026*J7+20.1</f>
        <v>12.164800000000001</v>
      </c>
      <c r="L44" s="381">
        <f>L22*4.187*L23</f>
        <v>4637.5212000000001</v>
      </c>
      <c r="M44" s="384">
        <f>-0.0026*L7+20.1</f>
        <v>12.164800000000001</v>
      </c>
      <c r="N44" s="381">
        <f>N22*4.187*N23</f>
        <v>0</v>
      </c>
      <c r="O44" s="384">
        <f>-0.0026*N7+20.1</f>
        <v>12.164800000000001</v>
      </c>
      <c r="P44" s="381">
        <f>P22*4.187*P23</f>
        <v>5779.064879999999</v>
      </c>
      <c r="Q44" s="384">
        <f>-0.0026*P7+20.1</f>
        <v>12.164800000000001</v>
      </c>
      <c r="R44" s="381">
        <f>R22*4.187*R23</f>
        <v>5779.064879999999</v>
      </c>
      <c r="S44" s="384">
        <f>-0.0026*R7+20.1</f>
        <v>12.164800000000001</v>
      </c>
      <c r="T44" s="381">
        <f>T22*4.187*T23</f>
        <v>0</v>
      </c>
      <c r="U44" s="385">
        <f>-0.0026*T7+20.1</f>
        <v>12.164800000000001</v>
      </c>
    </row>
    <row r="45" spans="1:21" s="274" customFormat="1" ht="14.25" customHeight="1">
      <c r="A45" s="269"/>
      <c r="B45" s="386" t="s">
        <v>553</v>
      </c>
      <c r="C45" s="387">
        <f>SUM(D45,J45,P45)</f>
        <v>10901.872561296295</v>
      </c>
      <c r="D45" s="366">
        <f>D42+D43+D44</f>
        <v>464.25455999999997</v>
      </c>
      <c r="E45" s="325"/>
      <c r="F45" s="366">
        <f>F42+F43+F44</f>
        <v>464.25455999999997</v>
      </c>
      <c r="G45" s="325"/>
      <c r="H45" s="366">
        <f>H42+H43+H44</f>
        <v>0</v>
      </c>
      <c r="I45" s="325"/>
      <c r="J45" s="366">
        <f>J42+J43+J44</f>
        <v>4637.5212000000001</v>
      </c>
      <c r="K45" s="325"/>
      <c r="L45" s="366">
        <f>L42+L43+L44</f>
        <v>4637.5212000000001</v>
      </c>
      <c r="M45" s="325"/>
      <c r="N45" s="366">
        <f>N42+N43+N44</f>
        <v>0</v>
      </c>
      <c r="O45" s="325"/>
      <c r="P45" s="366">
        <f>P42+P43+P44</f>
        <v>5800.0968012962949</v>
      </c>
      <c r="Q45" s="325"/>
      <c r="R45" s="366">
        <f>R42+R43+R44</f>
        <v>5800.0968012962949</v>
      </c>
      <c r="S45" s="325"/>
      <c r="T45" s="366">
        <f>T42+T43+T44</f>
        <v>0</v>
      </c>
      <c r="U45" s="370"/>
    </row>
    <row r="46" spans="1:21" s="274" customFormat="1" ht="14.25" customHeight="1">
      <c r="A46" s="269"/>
      <c r="B46" s="362" t="s">
        <v>554</v>
      </c>
      <c r="C46" s="276">
        <f>SUM(D46,J46,P46)</f>
        <v>186.11043981481481</v>
      </c>
      <c r="D46" s="369">
        <f>D40+D19+D22</f>
        <v>10.282546296296296</v>
      </c>
      <c r="E46" s="325"/>
      <c r="F46" s="369">
        <f>F40+F19+F22</f>
        <v>10.282546296296296</v>
      </c>
      <c r="G46" s="325"/>
      <c r="H46" s="369">
        <f>H40+H19+H22</f>
        <v>-0.15720537459683429</v>
      </c>
      <c r="I46" s="325"/>
      <c r="J46" s="369">
        <f>J40+J19+J22</f>
        <v>78</v>
      </c>
      <c r="K46" s="325"/>
      <c r="L46" s="369">
        <f>L40+L19+L22</f>
        <v>78</v>
      </c>
      <c r="M46" s="325"/>
      <c r="N46" s="369">
        <f>N40+N19+N22</f>
        <v>0</v>
      </c>
      <c r="O46" s="325"/>
      <c r="P46" s="369">
        <f>P40+P19+P22</f>
        <v>97.827893518518508</v>
      </c>
      <c r="Q46" s="325"/>
      <c r="R46" s="369">
        <f>R40+R19+R22</f>
        <v>97.827893518518508</v>
      </c>
      <c r="S46" s="325"/>
      <c r="T46" s="369">
        <f>T40+T19+T22</f>
        <v>0</v>
      </c>
      <c r="U46" s="370"/>
    </row>
    <row r="47" spans="1:21" s="274" customFormat="1" ht="14.25" customHeight="1">
      <c r="A47" s="269"/>
      <c r="B47" s="388" t="s">
        <v>555</v>
      </c>
      <c r="C47" s="389">
        <f>SUM(D47,J47,P47)</f>
        <v>11309.303085748463</v>
      </c>
      <c r="D47" s="390">
        <f>D45+D38+D39</f>
        <v>464.25455999999997</v>
      </c>
      <c r="E47" s="325"/>
      <c r="F47" s="390" t="e">
        <f>F45+F38+F39</f>
        <v>#DIV/0!</v>
      </c>
      <c r="G47" s="325"/>
      <c r="H47" s="390">
        <f>H45+H38+H39</f>
        <v>653.33124999999995</v>
      </c>
      <c r="I47" s="325"/>
      <c r="J47" s="390">
        <f>J45+J38+J39</f>
        <v>4637.5212000000001</v>
      </c>
      <c r="K47" s="325"/>
      <c r="L47" s="390">
        <f>L45+L38+L39</f>
        <v>4637.5212000000001</v>
      </c>
      <c r="M47" s="325"/>
      <c r="N47" s="390">
        <f>N45+N38+N39</f>
        <v>0</v>
      </c>
      <c r="O47" s="325"/>
      <c r="P47" s="390">
        <f>P45+P38+P39</f>
        <v>6207.5273257484614</v>
      </c>
      <c r="Q47" s="325"/>
      <c r="R47" s="390">
        <f>R45+R38+R39</f>
        <v>6208.4482908744803</v>
      </c>
      <c r="S47" s="325"/>
      <c r="T47" s="390">
        <f>T45+T38+T39</f>
        <v>0</v>
      </c>
      <c r="U47" s="370"/>
    </row>
    <row r="48" spans="1:21" s="274" customFormat="1" ht="14.25" customHeight="1">
      <c r="A48" s="269"/>
      <c r="B48" s="391" t="s">
        <v>556</v>
      </c>
      <c r="C48" s="392"/>
      <c r="D48" s="393"/>
      <c r="E48" s="290"/>
      <c r="F48" s="393"/>
      <c r="G48" s="290"/>
      <c r="H48" s="393"/>
      <c r="I48" s="290"/>
      <c r="J48" s="393"/>
      <c r="K48" s="290"/>
      <c r="L48" s="393"/>
      <c r="M48" s="290"/>
      <c r="N48" s="393"/>
      <c r="O48" s="290"/>
      <c r="P48" s="393"/>
      <c r="Q48" s="290"/>
      <c r="R48" s="393"/>
      <c r="S48" s="290"/>
      <c r="T48" s="393"/>
      <c r="U48" s="372"/>
    </row>
    <row r="49" spans="1:21" s="274" customFormat="1" ht="14.25" customHeight="1">
      <c r="A49" s="269"/>
      <c r="B49" s="394" t="s">
        <v>557</v>
      </c>
      <c r="C49" s="395" t="e">
        <f>SUM(D49,J49,P49)</f>
        <v>#DIV/0!</v>
      </c>
      <c r="D49" s="396" t="e">
        <f>(D36-D45)/(E49*E38)</f>
        <v>#DIV/0!</v>
      </c>
      <c r="E49" s="397">
        <f>0.00004023*D7+1.075</f>
        <v>1.1413795</v>
      </c>
      <c r="F49" s="396">
        <f>(F36-F45)/(G49*G38)</f>
        <v>-40.25848415940856</v>
      </c>
      <c r="G49" s="397">
        <f>0.00004023*F7+1.075</f>
        <v>1.1413795</v>
      </c>
      <c r="H49" s="396">
        <f>(H36-H45)/(I49*I38)</f>
        <v>8.5648854961832068</v>
      </c>
      <c r="I49" s="397">
        <f>0.00004023*H7+1.075</f>
        <v>1.075</v>
      </c>
      <c r="J49" s="396">
        <f>(J36-J45)/(K49*K38)</f>
        <v>-33.547177381710064</v>
      </c>
      <c r="K49" s="397">
        <f>0.00004023*J7+1.075</f>
        <v>1.1977819599999999</v>
      </c>
      <c r="L49" s="396">
        <f>(L36-L45)/(M49*M38)</f>
        <v>-33.547177381710064</v>
      </c>
      <c r="M49" s="397">
        <f>0.00004023*L7+1.075</f>
        <v>1.1977819599999999</v>
      </c>
      <c r="N49" s="396">
        <f>(N36-N45)/(O49*O38)</f>
        <v>0</v>
      </c>
      <c r="O49" s="397">
        <f>0.00004023*N7+1.075</f>
        <v>1.1977819599999999</v>
      </c>
      <c r="P49" s="396">
        <f>(P36-P45)/(Q49*Q38)</f>
        <v>25.056510562583458</v>
      </c>
      <c r="Q49" s="397">
        <f>0.00004023*P7+1.075</f>
        <v>1.1977819599999999</v>
      </c>
      <c r="R49" s="396">
        <f>(R36-R45)/(S49*S38)</f>
        <v>25.056510562583458</v>
      </c>
      <c r="S49" s="397">
        <f>0.00004023*R7+1.075</f>
        <v>1.1977819599999999</v>
      </c>
      <c r="T49" s="396" t="e">
        <f>(T36-T45)/(U49*U38)</f>
        <v>#DIV/0!</v>
      </c>
      <c r="U49" s="398">
        <f>0.00004023*T7+1.075</f>
        <v>1.1977819599999999</v>
      </c>
    </row>
    <row r="50" spans="1:21" s="274" customFormat="1" ht="14.25" customHeight="1">
      <c r="A50" s="269"/>
      <c r="B50" s="399" t="s">
        <v>558</v>
      </c>
      <c r="C50" s="400"/>
      <c r="D50" s="396">
        <f>D37/(D4+D5)</f>
        <v>0</v>
      </c>
      <c r="E50" s="290"/>
      <c r="F50" s="396" t="e">
        <f>F37/(F4+F5)</f>
        <v>#DIV/0!</v>
      </c>
      <c r="G50" s="290"/>
      <c r="H50" s="396">
        <f>H37/(H4+H5)</f>
        <v>-2.5722352941176472</v>
      </c>
      <c r="I50" s="290"/>
      <c r="J50" s="396">
        <f>J37/(J4+J5)</f>
        <v>0</v>
      </c>
      <c r="K50" s="290"/>
      <c r="L50" s="396">
        <f>L37/(L4+L5)</f>
        <v>0</v>
      </c>
      <c r="M50" s="290"/>
      <c r="N50" s="396" t="e">
        <f>N37/(N4+N5)</f>
        <v>#DIV/0!</v>
      </c>
      <c r="O50" s="290"/>
      <c r="P50" s="396">
        <f>P37/(P4+P5)</f>
        <v>1.3799331336405529</v>
      </c>
      <c r="Q50" s="290"/>
      <c r="R50" s="396">
        <f>R37/(R4+R5)</f>
        <v>1.3830523655489362</v>
      </c>
      <c r="S50" s="290"/>
      <c r="T50" s="396" t="e">
        <f>T37/(T4+T5)</f>
        <v>#DIV/0!</v>
      </c>
      <c r="U50" s="372"/>
    </row>
    <row r="51" spans="1:21" s="274" customFormat="1" ht="14.25" customHeight="1" thickBot="1">
      <c r="A51" s="269"/>
      <c r="B51" s="401" t="s">
        <v>559</v>
      </c>
      <c r="C51" s="402">
        <f>SUM(D51,J51,P51)</f>
        <v>-1010.0593578547811</v>
      </c>
      <c r="D51" s="390">
        <f>D36-D47</f>
        <v>-464.25455999999997</v>
      </c>
      <c r="E51" s="290"/>
      <c r="F51" s="390" t="e">
        <f>F36-F47</f>
        <v>#DIV/0!</v>
      </c>
      <c r="G51" s="290"/>
      <c r="H51" s="390">
        <f>H36-H47</f>
        <v>0</v>
      </c>
      <c r="I51" s="290"/>
      <c r="J51" s="390">
        <f>J36-J47</f>
        <v>-546.72576298080003</v>
      </c>
      <c r="K51" s="290"/>
      <c r="L51" s="390">
        <f>L36-L47</f>
        <v>-546.72576298080003</v>
      </c>
      <c r="M51" s="290"/>
      <c r="N51" s="390">
        <f>N36-N47</f>
        <v>0</v>
      </c>
      <c r="O51" s="290"/>
      <c r="P51" s="390">
        <f>P36-P47</f>
        <v>0.92096512601892755</v>
      </c>
      <c r="Q51" s="290"/>
      <c r="R51" s="390">
        <f>R36-R47</f>
        <v>0</v>
      </c>
      <c r="S51" s="290"/>
      <c r="T51" s="390">
        <f>T36-T47</f>
        <v>0</v>
      </c>
      <c r="U51" s="372"/>
    </row>
    <row r="52" spans="1:21" s="409" customFormat="1" ht="16.5" thickBot="1">
      <c r="A52" s="403"/>
      <c r="B52" s="404" t="s">
        <v>560</v>
      </c>
      <c r="C52" s="405"/>
      <c r="D52" s="406" t="e">
        <f>(E32+E33)/E34+26</f>
        <v>#DIV/0!</v>
      </c>
      <c r="E52" s="407"/>
      <c r="F52" s="406" t="e">
        <f>(G32+G33)/G34+26</f>
        <v>#DIV/0!</v>
      </c>
      <c r="G52" s="407"/>
      <c r="H52" s="406">
        <f>(I32+I33)/I34+26</f>
        <v>23.754098360655739</v>
      </c>
      <c r="I52" s="407"/>
      <c r="J52" s="406" t="e">
        <f>(K32+K33)/K34+26</f>
        <v>#DIV/0!</v>
      </c>
      <c r="K52" s="407"/>
      <c r="L52" s="406" t="e">
        <f>(M32+M33)/M34+26</f>
        <v>#DIV/0!</v>
      </c>
      <c r="M52" s="407"/>
      <c r="N52" s="406" t="e">
        <f>(O32+O33)/O34+26</f>
        <v>#DIV/0!</v>
      </c>
      <c r="O52" s="407"/>
      <c r="P52" s="406">
        <f>(Q32+Q33)/Q34+26</f>
        <v>28.543276524350905</v>
      </c>
      <c r="Q52" s="407"/>
      <c r="R52" s="406">
        <f>(S32+S33)/S34+26</f>
        <v>28.53520769567119</v>
      </c>
      <c r="S52" s="407"/>
      <c r="T52" s="406" t="e">
        <f>(U32+U33)/U34+26</f>
        <v>#DIV/0!</v>
      </c>
      <c r="U52" s="408"/>
    </row>
    <row r="53" spans="1:21" s="418" customFormat="1" ht="15.75" thickBot="1">
      <c r="A53" s="410"/>
      <c r="B53" s="411" t="s">
        <v>561</v>
      </c>
      <c r="C53" s="412"/>
      <c r="D53" s="413"/>
      <c r="E53" s="414"/>
      <c r="F53" s="415"/>
      <c r="G53" s="415"/>
      <c r="H53" s="415"/>
      <c r="I53" s="416"/>
      <c r="J53" s="413"/>
      <c r="K53" s="414"/>
      <c r="L53" s="415"/>
      <c r="M53" s="415"/>
      <c r="N53" s="415"/>
      <c r="O53" s="416"/>
      <c r="P53" s="413"/>
      <c r="Q53" s="414"/>
      <c r="R53" s="415"/>
      <c r="S53" s="415"/>
      <c r="T53" s="415"/>
      <c r="U53" s="417"/>
    </row>
    <row r="54" spans="1:21" s="409" customFormat="1" ht="16.5" thickBot="1">
      <c r="A54" s="403"/>
      <c r="B54" s="404" t="s">
        <v>562</v>
      </c>
      <c r="C54" s="419"/>
      <c r="D54" s="406">
        <f>(E32+E43)/E44+26</f>
        <v>25.003795066413662</v>
      </c>
      <c r="E54" s="407"/>
      <c r="F54" s="406" t="e">
        <f>(G32+G43)/G44+26</f>
        <v>#DIV/0!</v>
      </c>
      <c r="G54" s="420"/>
      <c r="H54" s="406">
        <f>(I32+I43)/I44+26</f>
        <v>28.5</v>
      </c>
      <c r="I54" s="421"/>
      <c r="J54" s="406" t="e">
        <f>(K32+K43)/K44+26</f>
        <v>#DIV/0!</v>
      </c>
      <c r="K54" s="407"/>
      <c r="L54" s="406" t="e">
        <f>(M32+M43)/M44+26</f>
        <v>#DIV/0!</v>
      </c>
      <c r="M54" s="420"/>
      <c r="N54" s="406" t="e">
        <f>(O32+O43)/O44+26</f>
        <v>#DIV/0!</v>
      </c>
      <c r="O54" s="421"/>
      <c r="P54" s="406">
        <f>(Q32+Q43)/Q44+26</f>
        <v>33.254600737862731</v>
      </c>
      <c r="Q54" s="407"/>
      <c r="R54" s="406">
        <f>(S32+S43)/S44+26</f>
        <v>33.247015980534002</v>
      </c>
      <c r="S54" s="420"/>
      <c r="T54" s="406" t="e">
        <f>(U32+U43)/U44+26</f>
        <v>#DIV/0!</v>
      </c>
      <c r="U54" s="422"/>
    </row>
    <row r="55" spans="1:21" s="274" customFormat="1" ht="14.25" customHeight="1">
      <c r="A55" s="269"/>
      <c r="B55" s="423" t="s">
        <v>563</v>
      </c>
      <c r="C55" s="276">
        <f t="shared" ref="C55:C62" si="8">SUM(D55,J55,P55)</f>
        <v>7.4861372499999996</v>
      </c>
      <c r="D55" s="424">
        <f t="shared" ref="D55:U55" si="9">D37/4</f>
        <v>0</v>
      </c>
      <c r="E55" s="425">
        <f t="shared" si="9"/>
        <v>0</v>
      </c>
      <c r="F55" s="425" t="e">
        <f t="shared" si="9"/>
        <v>#DIV/0!</v>
      </c>
      <c r="G55" s="426">
        <f t="shared" si="9"/>
        <v>0</v>
      </c>
      <c r="H55" s="426">
        <f t="shared" si="9"/>
        <v>3.4937499999999999</v>
      </c>
      <c r="I55" s="427">
        <f t="shared" si="9"/>
        <v>0</v>
      </c>
      <c r="J55" s="424">
        <f>J37/4</f>
        <v>0</v>
      </c>
      <c r="K55" s="425">
        <f t="shared" si="9"/>
        <v>0</v>
      </c>
      <c r="L55" s="425">
        <f t="shared" si="9"/>
        <v>0</v>
      </c>
      <c r="M55" s="426">
        <f t="shared" si="9"/>
        <v>0</v>
      </c>
      <c r="N55" s="426">
        <f t="shared" si="9"/>
        <v>0</v>
      </c>
      <c r="O55" s="427">
        <f t="shared" si="9"/>
        <v>0</v>
      </c>
      <c r="P55" s="424">
        <f t="shared" si="9"/>
        <v>7.4861372499999996</v>
      </c>
      <c r="Q55" s="425">
        <f t="shared" si="9"/>
        <v>0</v>
      </c>
      <c r="R55" s="425">
        <f t="shared" si="9"/>
        <v>7.5030590831029791</v>
      </c>
      <c r="S55" s="426">
        <f t="shared" si="9"/>
        <v>0</v>
      </c>
      <c r="T55" s="426">
        <f t="shared" si="9"/>
        <v>0</v>
      </c>
      <c r="U55" s="428">
        <f t="shared" si="9"/>
        <v>0</v>
      </c>
    </row>
    <row r="56" spans="1:21" s="274" customFormat="1" ht="14.25" customHeight="1">
      <c r="A56" s="269"/>
      <c r="B56" s="423" t="s">
        <v>564</v>
      </c>
      <c r="C56" s="276">
        <f t="shared" si="8"/>
        <v>0</v>
      </c>
      <c r="D56" s="366">
        <f t="shared" ref="D56:U56" si="10">D4*1000/4.17</f>
        <v>0</v>
      </c>
      <c r="E56" s="429">
        <f t="shared" si="10"/>
        <v>0</v>
      </c>
      <c r="F56" s="429">
        <f t="shared" si="10"/>
        <v>0</v>
      </c>
      <c r="G56" s="430">
        <f t="shared" si="10"/>
        <v>0</v>
      </c>
      <c r="H56" s="430">
        <f t="shared" si="10"/>
        <v>-1302.8819534931877</v>
      </c>
      <c r="I56" s="431">
        <f t="shared" si="10"/>
        <v>-1302.8819534931877</v>
      </c>
      <c r="J56" s="366">
        <f>J4*1000/4.17</f>
        <v>0</v>
      </c>
      <c r="K56" s="429">
        <f t="shared" si="10"/>
        <v>0</v>
      </c>
      <c r="L56" s="429">
        <f t="shared" si="10"/>
        <v>0</v>
      </c>
      <c r="M56" s="430">
        <f t="shared" si="10"/>
        <v>0</v>
      </c>
      <c r="N56" s="430">
        <f t="shared" si="10"/>
        <v>0</v>
      </c>
      <c r="O56" s="431">
        <f t="shared" si="10"/>
        <v>0</v>
      </c>
      <c r="P56" s="366">
        <f t="shared" si="10"/>
        <v>0</v>
      </c>
      <c r="Q56" s="429">
        <f t="shared" si="10"/>
        <v>0</v>
      </c>
      <c r="R56" s="429">
        <f t="shared" si="10"/>
        <v>0</v>
      </c>
      <c r="S56" s="430">
        <f t="shared" si="10"/>
        <v>0</v>
      </c>
      <c r="T56" s="430">
        <f t="shared" si="10"/>
        <v>0</v>
      </c>
      <c r="U56" s="432">
        <f t="shared" si="10"/>
        <v>0</v>
      </c>
    </row>
    <row r="57" spans="1:21" s="274" customFormat="1" ht="14.25" customHeight="1">
      <c r="A57" s="269"/>
      <c r="B57" s="423" t="s">
        <v>565</v>
      </c>
      <c r="C57" s="276">
        <f t="shared" si="8"/>
        <v>1795.2367505995203</v>
      </c>
      <c r="D57" s="366">
        <f t="shared" ref="D57:U57" si="11">(D37*1000)/(4*4.17)</f>
        <v>0</v>
      </c>
      <c r="E57" s="429">
        <f t="shared" si="11"/>
        <v>0</v>
      </c>
      <c r="F57" s="429" t="e">
        <f t="shared" si="11"/>
        <v>#DIV/0!</v>
      </c>
      <c r="G57" s="430">
        <f t="shared" si="11"/>
        <v>0</v>
      </c>
      <c r="H57" s="430">
        <f t="shared" si="11"/>
        <v>837.82973621103122</v>
      </c>
      <c r="I57" s="431">
        <f t="shared" si="11"/>
        <v>0</v>
      </c>
      <c r="J57" s="366">
        <f>(J37*1000)/(4*4.17)</f>
        <v>0</v>
      </c>
      <c r="K57" s="429">
        <f t="shared" si="11"/>
        <v>0</v>
      </c>
      <c r="L57" s="429">
        <f t="shared" si="11"/>
        <v>0</v>
      </c>
      <c r="M57" s="430">
        <f t="shared" si="11"/>
        <v>0</v>
      </c>
      <c r="N57" s="430">
        <f t="shared" si="11"/>
        <v>0</v>
      </c>
      <c r="O57" s="431">
        <f t="shared" si="11"/>
        <v>0</v>
      </c>
      <c r="P57" s="366">
        <f t="shared" si="11"/>
        <v>1795.2367505995203</v>
      </c>
      <c r="Q57" s="429">
        <f t="shared" si="11"/>
        <v>0</v>
      </c>
      <c r="R57" s="429">
        <f t="shared" si="11"/>
        <v>1799.2947441493957</v>
      </c>
      <c r="S57" s="430">
        <f t="shared" si="11"/>
        <v>0</v>
      </c>
      <c r="T57" s="430">
        <f t="shared" si="11"/>
        <v>0</v>
      </c>
      <c r="U57" s="432">
        <f t="shared" si="11"/>
        <v>0</v>
      </c>
    </row>
    <row r="58" spans="1:21" s="354" customFormat="1" ht="14.25" customHeight="1">
      <c r="A58" s="433"/>
      <c r="B58" s="423" t="s">
        <v>566</v>
      </c>
      <c r="C58" s="276">
        <f t="shared" si="8"/>
        <v>53.075804090676343</v>
      </c>
      <c r="D58" s="366">
        <f t="shared" ref="D58:U58" si="12">D47/(D34+D9+D10+D11)</f>
        <v>10.746633333333332</v>
      </c>
      <c r="E58" s="429">
        <f t="shared" si="12"/>
        <v>0</v>
      </c>
      <c r="F58" s="429" t="e">
        <f t="shared" si="12"/>
        <v>#DIV/0!</v>
      </c>
      <c r="G58" s="430">
        <f t="shared" si="12"/>
        <v>0</v>
      </c>
      <c r="H58" s="430">
        <f t="shared" si="12"/>
        <v>-5.4330177460665929</v>
      </c>
      <c r="I58" s="431">
        <f t="shared" si="12"/>
        <v>0</v>
      </c>
      <c r="J58" s="366">
        <f>J47/(J34+J9+J10+J11)</f>
        <v>20.63238974899733</v>
      </c>
      <c r="K58" s="429">
        <f t="shared" si="12"/>
        <v>0</v>
      </c>
      <c r="L58" s="429">
        <f t="shared" si="12"/>
        <v>20.63238974899733</v>
      </c>
      <c r="M58" s="430">
        <f t="shared" si="12"/>
        <v>0</v>
      </c>
      <c r="N58" s="430">
        <f t="shared" si="12"/>
        <v>0</v>
      </c>
      <c r="O58" s="431">
        <f t="shared" si="12"/>
        <v>0</v>
      </c>
      <c r="P58" s="366">
        <f t="shared" si="12"/>
        <v>21.696781008345678</v>
      </c>
      <c r="Q58" s="429">
        <f t="shared" si="12"/>
        <v>0</v>
      </c>
      <c r="R58" s="429">
        <f t="shared" si="12"/>
        <v>21.7</v>
      </c>
      <c r="S58" s="430">
        <f t="shared" si="12"/>
        <v>0</v>
      </c>
      <c r="T58" s="430">
        <f t="shared" si="12"/>
        <v>0</v>
      </c>
      <c r="U58" s="432">
        <f t="shared" si="12"/>
        <v>0</v>
      </c>
    </row>
    <row r="59" spans="1:21" s="274" customFormat="1" ht="14.25" customHeight="1">
      <c r="A59" s="269"/>
      <c r="B59" s="423" t="s">
        <v>567</v>
      </c>
      <c r="C59" s="276">
        <f t="shared" si="8"/>
        <v>12728.01057330368</v>
      </c>
      <c r="D59" s="366">
        <f t="shared" ref="D59:U59" si="13">D58*1000/4.17</f>
        <v>2577.1302957633889</v>
      </c>
      <c r="E59" s="429">
        <f t="shared" si="13"/>
        <v>0</v>
      </c>
      <c r="F59" s="429" t="e">
        <f t="shared" si="13"/>
        <v>#DIV/0!</v>
      </c>
      <c r="G59" s="430">
        <f t="shared" si="13"/>
        <v>0</v>
      </c>
      <c r="H59" s="430">
        <f t="shared" si="13"/>
        <v>-1302.8819534931877</v>
      </c>
      <c r="I59" s="431">
        <f t="shared" si="13"/>
        <v>0</v>
      </c>
      <c r="J59" s="366">
        <f>J58*1000/4.17</f>
        <v>4947.8152875293363</v>
      </c>
      <c r="K59" s="429">
        <f t="shared" si="13"/>
        <v>0</v>
      </c>
      <c r="L59" s="429">
        <f t="shared" si="13"/>
        <v>4947.8152875293363</v>
      </c>
      <c r="M59" s="430">
        <f t="shared" si="13"/>
        <v>0</v>
      </c>
      <c r="N59" s="430">
        <f t="shared" si="13"/>
        <v>0</v>
      </c>
      <c r="O59" s="431">
        <f t="shared" si="13"/>
        <v>0</v>
      </c>
      <c r="P59" s="366">
        <f t="shared" si="13"/>
        <v>5203.0649900109538</v>
      </c>
      <c r="Q59" s="429">
        <f t="shared" si="13"/>
        <v>0</v>
      </c>
      <c r="R59" s="429">
        <f t="shared" si="13"/>
        <v>5203.8369304556354</v>
      </c>
      <c r="S59" s="430">
        <f t="shared" si="13"/>
        <v>0</v>
      </c>
      <c r="T59" s="430">
        <f t="shared" si="13"/>
        <v>0</v>
      </c>
      <c r="U59" s="432">
        <f t="shared" si="13"/>
        <v>0</v>
      </c>
    </row>
    <row r="60" spans="1:21" s="274" customFormat="1" ht="14.25" customHeight="1">
      <c r="A60" s="269"/>
      <c r="B60" s="423" t="s">
        <v>568</v>
      </c>
      <c r="C60" s="276">
        <f t="shared" si="8"/>
        <v>22.45841175</v>
      </c>
      <c r="D60" s="424">
        <f t="shared" ref="D60:U60" si="14">D37*0.75</f>
        <v>0</v>
      </c>
      <c r="E60" s="425">
        <f t="shared" si="14"/>
        <v>0</v>
      </c>
      <c r="F60" s="425" t="e">
        <f t="shared" si="14"/>
        <v>#DIV/0!</v>
      </c>
      <c r="G60" s="426">
        <f t="shared" si="14"/>
        <v>0</v>
      </c>
      <c r="H60" s="426">
        <f t="shared" si="14"/>
        <v>10.481249999999999</v>
      </c>
      <c r="I60" s="427">
        <f t="shared" si="14"/>
        <v>0</v>
      </c>
      <c r="J60" s="424">
        <f>J37*0.75</f>
        <v>0</v>
      </c>
      <c r="K60" s="425">
        <f t="shared" si="14"/>
        <v>0</v>
      </c>
      <c r="L60" s="425">
        <f t="shared" si="14"/>
        <v>0</v>
      </c>
      <c r="M60" s="426">
        <f t="shared" si="14"/>
        <v>0</v>
      </c>
      <c r="N60" s="426">
        <f t="shared" si="14"/>
        <v>0</v>
      </c>
      <c r="O60" s="427">
        <f t="shared" si="14"/>
        <v>0</v>
      </c>
      <c r="P60" s="424">
        <f t="shared" si="14"/>
        <v>22.45841175</v>
      </c>
      <c r="Q60" s="425">
        <f t="shared" si="14"/>
        <v>0</v>
      </c>
      <c r="R60" s="425">
        <f t="shared" si="14"/>
        <v>22.509177249308937</v>
      </c>
      <c r="S60" s="426">
        <f t="shared" si="14"/>
        <v>0</v>
      </c>
      <c r="T60" s="426">
        <f t="shared" si="14"/>
        <v>0</v>
      </c>
      <c r="U60" s="428">
        <f t="shared" si="14"/>
        <v>0</v>
      </c>
    </row>
    <row r="61" spans="1:21" s="274" customFormat="1" ht="14.25" customHeight="1">
      <c r="A61" s="269"/>
      <c r="B61" s="423" t="s">
        <v>569</v>
      </c>
      <c r="C61" s="276">
        <f t="shared" si="8"/>
        <v>7.4861372499999987</v>
      </c>
      <c r="D61" s="424">
        <f t="shared" ref="D61:U61" si="15">D37-D60</f>
        <v>0</v>
      </c>
      <c r="E61" s="425">
        <f t="shared" si="15"/>
        <v>0</v>
      </c>
      <c r="F61" s="425" t="e">
        <f t="shared" si="15"/>
        <v>#DIV/0!</v>
      </c>
      <c r="G61" s="426">
        <f t="shared" si="15"/>
        <v>0</v>
      </c>
      <c r="H61" s="426">
        <f t="shared" si="15"/>
        <v>3.4937500000000004</v>
      </c>
      <c r="I61" s="427">
        <f t="shared" si="15"/>
        <v>0</v>
      </c>
      <c r="J61" s="424">
        <f>J37-J60</f>
        <v>0</v>
      </c>
      <c r="K61" s="425">
        <f t="shared" si="15"/>
        <v>0</v>
      </c>
      <c r="L61" s="425">
        <f t="shared" si="15"/>
        <v>0</v>
      </c>
      <c r="M61" s="426">
        <f t="shared" si="15"/>
        <v>0</v>
      </c>
      <c r="N61" s="426">
        <f t="shared" si="15"/>
        <v>0</v>
      </c>
      <c r="O61" s="427">
        <f t="shared" si="15"/>
        <v>0</v>
      </c>
      <c r="P61" s="424">
        <f t="shared" si="15"/>
        <v>7.4861372499999987</v>
      </c>
      <c r="Q61" s="425">
        <f t="shared" si="15"/>
        <v>0</v>
      </c>
      <c r="R61" s="425">
        <f t="shared" si="15"/>
        <v>7.5030590831029791</v>
      </c>
      <c r="S61" s="426">
        <f t="shared" si="15"/>
        <v>0</v>
      </c>
      <c r="T61" s="426">
        <f t="shared" si="15"/>
        <v>0</v>
      </c>
      <c r="U61" s="428">
        <f t="shared" si="15"/>
        <v>0</v>
      </c>
    </row>
    <row r="62" spans="1:21" s="274" customFormat="1" ht="14.25" customHeight="1" thickBot="1">
      <c r="A62" s="269"/>
      <c r="B62" s="423" t="s">
        <v>570</v>
      </c>
      <c r="C62" s="276">
        <f t="shared" si="8"/>
        <v>607.19210422803974</v>
      </c>
      <c r="D62" s="434">
        <f>D47/(D4+D5)</f>
        <v>66.32208</v>
      </c>
      <c r="E62" s="425"/>
      <c r="F62" s="425" t="e">
        <f>F47/(F4+F5)</f>
        <v>#DIV/0!</v>
      </c>
      <c r="G62" s="426"/>
      <c r="H62" s="426">
        <f>H47/(H4+H5)</f>
        <v>-120.25200000000001</v>
      </c>
      <c r="I62" s="427">
        <f>I47/(I4+I5)</f>
        <v>0</v>
      </c>
      <c r="J62" s="434">
        <f>J47/(J4+J5)</f>
        <v>254.80885714285716</v>
      </c>
      <c r="K62" s="425"/>
      <c r="L62" s="425">
        <f>L47/(L4+L5)</f>
        <v>254.80885714285716</v>
      </c>
      <c r="M62" s="426"/>
      <c r="N62" s="426" t="e">
        <f>N47/(N4+N5)</f>
        <v>#DIV/0!</v>
      </c>
      <c r="O62" s="427" t="e">
        <f>O47/(O4+O5)</f>
        <v>#DIV/0!</v>
      </c>
      <c r="P62" s="434">
        <f>P47/(P4+P5)</f>
        <v>286.06116708518255</v>
      </c>
      <c r="Q62" s="425"/>
      <c r="R62" s="425">
        <f>R47/(R4+R5)</f>
        <v>286.10360787440004</v>
      </c>
      <c r="S62" s="426"/>
      <c r="T62" s="426" t="e">
        <f>T47/(T4+T5)</f>
        <v>#DIV/0!</v>
      </c>
      <c r="U62" s="428" t="e">
        <f>U47/(U4+U5)</f>
        <v>#DIV/0!</v>
      </c>
    </row>
    <row r="63" spans="1:21" s="263" customFormat="1" ht="14.25" customHeight="1">
      <c r="A63" s="260"/>
    </row>
    <row r="64" spans="1:21" s="263" customFormat="1" ht="14.25" customHeight="1">
      <c r="A64" s="260"/>
    </row>
    <row r="65" spans="1:1" s="263" customFormat="1" ht="14.25" customHeight="1">
      <c r="A65" s="260"/>
    </row>
    <row r="66" spans="1:1" s="263" customFormat="1" ht="14.25">
      <c r="A66" s="260"/>
    </row>
    <row r="67" spans="1:1" s="263" customFormat="1" ht="14.25" customHeight="1">
      <c r="A67" s="260"/>
    </row>
    <row r="68" spans="1:1" s="263" customFormat="1" ht="14.25" customHeight="1">
      <c r="A68" s="260"/>
    </row>
    <row r="69" spans="1:1" s="263" customFormat="1" ht="14.25" customHeight="1">
      <c r="A69" s="260"/>
    </row>
    <row r="70" spans="1:1" s="263" customFormat="1" ht="14.25" customHeight="1">
      <c r="A70" s="260"/>
    </row>
    <row r="71" spans="1:1" s="263" customFormat="1" ht="14.25" customHeight="1">
      <c r="A71" s="260"/>
    </row>
    <row r="72" spans="1:1" s="263" customFormat="1" ht="14.25" customHeight="1">
      <c r="A72" s="260"/>
    </row>
    <row r="73" spans="1:1" s="263" customFormat="1" ht="14.25" customHeight="1">
      <c r="A73" s="260"/>
    </row>
    <row r="74" spans="1:1" s="263" customFormat="1" ht="14.25" customHeight="1">
      <c r="A74" s="260"/>
    </row>
    <row r="75" spans="1:1" s="263" customFormat="1" ht="14.25" customHeight="1">
      <c r="A75" s="260"/>
    </row>
    <row r="76" spans="1:1" s="263" customFormat="1" ht="14.25" customHeight="1">
      <c r="A76" s="260"/>
    </row>
    <row r="77" spans="1:1" s="263" customFormat="1" ht="14.25" customHeight="1">
      <c r="A77" s="260"/>
    </row>
    <row r="78" spans="1:1" s="263" customFormat="1" ht="14.25" customHeight="1">
      <c r="A78" s="260"/>
    </row>
    <row r="79" spans="1:1" s="263" customFormat="1" ht="14.25" customHeight="1">
      <c r="A79" s="260"/>
    </row>
    <row r="80" spans="1:1" s="263" customFormat="1" ht="14.25" customHeight="1">
      <c r="A80" s="260"/>
    </row>
    <row r="81" spans="1:1" s="263" customFormat="1" ht="14.25" customHeight="1">
      <c r="A81" s="260"/>
    </row>
    <row r="82" spans="1:1" s="263" customFormat="1" ht="14.25">
      <c r="A82" s="260"/>
    </row>
    <row r="83" spans="1:1" s="263" customFormat="1" ht="14.25">
      <c r="A83" s="260"/>
    </row>
    <row r="84" spans="1:1" s="263" customFormat="1" ht="14.25">
      <c r="A84" s="260"/>
    </row>
    <row r="85" spans="1:1" s="263" customFormat="1" ht="14.25">
      <c r="A85" s="260"/>
    </row>
    <row r="86" spans="1:1" s="263" customFormat="1" ht="14.25">
      <c r="A86" s="260"/>
    </row>
    <row r="87" spans="1:1" s="263" customFormat="1" ht="14.25">
      <c r="A87" s="260"/>
    </row>
    <row r="88" spans="1:1" s="263" customFormat="1" ht="14.25">
      <c r="A88" s="260"/>
    </row>
    <row r="89" spans="1:1" s="263" customFormat="1" ht="14.25">
      <c r="A89" s="260"/>
    </row>
  </sheetData>
  <mergeCells count="1">
    <mergeCell ref="V1:Y1"/>
  </mergeCells>
  <conditionalFormatting sqref="X12 X23">
    <cfRule type="cellIs" dxfId="0" priority="1" stopIfTrue="1" operator="lessThan">
      <formula>0</formula>
    </cfRule>
  </conditionalFormatting>
  <hyperlinks>
    <hyperlink ref="V1" location="INDEX!A1" display="INDEX!A1"/>
  </hyperlinks>
  <pageMargins left="0.75" right="0.75" top="1" bottom="1" header="0.5" footer="0.5"/>
  <pageSetup paperSize="9" orientation="portrait" r:id="rId1"/>
  <headerFooter alignWithMargins="0"/>
  <drawing r:id="rId2"/>
  <legacy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W781"/>
  <sheetViews>
    <sheetView zoomScale="115" zoomScaleNormal="115" workbookViewId="0">
      <selection activeCell="B9" sqref="B9"/>
    </sheetView>
  </sheetViews>
  <sheetFormatPr defaultColWidth="12.7109375" defaultRowHeight="0" customHeight="1" zeroHeight="1"/>
  <cols>
    <col min="1" max="1" width="10.7109375" customWidth="1"/>
    <col min="2" max="2" width="20.7109375" customWidth="1"/>
    <col min="3" max="7" width="10.7109375" customWidth="1"/>
    <col min="8" max="11" width="10.7109375" style="56" customWidth="1"/>
    <col min="12" max="17" width="10.7109375" customWidth="1"/>
    <col min="18" max="18" width="10.7109375" style="56" customWidth="1"/>
    <col min="19" max="19" width="1.7109375" customWidth="1"/>
    <col min="20" max="20" width="1.7109375" style="56" customWidth="1"/>
    <col min="21" max="21" width="57.85546875" bestFit="1" customWidth="1"/>
    <col min="22" max="22" width="7.140625" bestFit="1" customWidth="1"/>
    <col min="23" max="23" width="11.42578125" bestFit="1" customWidth="1"/>
  </cols>
  <sheetData>
    <row r="1" spans="1:23" ht="90" customHeight="1">
      <c r="A1" s="3" t="s">
        <v>227</v>
      </c>
      <c r="B1" s="3" t="s">
        <v>226</v>
      </c>
      <c r="C1" s="3" t="s">
        <v>204</v>
      </c>
      <c r="D1" s="3" t="s">
        <v>180</v>
      </c>
      <c r="E1" s="3" t="str">
        <f>"Original Fan Curve (ω= "&amp;TEXT(C4,"0.000")&amp;" kg/m³)"</f>
        <v>Original Fan Curve (ω=  kg/m³)</v>
      </c>
      <c r="F1" s="3" t="s">
        <v>182</v>
      </c>
      <c r="G1" s="3" t="s">
        <v>183</v>
      </c>
      <c r="H1" s="3288" t="s">
        <v>326</v>
      </c>
      <c r="I1" s="3289"/>
      <c r="J1" s="3289"/>
      <c r="K1" s="3289"/>
      <c r="L1" s="3" t="s">
        <v>255</v>
      </c>
      <c r="M1" s="3" t="str">
        <f>"Fan Curve (ω= "&amp;TEXT(L4,"0.000")&amp;" kg/m³)"</f>
        <v>Fan Curve (ω= 1.200 kg/m³)</v>
      </c>
      <c r="N1" s="3" t="s">
        <v>180</v>
      </c>
      <c r="O1" s="3" t="s">
        <v>257</v>
      </c>
      <c r="P1" s="3294" t="str">
        <f>+U1&amp;" = "&amp;TEXT(W1,"0.0")&amp;" Ns²/m⁸"</f>
        <v>System Resistance =  Ns²/m⁸</v>
      </c>
      <c r="Q1" s="3294" t="e">
        <f>+U7&amp;" = "&amp;TEXT(W7,"0.00")&amp;" Ns²/m⁸"</f>
        <v>#VALUE!</v>
      </c>
      <c r="R1" s="3294" t="e">
        <f>+U12&amp;" = "&amp;TEXT(W12,"0.00")&amp;" Ns²/m⁸"</f>
        <v>#VALUE!</v>
      </c>
      <c r="U1" s="10" t="s">
        <v>238</v>
      </c>
      <c r="V1" s="1" t="s">
        <v>3</v>
      </c>
      <c r="W1" s="154" t="str">
        <f>IF('Duct and Fan Selection'!P31="","",'Duct and Fan Selection'!P31)</f>
        <v/>
      </c>
    </row>
    <row r="2" spans="1:23" ht="15" customHeight="1">
      <c r="A2" s="2" t="s">
        <v>219</v>
      </c>
      <c r="B2" s="2" t="s">
        <v>219</v>
      </c>
      <c r="C2" s="28" t="s">
        <v>244</v>
      </c>
      <c r="D2" s="2" t="s">
        <v>194</v>
      </c>
      <c r="E2" s="2" t="s">
        <v>223</v>
      </c>
      <c r="F2" s="2" t="s">
        <v>221</v>
      </c>
      <c r="G2" s="2" t="s">
        <v>222</v>
      </c>
      <c r="H2" s="3290" t="s">
        <v>327</v>
      </c>
      <c r="I2" s="3290" t="s">
        <v>328</v>
      </c>
      <c r="J2" s="3290" t="s">
        <v>191</v>
      </c>
      <c r="K2" s="3290" t="s">
        <v>194</v>
      </c>
      <c r="L2" s="28" t="s">
        <v>244</v>
      </c>
      <c r="M2" s="2" t="s">
        <v>223</v>
      </c>
      <c r="N2" s="2" t="s">
        <v>194</v>
      </c>
      <c r="O2" s="2" t="s">
        <v>221</v>
      </c>
      <c r="P2" s="3294"/>
      <c r="Q2" s="3294"/>
      <c r="R2" s="3294"/>
      <c r="U2" s="9"/>
      <c r="V2" s="7"/>
      <c r="W2" s="7"/>
    </row>
    <row r="3" spans="1:23" ht="15" customHeight="1">
      <c r="A3" s="2">
        <f>MAX('Fan Data'!B1:B487)</f>
        <v>0</v>
      </c>
      <c r="B3" s="2" t="s">
        <v>219</v>
      </c>
      <c r="C3" s="2" t="s">
        <v>224</v>
      </c>
      <c r="D3" s="2" t="s">
        <v>225</v>
      </c>
      <c r="E3" s="2" t="s">
        <v>220</v>
      </c>
      <c r="F3" s="2" t="s">
        <v>218</v>
      </c>
      <c r="G3" s="2" t="s">
        <v>211</v>
      </c>
      <c r="H3" s="3291"/>
      <c r="I3" s="3291"/>
      <c r="J3" s="3291"/>
      <c r="K3" s="3291"/>
      <c r="L3" s="2" t="s">
        <v>224</v>
      </c>
      <c r="M3" s="2" t="s">
        <v>220</v>
      </c>
      <c r="N3" s="2" t="s">
        <v>225</v>
      </c>
      <c r="O3" s="2" t="s">
        <v>218</v>
      </c>
      <c r="P3" s="3294"/>
      <c r="Q3" s="3294"/>
      <c r="R3" s="3294"/>
    </row>
    <row r="4" spans="1:23" ht="15" customHeight="1">
      <c r="A4" s="31">
        <v>1</v>
      </c>
      <c r="B4" s="67" t="str">
        <f>IF('Duct and Fan Selection'!B16="","",'Duct and Fan Selection'!B16)</f>
        <v/>
      </c>
      <c r="C4" s="60" t="str">
        <f>IF($A4&gt;$A$3,"",IF(VLOOKUP($A4,'Fan Data'!$B$4:$M$487,C$49,FALSE)="","",VLOOKUP($A4,'Fan Data'!$B$4:$M$487,C$49,FALSE)))</f>
        <v/>
      </c>
      <c r="D4" s="77" t="str">
        <f>IF($A4&gt;$A$3,"",IF(VLOOKUP($A4,'Fan Data'!$B$4:$M$487,D$49,FALSE)="","",VLOOKUP($A4,'Fan Data'!$B$4:$M$487,D$49,FALSE)))</f>
        <v/>
      </c>
      <c r="E4" s="78" t="str">
        <f>IF($A4&gt;$A$3,"",IF(VLOOKUP($A4,'Fan Data'!$B$4:$M$487,E$49,FALSE)="","",VLOOKUP($A4,'Fan Data'!$B$4:$M$487,E$49,FALSE)))</f>
        <v/>
      </c>
      <c r="F4" s="78" t="str">
        <f>IF($A4&gt;$A$3,"",IF(VLOOKUP($A4,'Fan Data'!$B$4:$M$487,F$49,FALSE)="","",VLOOKUP($A4,'Fan Data'!$B$4:$M$487,F$49,FALSE)))</f>
        <v/>
      </c>
      <c r="G4" s="60" t="str">
        <f>IF($A4&gt;$A$3,"",IF(VLOOKUP($A4,'Fan Data'!$B$4:$M$487,G$49,FALSE)="","",VLOOKUP($A4,'Fan Data'!$B$4:$M$487,G$49,FALSE)))</f>
        <v/>
      </c>
      <c r="H4" s="114" t="str">
        <f>IF($A4&gt;$A$3,"",IF(VLOOKUP($A4,'Fan Data'!$B$4:$Q$487,H$49,FALSE)="","",VLOOKUP($A4,'Fan Data'!$B$4:$Q$487,H$49,FALSE)))</f>
        <v/>
      </c>
      <c r="I4" s="77" t="str">
        <f>IF($A4&gt;$A$3,"",IF(VLOOKUP($A4,'Fan Data'!$B$4:$Q$487,I$49,FALSE)="","",VLOOKUP($A4,'Fan Data'!$B$4:$Q$487,I$49,FALSE)))</f>
        <v/>
      </c>
      <c r="J4" s="114" t="str">
        <f>IF($A4&gt;$A$3,"",IF(VLOOKUP($A4,'Fan Data'!$B$4:$Q$487,J$49,FALSE)="","",VLOOKUP($A4,'Fan Data'!$B$4:$Q$487,J$49,FALSE)))</f>
        <v/>
      </c>
      <c r="K4" s="77" t="str">
        <f>IF($A4&gt;$A$3,"",IF(VLOOKUP($A4,'Fan Data'!$B$4:$Q$487,K$49,FALSE)="","",VLOOKUP($A4,'Fan Data'!$B$4:$Q$487,K$49,FALSE)))</f>
        <v/>
      </c>
      <c r="L4" s="60">
        <f>IF('Duct and Fan Selection'!H10="",1.2,'Duct and Fan Selection'!H10)</f>
        <v>1.2</v>
      </c>
      <c r="M4" s="78" t="str">
        <f>IF(E4="","",ROUND(E4/$C$4*$L$4,1))</f>
        <v/>
      </c>
      <c r="N4" s="77" t="str">
        <f t="shared" ref="N4:N43" si="0">IF(D4="","",D4)</f>
        <v/>
      </c>
      <c r="O4" s="78" t="str">
        <f>IF(F4="","",ROUND(F4/$C$4*$L$4,1))</f>
        <v/>
      </c>
      <c r="P4" s="61" t="str">
        <f t="shared" ref="P4:P48" si="1">IF(D4="","",ROUND($W$1*(D4^2),1))</f>
        <v/>
      </c>
      <c r="Q4" s="61" t="str">
        <f t="shared" ref="Q4:Q48" si="2">IF(D4="","",ROUND($W$7*(D4^2),1))</f>
        <v/>
      </c>
      <c r="R4" s="61" t="str">
        <f t="shared" ref="R4:R48" si="3">IF(D4="","",ROUND($W$12*(D4^2),1))</f>
        <v/>
      </c>
      <c r="U4" s="3292" t="s">
        <v>330</v>
      </c>
      <c r="V4" s="3292"/>
      <c r="W4" s="3293"/>
    </row>
    <row r="5" spans="1:23" ht="15" customHeight="1">
      <c r="A5" s="31">
        <f t="shared" ref="A5:A48" si="4">+A4+1</f>
        <v>2</v>
      </c>
      <c r="B5" s="68"/>
      <c r="C5" s="60" t="str">
        <f>IF($A5&gt;$A$3,"",IF(VLOOKUP($A5,'Fan Data'!$B$4:$M$487,C$49,FALSE)="","",VLOOKUP($A5,'Fan Data'!$B$4:$M$487,C$49,FALSE)))</f>
        <v/>
      </c>
      <c r="D5" s="77" t="str">
        <f>IF($A5&gt;$A$3,"",IF(VLOOKUP($A5,'Fan Data'!$B$4:$M$487,D$49,FALSE)="","",VLOOKUP($A5,'Fan Data'!$B$4:$M$487,D$49,FALSE)))</f>
        <v/>
      </c>
      <c r="E5" s="78" t="str">
        <f>IF($A5&gt;$A$3,"",IF(VLOOKUP($A5,'Fan Data'!$B$4:$M$487,E$49,FALSE)="","",VLOOKUP($A5,'Fan Data'!$B$4:$M$487,E$49,FALSE)))</f>
        <v/>
      </c>
      <c r="F5" s="78" t="str">
        <f>IF($A5&gt;$A$3,"",IF(VLOOKUP($A5,'Fan Data'!$B$4:$M$487,F$49,FALSE)="","",VLOOKUP($A5,'Fan Data'!$B$4:$M$487,F$49,FALSE)))</f>
        <v/>
      </c>
      <c r="G5" s="60" t="str">
        <f>IF($A5&gt;$A$3,"",IF(VLOOKUP($A5,'Fan Data'!$B$4:$M$487,G$49,FALSE)="","",VLOOKUP($A5,'Fan Data'!$B$4:$M$487,G$49,FALSE)))</f>
        <v/>
      </c>
      <c r="H5" s="32"/>
      <c r="I5" s="32"/>
      <c r="J5" s="32"/>
      <c r="K5" s="32"/>
      <c r="L5" s="66"/>
      <c r="M5" s="78" t="str">
        <f t="shared" ref="M5:M48" si="5">IF(E5="","",ROUND(E5/$C$4*$L$4,1))</f>
        <v/>
      </c>
      <c r="N5" s="77" t="str">
        <f t="shared" si="0"/>
        <v/>
      </c>
      <c r="O5" s="78" t="str">
        <f t="shared" ref="O5:O48" si="6">IF(F5="","",ROUND(F5/$C$4*$L$4,1))</f>
        <v/>
      </c>
      <c r="P5" s="61" t="str">
        <f t="shared" si="1"/>
        <v/>
      </c>
      <c r="Q5" s="61" t="str">
        <f t="shared" si="2"/>
        <v/>
      </c>
      <c r="R5" s="61" t="str">
        <f t="shared" si="3"/>
        <v/>
      </c>
      <c r="U5" s="13" t="s">
        <v>235</v>
      </c>
      <c r="V5" s="2" t="s">
        <v>220</v>
      </c>
      <c r="W5" s="81" t="str">
        <f>+H4</f>
        <v/>
      </c>
    </row>
    <row r="6" spans="1:23" ht="15" customHeight="1">
      <c r="A6" s="31">
        <f t="shared" si="4"/>
        <v>3</v>
      </c>
      <c r="B6" s="68"/>
      <c r="C6" s="60" t="str">
        <f>IF($A6&gt;$A$3,"",IF(VLOOKUP($A6,'Fan Data'!$B$4:$M$487,C$49,FALSE)="","",VLOOKUP($A6,'Fan Data'!$B$4:$M$487,C$49,FALSE)))</f>
        <v/>
      </c>
      <c r="D6" s="77" t="str">
        <f>IF($A6&gt;$A$3,"",IF(VLOOKUP($A6,'Fan Data'!$B$4:$M$487,D$49,FALSE)="","",VLOOKUP($A6,'Fan Data'!$B$4:$M$487,D$49,FALSE)))</f>
        <v/>
      </c>
      <c r="E6" s="78" t="str">
        <f>IF($A6&gt;$A$3,"",IF(VLOOKUP($A6,'Fan Data'!$B$4:$M$487,E$49,FALSE)="","",VLOOKUP($A6,'Fan Data'!$B$4:$M$487,E$49,FALSE)))</f>
        <v/>
      </c>
      <c r="F6" s="78" t="str">
        <f>IF($A6&gt;$A$3,"",IF(VLOOKUP($A6,'Fan Data'!$B$4:$M$487,F$49,FALSE)="","",VLOOKUP($A6,'Fan Data'!$B$4:$M$487,F$49,FALSE)))</f>
        <v/>
      </c>
      <c r="G6" s="60" t="str">
        <f>IF($A6&gt;$A$3,"",IF(VLOOKUP($A6,'Fan Data'!$B$4:$M$487,G$49,FALSE)="","",VLOOKUP($A6,'Fan Data'!$B$4:$M$487,G$49,FALSE)))</f>
        <v/>
      </c>
      <c r="H6" s="32"/>
      <c r="I6" s="32"/>
      <c r="J6" s="32"/>
      <c r="K6" s="32"/>
      <c r="L6" s="66"/>
      <c r="M6" s="78" t="str">
        <f t="shared" si="5"/>
        <v/>
      </c>
      <c r="N6" s="77" t="str">
        <f t="shared" si="0"/>
        <v/>
      </c>
      <c r="O6" s="78" t="str">
        <f t="shared" si="6"/>
        <v/>
      </c>
      <c r="P6" s="61" t="str">
        <f t="shared" si="1"/>
        <v/>
      </c>
      <c r="Q6" s="61" t="str">
        <f t="shared" si="2"/>
        <v/>
      </c>
      <c r="R6" s="61" t="str">
        <f t="shared" si="3"/>
        <v/>
      </c>
      <c r="S6" s="6"/>
      <c r="T6" s="6"/>
      <c r="U6" s="11" t="s">
        <v>236</v>
      </c>
      <c r="V6" s="2" t="s">
        <v>225</v>
      </c>
      <c r="W6" s="82" t="str">
        <f>+I4</f>
        <v/>
      </c>
    </row>
    <row r="7" spans="1:23" ht="15" customHeight="1">
      <c r="A7" s="31">
        <f t="shared" si="4"/>
        <v>4</v>
      </c>
      <c r="B7" s="68"/>
      <c r="C7" s="60" t="str">
        <f>IF($A7&gt;$A$3,"",IF(VLOOKUP($A7,'Fan Data'!$B$4:$M$487,C$49,FALSE)="","",VLOOKUP($A7,'Fan Data'!$B$4:$M$487,C$49,FALSE)))</f>
        <v/>
      </c>
      <c r="D7" s="77" t="str">
        <f>IF($A7&gt;$A$3,"",IF(VLOOKUP($A7,'Fan Data'!$B$4:$M$487,D$49,FALSE)="","",VLOOKUP($A7,'Fan Data'!$B$4:$M$487,D$49,FALSE)))</f>
        <v/>
      </c>
      <c r="E7" s="78" t="str">
        <f>IF($A7&gt;$A$3,"",IF(VLOOKUP($A7,'Fan Data'!$B$4:$M$487,E$49,FALSE)="","",VLOOKUP($A7,'Fan Data'!$B$4:$M$487,E$49,FALSE)))</f>
        <v/>
      </c>
      <c r="F7" s="78" t="str">
        <f>IF($A7&gt;$A$3,"",IF(VLOOKUP($A7,'Fan Data'!$B$4:$M$487,F$49,FALSE)="","",VLOOKUP($A7,'Fan Data'!$B$4:$M$487,F$49,FALSE)))</f>
        <v/>
      </c>
      <c r="G7" s="60" t="str">
        <f>IF($A7&gt;$A$3,"",IF(VLOOKUP($A7,'Fan Data'!$B$4:$M$487,G$49,FALSE)="","",VLOOKUP($A7,'Fan Data'!$B$4:$M$487,G$49,FALSE)))</f>
        <v/>
      </c>
      <c r="H7" s="32"/>
      <c r="I7" s="32"/>
      <c r="J7" s="32"/>
      <c r="K7" s="32"/>
      <c r="L7" s="66"/>
      <c r="M7" s="78" t="str">
        <f t="shared" si="5"/>
        <v/>
      </c>
      <c r="N7" s="77" t="str">
        <f t="shared" si="0"/>
        <v/>
      </c>
      <c r="O7" s="78" t="str">
        <f t="shared" si="6"/>
        <v/>
      </c>
      <c r="P7" s="61" t="str">
        <f t="shared" si="1"/>
        <v/>
      </c>
      <c r="Q7" s="61" t="str">
        <f t="shared" si="2"/>
        <v/>
      </c>
      <c r="R7" s="61" t="str">
        <f t="shared" si="3"/>
        <v/>
      </c>
      <c r="S7" s="6"/>
      <c r="T7" s="6"/>
      <c r="U7" s="12" t="s">
        <v>335</v>
      </c>
      <c r="V7" s="1" t="s">
        <v>3</v>
      </c>
      <c r="W7" s="83" t="e">
        <f>+W5/(W6^2)</f>
        <v>#VALUE!</v>
      </c>
    </row>
    <row r="8" spans="1:23" ht="15" customHeight="1">
      <c r="A8" s="31">
        <f t="shared" si="4"/>
        <v>5</v>
      </c>
      <c r="B8" s="68"/>
      <c r="C8" s="60" t="str">
        <f>IF($A8&gt;$A$3,"",IF(VLOOKUP($A8,'Fan Data'!$B$4:$M$487,C$49,FALSE)="","",VLOOKUP($A8,'Fan Data'!$B$4:$M$487,C$49,FALSE)))</f>
        <v/>
      </c>
      <c r="D8" s="77" t="str">
        <f>IF($A8&gt;$A$3,"",IF(VLOOKUP($A8,'Fan Data'!$B$4:$M$487,D$49,FALSE)="","",VLOOKUP($A8,'Fan Data'!$B$4:$M$487,D$49,FALSE)))</f>
        <v/>
      </c>
      <c r="E8" s="78" t="str">
        <f>IF($A8&gt;$A$3,"",IF(VLOOKUP($A8,'Fan Data'!$B$4:$M$487,E$49,FALSE)="","",VLOOKUP($A8,'Fan Data'!$B$4:$M$487,E$49,FALSE)))</f>
        <v/>
      </c>
      <c r="F8" s="78" t="str">
        <f>IF($A8&gt;$A$3,"",IF(VLOOKUP($A8,'Fan Data'!$B$4:$M$487,F$49,FALSE)="","",VLOOKUP($A8,'Fan Data'!$B$4:$M$487,F$49,FALSE)))</f>
        <v/>
      </c>
      <c r="G8" s="60" t="str">
        <f>IF($A8&gt;$A$3,"",IF(VLOOKUP($A8,'Fan Data'!$B$4:$M$487,G$49,FALSE)="","",VLOOKUP($A8,'Fan Data'!$B$4:$M$487,G$49,FALSE)))</f>
        <v/>
      </c>
      <c r="H8" s="32"/>
      <c r="I8" s="32"/>
      <c r="J8" s="32"/>
      <c r="K8" s="32"/>
      <c r="L8" s="66"/>
      <c r="M8" s="78" t="str">
        <f t="shared" si="5"/>
        <v/>
      </c>
      <c r="N8" s="77" t="str">
        <f t="shared" si="0"/>
        <v/>
      </c>
      <c r="O8" s="78" t="str">
        <f t="shared" si="6"/>
        <v/>
      </c>
      <c r="P8" s="61" t="str">
        <f t="shared" si="1"/>
        <v/>
      </c>
      <c r="Q8" s="61" t="str">
        <f t="shared" si="2"/>
        <v/>
      </c>
      <c r="R8" s="61" t="str">
        <f t="shared" si="3"/>
        <v/>
      </c>
      <c r="S8" s="6"/>
      <c r="T8" s="6"/>
      <c r="W8" s="6"/>
    </row>
    <row r="9" spans="1:23" ht="15" customHeight="1">
      <c r="A9" s="31">
        <f t="shared" si="4"/>
        <v>6</v>
      </c>
      <c r="B9" s="68"/>
      <c r="C9" s="60" t="str">
        <f>IF($A9&gt;$A$3,"",IF(VLOOKUP($A9,'Fan Data'!$B$4:$M$487,C$49,FALSE)="","",VLOOKUP($A9,'Fan Data'!$B$4:$M$487,C$49,FALSE)))</f>
        <v/>
      </c>
      <c r="D9" s="77" t="str">
        <f>IF($A9&gt;$A$3,"",IF(VLOOKUP($A9,'Fan Data'!$B$4:$M$487,D$49,FALSE)="","",VLOOKUP($A9,'Fan Data'!$B$4:$M$487,D$49,FALSE)))</f>
        <v/>
      </c>
      <c r="E9" s="78" t="str">
        <f>IF($A9&gt;$A$3,"",IF(VLOOKUP($A9,'Fan Data'!$B$4:$M$487,E$49,FALSE)="","",VLOOKUP($A9,'Fan Data'!$B$4:$M$487,E$49,FALSE)))</f>
        <v/>
      </c>
      <c r="F9" s="78" t="str">
        <f>IF($A9&gt;$A$3,"",IF(VLOOKUP($A9,'Fan Data'!$B$4:$M$487,F$49,FALSE)="","",VLOOKUP($A9,'Fan Data'!$B$4:$M$487,F$49,FALSE)))</f>
        <v/>
      </c>
      <c r="G9" s="60" t="str">
        <f>IF($A9&gt;$A$3,"",IF(VLOOKUP($A9,'Fan Data'!$B$4:$M$487,G$49,FALSE)="","",VLOOKUP($A9,'Fan Data'!$B$4:$M$487,G$49,FALSE)))</f>
        <v/>
      </c>
      <c r="H9" s="32"/>
      <c r="I9" s="32"/>
      <c r="J9" s="32"/>
      <c r="K9" s="32"/>
      <c r="L9" s="66"/>
      <c r="M9" s="78" t="str">
        <f t="shared" si="5"/>
        <v/>
      </c>
      <c r="N9" s="77" t="str">
        <f t="shared" si="0"/>
        <v/>
      </c>
      <c r="O9" s="78" t="str">
        <f t="shared" si="6"/>
        <v/>
      </c>
      <c r="P9" s="61" t="str">
        <f t="shared" si="1"/>
        <v/>
      </c>
      <c r="Q9" s="61" t="str">
        <f t="shared" si="2"/>
        <v/>
      </c>
      <c r="R9" s="61" t="str">
        <f t="shared" si="3"/>
        <v/>
      </c>
      <c r="S9" s="6"/>
      <c r="T9" s="6"/>
      <c r="U9" s="3292" t="s">
        <v>329</v>
      </c>
      <c r="V9" s="3292"/>
      <c r="W9" s="3293"/>
    </row>
    <row r="10" spans="1:23" ht="15" customHeight="1">
      <c r="A10" s="31">
        <f t="shared" si="4"/>
        <v>7</v>
      </c>
      <c r="B10" s="68"/>
      <c r="C10" s="60" t="str">
        <f>IF($A10&gt;$A$3,"",IF(VLOOKUP($A10,'Fan Data'!$B$4:$M$487,C$49,FALSE)="","",VLOOKUP($A10,'Fan Data'!$B$4:$M$487,C$49,FALSE)))</f>
        <v/>
      </c>
      <c r="D10" s="77" t="str">
        <f>IF($A10&gt;$A$3,"",IF(VLOOKUP($A10,'Fan Data'!$B$4:$M$487,D$49,FALSE)="","",VLOOKUP($A10,'Fan Data'!$B$4:$M$487,D$49,FALSE)))</f>
        <v/>
      </c>
      <c r="E10" s="78" t="str">
        <f>IF($A10&gt;$A$3,"",IF(VLOOKUP($A10,'Fan Data'!$B$4:$M$487,E$49,FALSE)="","",VLOOKUP($A10,'Fan Data'!$B$4:$M$487,E$49,FALSE)))</f>
        <v/>
      </c>
      <c r="F10" s="78" t="str">
        <f>IF($A10&gt;$A$3,"",IF(VLOOKUP($A10,'Fan Data'!$B$4:$M$487,F$49,FALSE)="","",VLOOKUP($A10,'Fan Data'!$B$4:$M$487,F$49,FALSE)))</f>
        <v/>
      </c>
      <c r="G10" s="60" t="str">
        <f>IF($A10&gt;$A$3,"",IF(VLOOKUP($A10,'Fan Data'!$B$4:$M$487,G$49,FALSE)="","",VLOOKUP($A10,'Fan Data'!$B$4:$M$487,G$49,FALSE)))</f>
        <v/>
      </c>
      <c r="H10" s="32"/>
      <c r="I10" s="32"/>
      <c r="J10" s="32"/>
      <c r="K10" s="32"/>
      <c r="L10" s="66"/>
      <c r="M10" s="78" t="str">
        <f t="shared" si="5"/>
        <v/>
      </c>
      <c r="N10" s="77" t="str">
        <f t="shared" si="0"/>
        <v/>
      </c>
      <c r="O10" s="78" t="str">
        <f t="shared" si="6"/>
        <v/>
      </c>
      <c r="P10" s="61" t="str">
        <f t="shared" si="1"/>
        <v/>
      </c>
      <c r="Q10" s="61" t="str">
        <f t="shared" si="2"/>
        <v/>
      </c>
      <c r="R10" s="61" t="str">
        <f t="shared" si="3"/>
        <v/>
      </c>
      <c r="S10" s="6"/>
      <c r="T10" s="6"/>
      <c r="U10" s="13" t="s">
        <v>235</v>
      </c>
      <c r="V10" s="2" t="s">
        <v>220</v>
      </c>
      <c r="W10" s="81" t="str">
        <f>+J4</f>
        <v/>
      </c>
    </row>
    <row r="11" spans="1:23" ht="15" customHeight="1">
      <c r="A11" s="31">
        <f t="shared" si="4"/>
        <v>8</v>
      </c>
      <c r="B11" s="68"/>
      <c r="C11" s="60" t="str">
        <f>IF($A11&gt;$A$3,"",IF(VLOOKUP($A11,'Fan Data'!$B$4:$M$487,C$49,FALSE)="","",VLOOKUP($A11,'Fan Data'!$B$4:$M$487,C$49,FALSE)))</f>
        <v/>
      </c>
      <c r="D11" s="77" t="str">
        <f>IF($A11&gt;$A$3,"",IF(VLOOKUP($A11,'Fan Data'!$B$4:$M$487,D$49,FALSE)="","",VLOOKUP($A11,'Fan Data'!$B$4:$M$487,D$49,FALSE)))</f>
        <v/>
      </c>
      <c r="E11" s="78" t="str">
        <f>IF($A11&gt;$A$3,"",IF(VLOOKUP($A11,'Fan Data'!$B$4:$M$487,E$49,FALSE)="","",VLOOKUP($A11,'Fan Data'!$B$4:$M$487,E$49,FALSE)))</f>
        <v/>
      </c>
      <c r="F11" s="78" t="str">
        <f>IF($A11&gt;$A$3,"",IF(VLOOKUP($A11,'Fan Data'!$B$4:$M$487,F$49,FALSE)="","",VLOOKUP($A11,'Fan Data'!$B$4:$M$487,F$49,FALSE)))</f>
        <v/>
      </c>
      <c r="G11" s="60" t="str">
        <f>IF($A11&gt;$A$3,"",IF(VLOOKUP($A11,'Fan Data'!$B$4:$M$487,G$49,FALSE)="","",VLOOKUP($A11,'Fan Data'!$B$4:$M$487,G$49,FALSE)))</f>
        <v/>
      </c>
      <c r="H11" s="32"/>
      <c r="I11" s="32"/>
      <c r="J11" s="32"/>
      <c r="K11" s="32"/>
      <c r="L11" s="66"/>
      <c r="M11" s="78" t="str">
        <f t="shared" si="5"/>
        <v/>
      </c>
      <c r="N11" s="77" t="str">
        <f t="shared" si="0"/>
        <v/>
      </c>
      <c r="O11" s="78" t="str">
        <f t="shared" si="6"/>
        <v/>
      </c>
      <c r="P11" s="61" t="str">
        <f t="shared" si="1"/>
        <v/>
      </c>
      <c r="Q11" s="61" t="str">
        <f t="shared" si="2"/>
        <v/>
      </c>
      <c r="R11" s="61" t="str">
        <f t="shared" si="3"/>
        <v/>
      </c>
      <c r="S11" s="6"/>
      <c r="T11" s="6"/>
      <c r="U11" s="11" t="s">
        <v>236</v>
      </c>
      <c r="V11" s="2" t="s">
        <v>225</v>
      </c>
      <c r="W11" s="82" t="str">
        <f>+K4</f>
        <v/>
      </c>
    </row>
    <row r="12" spans="1:23" ht="15" customHeight="1">
      <c r="A12" s="31">
        <f t="shared" si="4"/>
        <v>9</v>
      </c>
      <c r="B12" s="68"/>
      <c r="C12" s="60" t="str">
        <f>IF($A12&gt;$A$3,"",IF(VLOOKUP($A12,'Fan Data'!$B$4:$M$487,C$49,FALSE)="","",VLOOKUP($A12,'Fan Data'!$B$4:$M$487,C$49,FALSE)))</f>
        <v/>
      </c>
      <c r="D12" s="77" t="str">
        <f>IF($A12&gt;$A$3,"",IF(VLOOKUP($A12,'Fan Data'!$B$4:$M$487,D$49,FALSE)="","",VLOOKUP($A12,'Fan Data'!$B$4:$M$487,D$49,FALSE)))</f>
        <v/>
      </c>
      <c r="E12" s="78" t="str">
        <f>IF($A12&gt;$A$3,"",IF(VLOOKUP($A12,'Fan Data'!$B$4:$M$487,E$49,FALSE)="","",VLOOKUP($A12,'Fan Data'!$B$4:$M$487,E$49,FALSE)))</f>
        <v/>
      </c>
      <c r="F12" s="78" t="str">
        <f>IF($A12&gt;$A$3,"",IF(VLOOKUP($A12,'Fan Data'!$B$4:$M$487,F$49,FALSE)="","",VLOOKUP($A12,'Fan Data'!$B$4:$M$487,F$49,FALSE)))</f>
        <v/>
      </c>
      <c r="G12" s="60" t="str">
        <f>IF($A12&gt;$A$3,"",IF(VLOOKUP($A12,'Fan Data'!$B$4:$M$487,G$49,FALSE)="","",VLOOKUP($A12,'Fan Data'!$B$4:$M$487,G$49,FALSE)))</f>
        <v/>
      </c>
      <c r="H12" s="32"/>
      <c r="I12" s="32"/>
      <c r="J12" s="32"/>
      <c r="K12" s="32"/>
      <c r="L12" s="66"/>
      <c r="M12" s="78" t="str">
        <f t="shared" si="5"/>
        <v/>
      </c>
      <c r="N12" s="77" t="str">
        <f t="shared" si="0"/>
        <v/>
      </c>
      <c r="O12" s="78" t="str">
        <f t="shared" si="6"/>
        <v/>
      </c>
      <c r="P12" s="61" t="str">
        <f t="shared" si="1"/>
        <v/>
      </c>
      <c r="Q12" s="61" t="str">
        <f t="shared" si="2"/>
        <v/>
      </c>
      <c r="R12" s="61" t="str">
        <f t="shared" si="3"/>
        <v/>
      </c>
      <c r="S12" s="6"/>
      <c r="T12" s="6"/>
      <c r="U12" s="12" t="s">
        <v>334</v>
      </c>
      <c r="V12" s="1" t="s">
        <v>3</v>
      </c>
      <c r="W12" s="83" t="e">
        <f>+W10/(W11^2)</f>
        <v>#VALUE!</v>
      </c>
    </row>
    <row r="13" spans="1:23" ht="15" customHeight="1">
      <c r="A13" s="31">
        <f t="shared" si="4"/>
        <v>10</v>
      </c>
      <c r="B13" s="68"/>
      <c r="C13" s="60" t="str">
        <f>IF($A13&gt;$A$3,"",IF(VLOOKUP($A13,'Fan Data'!$B$4:$M$487,C$49,FALSE)="","",VLOOKUP($A13,'Fan Data'!$B$4:$M$487,C$49,FALSE)))</f>
        <v/>
      </c>
      <c r="D13" s="77" t="str">
        <f>IF($A13&gt;$A$3,"",IF(VLOOKUP($A13,'Fan Data'!$B$4:$M$487,D$49,FALSE)="","",VLOOKUP($A13,'Fan Data'!$B$4:$M$487,D$49,FALSE)))</f>
        <v/>
      </c>
      <c r="E13" s="78" t="str">
        <f>IF($A13&gt;$A$3,"",IF(VLOOKUP($A13,'Fan Data'!$B$4:$M$487,E$49,FALSE)="","",VLOOKUP($A13,'Fan Data'!$B$4:$M$487,E$49,FALSE)))</f>
        <v/>
      </c>
      <c r="F13" s="78" t="str">
        <f>IF($A13&gt;$A$3,"",IF(VLOOKUP($A13,'Fan Data'!$B$4:$M$487,F$49,FALSE)="","",VLOOKUP($A13,'Fan Data'!$B$4:$M$487,F$49,FALSE)))</f>
        <v/>
      </c>
      <c r="G13" s="60" t="str">
        <f>IF($A13&gt;$A$3,"",IF(VLOOKUP($A13,'Fan Data'!$B$4:$M$487,G$49,FALSE)="","",VLOOKUP($A13,'Fan Data'!$B$4:$M$487,G$49,FALSE)))</f>
        <v/>
      </c>
      <c r="H13" s="32"/>
      <c r="I13" s="32"/>
      <c r="J13" s="32"/>
      <c r="K13" s="32"/>
      <c r="L13" s="66"/>
      <c r="M13" s="78" t="str">
        <f t="shared" si="5"/>
        <v/>
      </c>
      <c r="N13" s="77" t="str">
        <f t="shared" si="0"/>
        <v/>
      </c>
      <c r="O13" s="78" t="str">
        <f t="shared" si="6"/>
        <v/>
      </c>
      <c r="P13" s="61" t="str">
        <f t="shared" si="1"/>
        <v/>
      </c>
      <c r="Q13" s="61" t="str">
        <f t="shared" si="2"/>
        <v/>
      </c>
      <c r="R13" s="61" t="str">
        <f t="shared" si="3"/>
        <v/>
      </c>
      <c r="S13" s="6"/>
      <c r="T13" s="6"/>
    </row>
    <row r="14" spans="1:23" ht="15" customHeight="1">
      <c r="A14" s="31">
        <f t="shared" si="4"/>
        <v>11</v>
      </c>
      <c r="B14" s="68"/>
      <c r="C14" s="60" t="str">
        <f>IF($A14&gt;$A$3,"",IF(VLOOKUP($A14,'Fan Data'!$B$4:$M$487,C$49,FALSE)="","",VLOOKUP($A14,'Fan Data'!$B$4:$M$487,C$49,FALSE)))</f>
        <v/>
      </c>
      <c r="D14" s="77" t="str">
        <f>IF($A14&gt;$A$3,"",IF(VLOOKUP($A14,'Fan Data'!$B$4:$M$487,D$49,FALSE)="","",VLOOKUP($A14,'Fan Data'!$B$4:$M$487,D$49,FALSE)))</f>
        <v/>
      </c>
      <c r="E14" s="78" t="str">
        <f>IF($A14&gt;$A$3,"",IF(VLOOKUP($A14,'Fan Data'!$B$4:$M$487,E$49,FALSE)="","",VLOOKUP($A14,'Fan Data'!$B$4:$M$487,E$49,FALSE)))</f>
        <v/>
      </c>
      <c r="F14" s="78" t="str">
        <f>IF($A14&gt;$A$3,"",IF(VLOOKUP($A14,'Fan Data'!$B$4:$M$487,F$49,FALSE)="","",VLOOKUP($A14,'Fan Data'!$B$4:$M$487,F$49,FALSE)))</f>
        <v/>
      </c>
      <c r="G14" s="60" t="str">
        <f>IF($A14&gt;$A$3,"",IF(VLOOKUP($A14,'Fan Data'!$B$4:$M$487,G$49,FALSE)="","",VLOOKUP($A14,'Fan Data'!$B$4:$M$487,G$49,FALSE)))</f>
        <v/>
      </c>
      <c r="H14" s="32"/>
      <c r="I14" s="32"/>
      <c r="J14" s="32"/>
      <c r="K14" s="32"/>
      <c r="L14" s="66"/>
      <c r="M14" s="78" t="str">
        <f t="shared" si="5"/>
        <v/>
      </c>
      <c r="N14" s="77" t="str">
        <f t="shared" si="0"/>
        <v/>
      </c>
      <c r="O14" s="78" t="str">
        <f t="shared" si="6"/>
        <v/>
      </c>
      <c r="P14" s="61" t="str">
        <f t="shared" si="1"/>
        <v/>
      </c>
      <c r="Q14" s="61" t="str">
        <f t="shared" si="2"/>
        <v/>
      </c>
      <c r="R14" s="61" t="str">
        <f t="shared" si="3"/>
        <v/>
      </c>
      <c r="S14" s="6"/>
      <c r="T14" s="6"/>
      <c r="U14" s="29" t="s">
        <v>230</v>
      </c>
      <c r="V14" s="31" t="str">
        <f>VLOOKUP(B4,$U$17:$V$46,2,FALSE)</f>
        <v/>
      </c>
      <c r="W14" s="6"/>
    </row>
    <row r="15" spans="1:23" ht="15" customHeight="1">
      <c r="A15" s="31">
        <f t="shared" si="4"/>
        <v>12</v>
      </c>
      <c r="B15" s="68"/>
      <c r="C15" s="60" t="str">
        <f>IF($A15&gt;$A$3,"",IF(VLOOKUP($A15,'Fan Data'!$B$4:$M$487,C$49,FALSE)="","",VLOOKUP($A15,'Fan Data'!$B$4:$M$487,C$49,FALSE)))</f>
        <v/>
      </c>
      <c r="D15" s="77" t="str">
        <f>IF($A15&gt;$A$3,"",IF(VLOOKUP($A15,'Fan Data'!$B$4:$M$487,D$49,FALSE)="","",VLOOKUP($A15,'Fan Data'!$B$4:$M$487,D$49,FALSE)))</f>
        <v/>
      </c>
      <c r="E15" s="78" t="str">
        <f>IF($A15&gt;$A$3,"",IF(VLOOKUP($A15,'Fan Data'!$B$4:$M$487,E$49,FALSE)="","",VLOOKUP($A15,'Fan Data'!$B$4:$M$487,E$49,FALSE)))</f>
        <v/>
      </c>
      <c r="F15" s="78" t="str">
        <f>IF($A15&gt;$A$3,"",IF(VLOOKUP($A15,'Fan Data'!$B$4:$M$487,F$49,FALSE)="","",VLOOKUP($A15,'Fan Data'!$B$4:$M$487,F$49,FALSE)))</f>
        <v/>
      </c>
      <c r="G15" s="60" t="str">
        <f>IF($A15&gt;$A$3,"",IF(VLOOKUP($A15,'Fan Data'!$B$4:$M$487,G$49,FALSE)="","",VLOOKUP($A15,'Fan Data'!$B$4:$M$487,G$49,FALSE)))</f>
        <v/>
      </c>
      <c r="H15" s="32"/>
      <c r="I15" s="32"/>
      <c r="J15" s="32"/>
      <c r="K15" s="32"/>
      <c r="L15" s="66"/>
      <c r="M15" s="78" t="str">
        <f t="shared" si="5"/>
        <v/>
      </c>
      <c r="N15" s="77" t="str">
        <f t="shared" si="0"/>
        <v/>
      </c>
      <c r="O15" s="78" t="str">
        <f t="shared" si="6"/>
        <v/>
      </c>
      <c r="P15" s="61" t="str">
        <f t="shared" si="1"/>
        <v/>
      </c>
      <c r="Q15" s="61" t="str">
        <f t="shared" si="2"/>
        <v/>
      </c>
      <c r="R15" s="61" t="str">
        <f t="shared" si="3"/>
        <v/>
      </c>
      <c r="S15" s="6"/>
      <c r="T15" s="6"/>
      <c r="V15" s="6"/>
      <c r="W15" s="6"/>
    </row>
    <row r="16" spans="1:23" ht="15" customHeight="1">
      <c r="A16" s="31">
        <f t="shared" si="4"/>
        <v>13</v>
      </c>
      <c r="B16" s="68"/>
      <c r="C16" s="60" t="str">
        <f>IF($A16&gt;$A$3,"",IF(VLOOKUP($A16,'Fan Data'!$B$4:$M$487,C$49,FALSE)="","",VLOOKUP($A16,'Fan Data'!$B$4:$M$487,C$49,FALSE)))</f>
        <v/>
      </c>
      <c r="D16" s="77" t="str">
        <f>IF($A16&gt;$A$3,"",IF(VLOOKUP($A16,'Fan Data'!$B$4:$M$487,D$49,FALSE)="","",VLOOKUP($A16,'Fan Data'!$B$4:$M$487,D$49,FALSE)))</f>
        <v/>
      </c>
      <c r="E16" s="78" t="str">
        <f>IF($A16&gt;$A$3,"",IF(VLOOKUP($A16,'Fan Data'!$B$4:$M$487,E$49,FALSE)="","",VLOOKUP($A16,'Fan Data'!$B$4:$M$487,E$49,FALSE)))</f>
        <v/>
      </c>
      <c r="F16" s="78" t="str">
        <f>IF($A16&gt;$A$3,"",IF(VLOOKUP($A16,'Fan Data'!$B$4:$M$487,F$49,FALSE)="","",VLOOKUP($A16,'Fan Data'!$B$4:$M$487,F$49,FALSE)))</f>
        <v/>
      </c>
      <c r="G16" s="60" t="str">
        <f>IF($A16&gt;$A$3,"",IF(VLOOKUP($A16,'Fan Data'!$B$4:$M$487,G$49,FALSE)="","",VLOOKUP($A16,'Fan Data'!$B$4:$M$487,G$49,FALSE)))</f>
        <v/>
      </c>
      <c r="H16" s="32"/>
      <c r="I16" s="32"/>
      <c r="J16" s="32"/>
      <c r="K16" s="32"/>
      <c r="L16" s="66"/>
      <c r="M16" s="78" t="str">
        <f t="shared" si="5"/>
        <v/>
      </c>
      <c r="N16" s="77" t="str">
        <f t="shared" si="0"/>
        <v/>
      </c>
      <c r="O16" s="78" t="str">
        <f t="shared" si="6"/>
        <v/>
      </c>
      <c r="P16" s="61" t="str">
        <f t="shared" si="1"/>
        <v/>
      </c>
      <c r="Q16" s="61" t="str">
        <f t="shared" si="2"/>
        <v/>
      </c>
      <c r="R16" s="61" t="str">
        <f t="shared" si="3"/>
        <v/>
      </c>
      <c r="S16" s="6"/>
      <c r="T16" s="6"/>
      <c r="U16" s="30" t="s">
        <v>228</v>
      </c>
      <c r="V16" s="30" t="s">
        <v>229</v>
      </c>
      <c r="W16" s="6"/>
    </row>
    <row r="17" spans="1:23" ht="15" customHeight="1">
      <c r="A17" s="31">
        <f t="shared" si="4"/>
        <v>14</v>
      </c>
      <c r="B17" s="68"/>
      <c r="C17" s="60" t="str">
        <f>IF($A17&gt;$A$3,"",IF(VLOOKUP($A17,'Fan Data'!$B$4:$M$487,C$49,FALSE)="","",VLOOKUP($A17,'Fan Data'!$B$4:$M$487,C$49,FALSE)))</f>
        <v/>
      </c>
      <c r="D17" s="77" t="str">
        <f>IF($A17&gt;$A$3,"",IF(VLOOKUP($A17,'Fan Data'!$B$4:$M$487,D$49,FALSE)="","",VLOOKUP($A17,'Fan Data'!$B$4:$M$487,D$49,FALSE)))</f>
        <v/>
      </c>
      <c r="E17" s="78" t="str">
        <f>IF($A17&gt;$A$3,"",IF(VLOOKUP($A17,'Fan Data'!$B$4:$M$487,E$49,FALSE)="","",VLOOKUP($A17,'Fan Data'!$B$4:$M$487,E$49,FALSE)))</f>
        <v/>
      </c>
      <c r="F17" s="78" t="str">
        <f>IF($A17&gt;$A$3,"",IF(VLOOKUP($A17,'Fan Data'!$B$4:$M$487,F$49,FALSE)="","",VLOOKUP($A17,'Fan Data'!$B$4:$M$487,F$49,FALSE)))</f>
        <v/>
      </c>
      <c r="G17" s="60" t="str">
        <f>IF($A17&gt;$A$3,"",IF(VLOOKUP($A17,'Fan Data'!$B$4:$M$487,G$49,FALSE)="","",VLOOKUP($A17,'Fan Data'!$B$4:$M$487,G$49,FALSE)))</f>
        <v/>
      </c>
      <c r="H17" s="32"/>
      <c r="I17" s="32"/>
      <c r="J17" s="32"/>
      <c r="K17" s="32"/>
      <c r="L17" s="66"/>
      <c r="M17" s="78" t="str">
        <f t="shared" si="5"/>
        <v/>
      </c>
      <c r="N17" s="77" t="str">
        <f t="shared" si="0"/>
        <v/>
      </c>
      <c r="O17" s="78" t="str">
        <f t="shared" si="6"/>
        <v/>
      </c>
      <c r="P17" s="61" t="str">
        <f t="shared" si="1"/>
        <v/>
      </c>
      <c r="Q17" s="61" t="str">
        <f t="shared" si="2"/>
        <v/>
      </c>
      <c r="R17" s="61" t="str">
        <f t="shared" si="3"/>
        <v/>
      </c>
      <c r="S17" s="6"/>
      <c r="T17" s="6"/>
      <c r="U17" s="58" t="str">
        <f>IF(V17="","",VLOOKUP(V17,'Fan Data'!$A$4:$D$487,3,FALSE))</f>
        <v>Ø406mm, 4kW, 2-Pole Standard and Attenuated (Single Stage)</v>
      </c>
      <c r="V17" s="31">
        <v>1</v>
      </c>
      <c r="W17" s="6"/>
    </row>
    <row r="18" spans="1:23" ht="15" customHeight="1">
      <c r="A18" s="31">
        <f t="shared" si="4"/>
        <v>15</v>
      </c>
      <c r="B18" s="68"/>
      <c r="C18" s="60" t="str">
        <f>IF($A18&gt;$A$3,"",IF(VLOOKUP($A18,'Fan Data'!$B$4:$M$487,C$49,FALSE)="","",VLOOKUP($A18,'Fan Data'!$B$4:$M$487,C$49,FALSE)))</f>
        <v/>
      </c>
      <c r="D18" s="77" t="str">
        <f>IF($A18&gt;$A$3,"",IF(VLOOKUP($A18,'Fan Data'!$B$4:$M$487,D$49,FALSE)="","",VLOOKUP($A18,'Fan Data'!$B$4:$M$487,D$49,FALSE)))</f>
        <v/>
      </c>
      <c r="E18" s="78" t="str">
        <f>IF($A18&gt;$A$3,"",IF(VLOOKUP($A18,'Fan Data'!$B$4:$M$487,E$49,FALSE)="","",VLOOKUP($A18,'Fan Data'!$B$4:$M$487,E$49,FALSE)))</f>
        <v/>
      </c>
      <c r="F18" s="78" t="str">
        <f>IF($A18&gt;$A$3,"",IF(VLOOKUP($A18,'Fan Data'!$B$4:$M$487,F$49,FALSE)="","",VLOOKUP($A18,'Fan Data'!$B$4:$M$487,F$49,FALSE)))</f>
        <v/>
      </c>
      <c r="G18" s="60" t="str">
        <f>IF($A18&gt;$A$3,"",IF(VLOOKUP($A18,'Fan Data'!$B$4:$M$487,G$49,FALSE)="","",VLOOKUP($A18,'Fan Data'!$B$4:$M$487,G$49,FALSE)))</f>
        <v/>
      </c>
      <c r="H18" s="32"/>
      <c r="I18" s="32"/>
      <c r="J18" s="32"/>
      <c r="K18" s="32"/>
      <c r="L18" s="66"/>
      <c r="M18" s="78" t="str">
        <f t="shared" si="5"/>
        <v/>
      </c>
      <c r="N18" s="77" t="str">
        <f t="shared" si="0"/>
        <v/>
      </c>
      <c r="O18" s="78" t="str">
        <f t="shared" si="6"/>
        <v/>
      </c>
      <c r="P18" s="61" t="str">
        <f t="shared" si="1"/>
        <v/>
      </c>
      <c r="Q18" s="61" t="str">
        <f t="shared" si="2"/>
        <v/>
      </c>
      <c r="R18" s="61" t="str">
        <f t="shared" si="3"/>
        <v/>
      </c>
      <c r="S18" s="6"/>
      <c r="T18" s="6"/>
      <c r="U18" s="58" t="str">
        <f>IF(V18="","",VLOOKUP(V18,'Fan Data'!$A$4:$D$487,3,FALSE))</f>
        <v>Ø570mm, 7.5kW, 4-Pole Durafan (Single Stage)</v>
      </c>
      <c r="V18" s="31">
        <f t="shared" ref="V18:V46" si="7">IF(V17="","",IF(V17+1&gt;$V$47,"",V17+1))</f>
        <v>2</v>
      </c>
      <c r="W18" s="32"/>
    </row>
    <row r="19" spans="1:23" ht="15" customHeight="1">
      <c r="A19" s="31">
        <f t="shared" si="4"/>
        <v>16</v>
      </c>
      <c r="B19" s="68"/>
      <c r="C19" s="60" t="str">
        <f>IF($A19&gt;$A$3,"",IF(VLOOKUP($A19,'Fan Data'!$B$4:$M$487,C$49,FALSE)="","",VLOOKUP($A19,'Fan Data'!$B$4:$M$487,C$49,FALSE)))</f>
        <v/>
      </c>
      <c r="D19" s="77" t="str">
        <f>IF($A19&gt;$A$3,"",IF(VLOOKUP($A19,'Fan Data'!$B$4:$M$487,D$49,FALSE)="","",VLOOKUP($A19,'Fan Data'!$B$4:$M$487,D$49,FALSE)))</f>
        <v/>
      </c>
      <c r="E19" s="78" t="str">
        <f>IF($A19&gt;$A$3,"",IF(VLOOKUP($A19,'Fan Data'!$B$4:$M$487,E$49,FALSE)="","",VLOOKUP($A19,'Fan Data'!$B$4:$M$487,E$49,FALSE)))</f>
        <v/>
      </c>
      <c r="F19" s="78" t="str">
        <f>IF($A19&gt;$A$3,"",IF(VLOOKUP($A19,'Fan Data'!$B$4:$M$487,F$49,FALSE)="","",VLOOKUP($A19,'Fan Data'!$B$4:$M$487,F$49,FALSE)))</f>
        <v/>
      </c>
      <c r="G19" s="60" t="str">
        <f>IF($A19&gt;$A$3,"",IF(VLOOKUP($A19,'Fan Data'!$B$4:$M$487,G$49,FALSE)="","",VLOOKUP($A19,'Fan Data'!$B$4:$M$487,G$49,FALSE)))</f>
        <v/>
      </c>
      <c r="H19" s="32"/>
      <c r="I19" s="32"/>
      <c r="J19" s="32"/>
      <c r="K19" s="32"/>
      <c r="L19" s="66"/>
      <c r="M19" s="78" t="str">
        <f t="shared" si="5"/>
        <v/>
      </c>
      <c r="N19" s="77" t="str">
        <f t="shared" si="0"/>
        <v/>
      </c>
      <c r="O19" s="78" t="str">
        <f t="shared" si="6"/>
        <v/>
      </c>
      <c r="P19" s="61" t="str">
        <f t="shared" si="1"/>
        <v/>
      </c>
      <c r="Q19" s="61" t="str">
        <f t="shared" si="2"/>
        <v/>
      </c>
      <c r="R19" s="61" t="str">
        <f t="shared" si="3"/>
        <v/>
      </c>
      <c r="S19" s="6"/>
      <c r="T19" s="6"/>
      <c r="U19" s="58" t="str">
        <f>IF(V19="","",VLOOKUP(V19,'Fan Data'!$A$4:$D$487,3,FALSE))</f>
        <v>Ø570mm, 7.5kW, 2-Pole Standard and Attenuated (Single Stage)</v>
      </c>
      <c r="V19" s="31">
        <f t="shared" si="7"/>
        <v>3</v>
      </c>
      <c r="W19" s="32"/>
    </row>
    <row r="20" spans="1:23" ht="15" customHeight="1">
      <c r="A20" s="31">
        <f t="shared" si="4"/>
        <v>17</v>
      </c>
      <c r="B20" s="68"/>
      <c r="C20" s="60" t="str">
        <f>IF($A20&gt;$A$3,"",IF(VLOOKUP($A20,'Fan Data'!$B$4:$M$487,C$49,FALSE)="","",VLOOKUP($A20,'Fan Data'!$B$4:$M$487,C$49,FALSE)))</f>
        <v/>
      </c>
      <c r="D20" s="77" t="str">
        <f>IF($A20&gt;$A$3,"",IF(VLOOKUP($A20,'Fan Data'!$B$4:$M$487,D$49,FALSE)="","",VLOOKUP($A20,'Fan Data'!$B$4:$M$487,D$49,FALSE)))</f>
        <v/>
      </c>
      <c r="E20" s="78" t="str">
        <f>IF($A20&gt;$A$3,"",IF(VLOOKUP($A20,'Fan Data'!$B$4:$M$487,E$49,FALSE)="","",VLOOKUP($A20,'Fan Data'!$B$4:$M$487,E$49,FALSE)))</f>
        <v/>
      </c>
      <c r="F20" s="78" t="str">
        <f>IF($A20&gt;$A$3,"",IF(VLOOKUP($A20,'Fan Data'!$B$4:$M$487,F$49,FALSE)="","",VLOOKUP($A20,'Fan Data'!$B$4:$M$487,F$49,FALSE)))</f>
        <v/>
      </c>
      <c r="G20" s="60" t="str">
        <f>IF($A20&gt;$A$3,"",IF(VLOOKUP($A20,'Fan Data'!$B$4:$M$487,G$49,FALSE)="","",VLOOKUP($A20,'Fan Data'!$B$4:$M$487,G$49,FALSE)))</f>
        <v/>
      </c>
      <c r="H20" s="32"/>
      <c r="I20" s="32"/>
      <c r="J20" s="32"/>
      <c r="K20" s="32"/>
      <c r="L20" s="66"/>
      <c r="M20" s="78" t="str">
        <f t="shared" si="5"/>
        <v/>
      </c>
      <c r="N20" s="77" t="str">
        <f t="shared" si="0"/>
        <v/>
      </c>
      <c r="O20" s="78" t="str">
        <f t="shared" si="6"/>
        <v/>
      </c>
      <c r="P20" s="61" t="str">
        <f t="shared" si="1"/>
        <v/>
      </c>
      <c r="Q20" s="61" t="str">
        <f t="shared" si="2"/>
        <v/>
      </c>
      <c r="R20" s="61" t="str">
        <f t="shared" si="3"/>
        <v/>
      </c>
      <c r="S20" s="6"/>
      <c r="T20" s="6"/>
      <c r="U20" s="58" t="str">
        <f>IF(V20="","",VLOOKUP(V20,'Fan Data'!$A$4:$D$487,3,FALSE))</f>
        <v>Ø570mm, 11kW, 4-Pole Durafan (Single Stage)</v>
      </c>
      <c r="V20" s="31">
        <f t="shared" si="7"/>
        <v>4</v>
      </c>
      <c r="W20" s="32"/>
    </row>
    <row r="21" spans="1:23" ht="15" customHeight="1">
      <c r="A21" s="31">
        <f t="shared" si="4"/>
        <v>18</v>
      </c>
      <c r="B21" s="68"/>
      <c r="C21" s="60" t="str">
        <f>IF($A21&gt;$A$3,"",IF(VLOOKUP($A21,'Fan Data'!$B$4:$M$487,C$49,FALSE)="","",VLOOKUP($A21,'Fan Data'!$B$4:$M$487,C$49,FALSE)))</f>
        <v/>
      </c>
      <c r="D21" s="77" t="str">
        <f>IF($A21&gt;$A$3,"",IF(VLOOKUP($A21,'Fan Data'!$B$4:$M$487,D$49,FALSE)="","",VLOOKUP($A21,'Fan Data'!$B$4:$M$487,D$49,FALSE)))</f>
        <v/>
      </c>
      <c r="E21" s="78" t="str">
        <f>IF($A21&gt;$A$3,"",IF(VLOOKUP($A21,'Fan Data'!$B$4:$M$487,E$49,FALSE)="","",VLOOKUP($A21,'Fan Data'!$B$4:$M$487,E$49,FALSE)))</f>
        <v/>
      </c>
      <c r="F21" s="78" t="str">
        <f>IF($A21&gt;$A$3,"",IF(VLOOKUP($A21,'Fan Data'!$B$4:$M$487,F$49,FALSE)="","",VLOOKUP($A21,'Fan Data'!$B$4:$M$487,F$49,FALSE)))</f>
        <v/>
      </c>
      <c r="G21" s="60" t="str">
        <f>IF($A21&gt;$A$3,"",IF(VLOOKUP($A21,'Fan Data'!$B$4:$M$487,G$49,FALSE)="","",VLOOKUP($A21,'Fan Data'!$B$4:$M$487,G$49,FALSE)))</f>
        <v/>
      </c>
      <c r="H21" s="32"/>
      <c r="I21" s="32"/>
      <c r="J21" s="32"/>
      <c r="K21" s="32"/>
      <c r="L21" s="66"/>
      <c r="M21" s="78" t="str">
        <f t="shared" si="5"/>
        <v/>
      </c>
      <c r="N21" s="77" t="str">
        <f t="shared" si="0"/>
        <v/>
      </c>
      <c r="O21" s="78" t="str">
        <f t="shared" si="6"/>
        <v/>
      </c>
      <c r="P21" s="61" t="str">
        <f t="shared" si="1"/>
        <v/>
      </c>
      <c r="Q21" s="61" t="str">
        <f t="shared" si="2"/>
        <v/>
      </c>
      <c r="R21" s="61" t="str">
        <f t="shared" si="3"/>
        <v/>
      </c>
      <c r="S21" s="6"/>
      <c r="T21" s="6"/>
      <c r="U21" s="58" t="str">
        <f>IF(V21="","",VLOOKUP(V21,'Fan Data'!$A$4:$D$487,3,FALSE))</f>
        <v>Ø570mm, 11kW, 2-Pole Standard and Attenuated (Single Stage)</v>
      </c>
      <c r="V21" s="31">
        <f t="shared" si="7"/>
        <v>5</v>
      </c>
      <c r="W21" s="32"/>
    </row>
    <row r="22" spans="1:23" ht="15" customHeight="1">
      <c r="A22" s="31">
        <f t="shared" si="4"/>
        <v>19</v>
      </c>
      <c r="B22" s="68"/>
      <c r="C22" s="60" t="str">
        <f>IF($A22&gt;$A$3,"",IF(VLOOKUP($A22,'Fan Data'!$B$4:$M$487,C$49,FALSE)="","",VLOOKUP($A22,'Fan Data'!$B$4:$M$487,C$49,FALSE)))</f>
        <v/>
      </c>
      <c r="D22" s="77" t="str">
        <f>IF($A22&gt;$A$3,"",IF(VLOOKUP($A22,'Fan Data'!$B$4:$M$487,D$49,FALSE)="","",VLOOKUP($A22,'Fan Data'!$B$4:$M$487,D$49,FALSE)))</f>
        <v/>
      </c>
      <c r="E22" s="78" t="str">
        <f>IF($A22&gt;$A$3,"",IF(VLOOKUP($A22,'Fan Data'!$B$4:$M$487,E$49,FALSE)="","",VLOOKUP($A22,'Fan Data'!$B$4:$M$487,E$49,FALSE)))</f>
        <v/>
      </c>
      <c r="F22" s="78" t="str">
        <f>IF($A22&gt;$A$3,"",IF(VLOOKUP($A22,'Fan Data'!$B$4:$M$487,F$49,FALSE)="","",VLOOKUP($A22,'Fan Data'!$B$4:$M$487,F$49,FALSE)))</f>
        <v/>
      </c>
      <c r="G22" s="60" t="str">
        <f>IF($A22&gt;$A$3,"",IF(VLOOKUP($A22,'Fan Data'!$B$4:$M$487,G$49,FALSE)="","",VLOOKUP($A22,'Fan Data'!$B$4:$M$487,G$49,FALSE)))</f>
        <v/>
      </c>
      <c r="H22" s="32"/>
      <c r="I22" s="32"/>
      <c r="J22" s="32"/>
      <c r="K22" s="32"/>
      <c r="L22" s="66"/>
      <c r="M22" s="78" t="str">
        <f t="shared" si="5"/>
        <v/>
      </c>
      <c r="N22" s="77" t="str">
        <f t="shared" si="0"/>
        <v/>
      </c>
      <c r="O22" s="78" t="str">
        <f t="shared" si="6"/>
        <v/>
      </c>
      <c r="P22" s="61" t="str">
        <f t="shared" si="1"/>
        <v/>
      </c>
      <c r="Q22" s="61" t="str">
        <f t="shared" si="2"/>
        <v/>
      </c>
      <c r="R22" s="61" t="str">
        <f t="shared" si="3"/>
        <v/>
      </c>
      <c r="S22" s="6"/>
      <c r="T22" s="6"/>
      <c r="U22" s="58" t="str">
        <f>IF(V22="","",VLOOKUP(V22,'Fan Data'!$A$4:$D$487,3,FALSE))</f>
        <v>Ø570mm, 15kW, 4-Pole Durafan (Single Stage)</v>
      </c>
      <c r="V22" s="31">
        <f t="shared" si="7"/>
        <v>6</v>
      </c>
      <c r="W22" s="32"/>
    </row>
    <row r="23" spans="1:23" ht="15" customHeight="1">
      <c r="A23" s="31">
        <f t="shared" si="4"/>
        <v>20</v>
      </c>
      <c r="B23" s="68"/>
      <c r="C23" s="60" t="str">
        <f>IF($A23&gt;$A$3,"",IF(VLOOKUP($A23,'Fan Data'!$B$4:$M$487,C$49,FALSE)="","",VLOOKUP($A23,'Fan Data'!$B$4:$M$487,C$49,FALSE)))</f>
        <v/>
      </c>
      <c r="D23" s="77" t="str">
        <f>IF($A23&gt;$A$3,"",IF(VLOOKUP($A23,'Fan Data'!$B$4:$M$487,D$49,FALSE)="","",VLOOKUP($A23,'Fan Data'!$B$4:$M$487,D$49,FALSE)))</f>
        <v/>
      </c>
      <c r="E23" s="78" t="str">
        <f>IF($A23&gt;$A$3,"",IF(VLOOKUP($A23,'Fan Data'!$B$4:$M$487,E$49,FALSE)="","",VLOOKUP($A23,'Fan Data'!$B$4:$M$487,E$49,FALSE)))</f>
        <v/>
      </c>
      <c r="F23" s="78" t="str">
        <f>IF($A23&gt;$A$3,"",IF(VLOOKUP($A23,'Fan Data'!$B$4:$M$487,F$49,FALSE)="","",VLOOKUP($A23,'Fan Data'!$B$4:$M$487,F$49,FALSE)))</f>
        <v/>
      </c>
      <c r="G23" s="60" t="str">
        <f>IF($A23&gt;$A$3,"",IF(VLOOKUP($A23,'Fan Data'!$B$4:$M$487,G$49,FALSE)="","",VLOOKUP($A23,'Fan Data'!$B$4:$M$487,G$49,FALSE)))</f>
        <v/>
      </c>
      <c r="H23" s="32"/>
      <c r="I23" s="32"/>
      <c r="J23" s="32"/>
      <c r="K23" s="32"/>
      <c r="L23" s="66"/>
      <c r="M23" s="78" t="str">
        <f t="shared" si="5"/>
        <v/>
      </c>
      <c r="N23" s="77" t="str">
        <f t="shared" si="0"/>
        <v/>
      </c>
      <c r="O23" s="78" t="str">
        <f t="shared" si="6"/>
        <v/>
      </c>
      <c r="P23" s="61" t="str">
        <f t="shared" si="1"/>
        <v/>
      </c>
      <c r="Q23" s="61" t="str">
        <f t="shared" si="2"/>
        <v/>
      </c>
      <c r="R23" s="61" t="str">
        <f t="shared" si="3"/>
        <v/>
      </c>
      <c r="S23" s="6"/>
      <c r="T23" s="6"/>
      <c r="U23" s="58" t="str">
        <f>IF(V23="","",VLOOKUP(V23,'Fan Data'!$A$4:$D$487,3,FALSE))</f>
        <v>Ø570mm, 15kW, 2-Pole Inline Centrifugal (Single Stage)</v>
      </c>
      <c r="V23" s="31">
        <f t="shared" si="7"/>
        <v>7</v>
      </c>
      <c r="W23" s="32"/>
    </row>
    <row r="24" spans="1:23" ht="15" customHeight="1">
      <c r="A24" s="31">
        <f t="shared" si="4"/>
        <v>21</v>
      </c>
      <c r="B24" s="68"/>
      <c r="C24" s="60" t="str">
        <f>IF($A24&gt;$A$3,"",IF(VLOOKUP($A24,'Fan Data'!$B$4:$M$487,C$49,FALSE)="","",VLOOKUP($A24,'Fan Data'!$B$4:$M$487,C$49,FALSE)))</f>
        <v/>
      </c>
      <c r="D24" s="77" t="str">
        <f>IF($A24&gt;$A$3,"",IF(VLOOKUP($A24,'Fan Data'!$B$4:$M$487,D$49,FALSE)="","",VLOOKUP($A24,'Fan Data'!$B$4:$M$487,D$49,FALSE)))</f>
        <v/>
      </c>
      <c r="E24" s="78" t="str">
        <f>IF($A24&gt;$A$3,"",IF(VLOOKUP($A24,'Fan Data'!$B$4:$M$487,E$49,FALSE)="","",VLOOKUP($A24,'Fan Data'!$B$4:$M$487,E$49,FALSE)))</f>
        <v/>
      </c>
      <c r="F24" s="78" t="str">
        <f>IF($A24&gt;$A$3,"",IF(VLOOKUP($A24,'Fan Data'!$B$4:$M$487,F$49,FALSE)="","",VLOOKUP($A24,'Fan Data'!$B$4:$M$487,F$49,FALSE)))</f>
        <v/>
      </c>
      <c r="G24" s="60" t="str">
        <f>IF($A24&gt;$A$3,"",IF(VLOOKUP($A24,'Fan Data'!$B$4:$M$487,G$49,FALSE)="","",VLOOKUP($A24,'Fan Data'!$B$4:$M$487,G$49,FALSE)))</f>
        <v/>
      </c>
      <c r="H24" s="32"/>
      <c r="I24" s="32"/>
      <c r="J24" s="32"/>
      <c r="K24" s="32"/>
      <c r="L24" s="66"/>
      <c r="M24" s="78" t="str">
        <f t="shared" si="5"/>
        <v/>
      </c>
      <c r="N24" s="77" t="str">
        <f t="shared" si="0"/>
        <v/>
      </c>
      <c r="O24" s="78" t="str">
        <f t="shared" si="6"/>
        <v/>
      </c>
      <c r="P24" s="61" t="str">
        <f t="shared" si="1"/>
        <v/>
      </c>
      <c r="Q24" s="61" t="str">
        <f t="shared" si="2"/>
        <v/>
      </c>
      <c r="R24" s="61" t="str">
        <f t="shared" si="3"/>
        <v/>
      </c>
      <c r="S24" s="32"/>
      <c r="T24" s="32"/>
      <c r="U24" s="58" t="str">
        <f>IF(V24="","",VLOOKUP(V24,'Fan Data'!$A$4:$D$487,3,FALSE))</f>
        <v>Ø570mm, 15kW, 2-Pole Standard and Attenuated (Single Stage)</v>
      </c>
      <c r="V24" s="31">
        <f t="shared" si="7"/>
        <v>8</v>
      </c>
      <c r="W24" s="32"/>
    </row>
    <row r="25" spans="1:23" ht="15" customHeight="1">
      <c r="A25" s="31">
        <f t="shared" si="4"/>
        <v>22</v>
      </c>
      <c r="B25" s="68"/>
      <c r="C25" s="60" t="str">
        <f>IF($A25&gt;$A$3,"",IF(VLOOKUP($A25,'Fan Data'!$B$4:$M$487,C$49,FALSE)="","",VLOOKUP($A25,'Fan Data'!$B$4:$M$487,C$49,FALSE)))</f>
        <v/>
      </c>
      <c r="D25" s="77" t="str">
        <f>IF($A25&gt;$A$3,"",IF(VLOOKUP($A25,'Fan Data'!$B$4:$M$487,D$49,FALSE)="","",VLOOKUP($A25,'Fan Data'!$B$4:$M$487,D$49,FALSE)))</f>
        <v/>
      </c>
      <c r="E25" s="78" t="str">
        <f>IF($A25&gt;$A$3,"",IF(VLOOKUP($A25,'Fan Data'!$B$4:$M$487,E$49,FALSE)="","",VLOOKUP($A25,'Fan Data'!$B$4:$M$487,E$49,FALSE)))</f>
        <v/>
      </c>
      <c r="F25" s="78" t="str">
        <f>IF($A25&gt;$A$3,"",IF(VLOOKUP($A25,'Fan Data'!$B$4:$M$487,F$49,FALSE)="","",VLOOKUP($A25,'Fan Data'!$B$4:$M$487,F$49,FALSE)))</f>
        <v/>
      </c>
      <c r="G25" s="60" t="str">
        <f>IF($A25&gt;$A$3,"",IF(VLOOKUP($A25,'Fan Data'!$B$4:$M$487,G$49,FALSE)="","",VLOOKUP($A25,'Fan Data'!$B$4:$M$487,G$49,FALSE)))</f>
        <v/>
      </c>
      <c r="H25" s="32"/>
      <c r="I25" s="32"/>
      <c r="J25" s="32"/>
      <c r="K25" s="32"/>
      <c r="L25" s="66"/>
      <c r="M25" s="78" t="str">
        <f t="shared" si="5"/>
        <v/>
      </c>
      <c r="N25" s="77" t="str">
        <f t="shared" si="0"/>
        <v/>
      </c>
      <c r="O25" s="78" t="str">
        <f t="shared" si="6"/>
        <v/>
      </c>
      <c r="P25" s="61" t="str">
        <f t="shared" si="1"/>
        <v/>
      </c>
      <c r="Q25" s="61" t="str">
        <f t="shared" si="2"/>
        <v/>
      </c>
      <c r="R25" s="61" t="str">
        <f t="shared" si="3"/>
        <v/>
      </c>
      <c r="S25" s="32"/>
      <c r="T25" s="32"/>
      <c r="U25" s="58" t="str">
        <f>IF(V25="","",VLOOKUP(V25,'Fan Data'!$A$4:$D$487,3,FALSE))</f>
        <v>Ø570mm, 18.5kW, 2-Pole Standard and Attenuated (Single Stage)</v>
      </c>
      <c r="V25" s="31">
        <f t="shared" si="7"/>
        <v>9</v>
      </c>
      <c r="W25" s="32"/>
    </row>
    <row r="26" spans="1:23" ht="15" customHeight="1">
      <c r="A26" s="31">
        <f t="shared" si="4"/>
        <v>23</v>
      </c>
      <c r="B26" s="68"/>
      <c r="C26" s="60" t="str">
        <f>IF($A26&gt;$A$3,"",IF(VLOOKUP($A26,'Fan Data'!$B$4:$M$487,C$49,FALSE)="","",VLOOKUP($A26,'Fan Data'!$B$4:$M$487,C$49,FALSE)))</f>
        <v/>
      </c>
      <c r="D26" s="77" t="str">
        <f>IF($A26&gt;$A$3,"",IF(VLOOKUP($A26,'Fan Data'!$B$4:$M$487,D$49,FALSE)="","",VLOOKUP($A26,'Fan Data'!$B$4:$M$487,D$49,FALSE)))</f>
        <v/>
      </c>
      <c r="E26" s="78" t="str">
        <f>IF($A26&gt;$A$3,"",IF(VLOOKUP($A26,'Fan Data'!$B$4:$M$487,E$49,FALSE)="","",VLOOKUP($A26,'Fan Data'!$B$4:$M$487,E$49,FALSE)))</f>
        <v/>
      </c>
      <c r="F26" s="78" t="str">
        <f>IF($A26&gt;$A$3,"",IF(VLOOKUP($A26,'Fan Data'!$B$4:$M$487,F$49,FALSE)="","",VLOOKUP($A26,'Fan Data'!$B$4:$M$487,F$49,FALSE)))</f>
        <v/>
      </c>
      <c r="G26" s="60" t="str">
        <f>IF($A26&gt;$A$3,"",IF(VLOOKUP($A26,'Fan Data'!$B$4:$M$487,G$49,FALSE)="","",VLOOKUP($A26,'Fan Data'!$B$4:$M$487,G$49,FALSE)))</f>
        <v/>
      </c>
      <c r="H26" s="32"/>
      <c r="I26" s="32"/>
      <c r="J26" s="32"/>
      <c r="K26" s="32"/>
      <c r="L26" s="66"/>
      <c r="M26" s="78" t="str">
        <f t="shared" si="5"/>
        <v/>
      </c>
      <c r="N26" s="77" t="str">
        <f t="shared" si="0"/>
        <v/>
      </c>
      <c r="O26" s="78" t="str">
        <f t="shared" si="6"/>
        <v/>
      </c>
      <c r="P26" s="61" t="str">
        <f t="shared" si="1"/>
        <v/>
      </c>
      <c r="Q26" s="61" t="str">
        <f t="shared" si="2"/>
        <v/>
      </c>
      <c r="R26" s="61" t="str">
        <f t="shared" si="3"/>
        <v/>
      </c>
      <c r="S26" s="32"/>
      <c r="T26" s="32"/>
      <c r="U26" s="58" t="str">
        <f>IF(V26="","",VLOOKUP(V26,'Fan Data'!$A$4:$D$487,3,FALSE))</f>
        <v>Ø570mm, 22kW, 2-Pole Standard and Attenuated (Single Stage)</v>
      </c>
      <c r="V26" s="31">
        <f t="shared" si="7"/>
        <v>10</v>
      </c>
      <c r="W26" s="32"/>
    </row>
    <row r="27" spans="1:23" ht="15" customHeight="1">
      <c r="A27" s="31">
        <f t="shared" si="4"/>
        <v>24</v>
      </c>
      <c r="B27" s="68"/>
      <c r="C27" s="60" t="str">
        <f>IF($A27&gt;$A$3,"",IF(VLOOKUP($A27,'Fan Data'!$B$4:$M$487,C$49,FALSE)="","",VLOOKUP($A27,'Fan Data'!$B$4:$M$487,C$49,FALSE)))</f>
        <v/>
      </c>
      <c r="D27" s="77" t="str">
        <f>IF($A27&gt;$A$3,"",IF(VLOOKUP($A27,'Fan Data'!$B$4:$M$487,D$49,FALSE)="","",VLOOKUP($A27,'Fan Data'!$B$4:$M$487,D$49,FALSE)))</f>
        <v/>
      </c>
      <c r="E27" s="78" t="str">
        <f>IF($A27&gt;$A$3,"",IF(VLOOKUP($A27,'Fan Data'!$B$4:$M$487,E$49,FALSE)="","",VLOOKUP($A27,'Fan Data'!$B$4:$M$487,E$49,FALSE)))</f>
        <v/>
      </c>
      <c r="F27" s="78" t="str">
        <f>IF($A27&gt;$A$3,"",IF(VLOOKUP($A27,'Fan Data'!$B$4:$M$487,F$49,FALSE)="","",VLOOKUP($A27,'Fan Data'!$B$4:$M$487,F$49,FALSE)))</f>
        <v/>
      </c>
      <c r="G27" s="60" t="str">
        <f>IF($A27&gt;$A$3,"",IF(VLOOKUP($A27,'Fan Data'!$B$4:$M$487,G$49,FALSE)="","",VLOOKUP($A27,'Fan Data'!$B$4:$M$487,G$49,FALSE)))</f>
        <v/>
      </c>
      <c r="H27" s="32"/>
      <c r="I27" s="32"/>
      <c r="J27" s="32"/>
      <c r="K27" s="32"/>
      <c r="L27" s="66"/>
      <c r="M27" s="78" t="str">
        <f t="shared" si="5"/>
        <v/>
      </c>
      <c r="N27" s="77" t="str">
        <f t="shared" si="0"/>
        <v/>
      </c>
      <c r="O27" s="78" t="str">
        <f t="shared" si="6"/>
        <v/>
      </c>
      <c r="P27" s="61" t="str">
        <f t="shared" si="1"/>
        <v/>
      </c>
      <c r="Q27" s="61" t="str">
        <f t="shared" si="2"/>
        <v/>
      </c>
      <c r="R27" s="61" t="str">
        <f t="shared" si="3"/>
        <v/>
      </c>
      <c r="S27" s="32"/>
      <c r="T27" s="32"/>
      <c r="U27" s="58" t="str">
        <f>IF(V27="","",VLOOKUP(V27,'Fan Data'!$A$4:$D$487,3,FALSE))</f>
        <v>Ø760mm, 18.5kW, 2-Pole Standard and Attenuated (Single Stage)</v>
      </c>
      <c r="V27" s="31">
        <f t="shared" si="7"/>
        <v>11</v>
      </c>
      <c r="W27" s="32"/>
    </row>
    <row r="28" spans="1:23" ht="15" customHeight="1">
      <c r="A28" s="31">
        <f t="shared" si="4"/>
        <v>25</v>
      </c>
      <c r="B28" s="68"/>
      <c r="C28" s="60" t="str">
        <f>IF($A28&gt;$A$3,"",IF(VLOOKUP($A28,'Fan Data'!$B$4:$M$487,C$49,FALSE)="","",VLOOKUP($A28,'Fan Data'!$B$4:$M$487,C$49,FALSE)))</f>
        <v/>
      </c>
      <c r="D28" s="77" t="str">
        <f>IF($A28&gt;$A$3,"",IF(VLOOKUP($A28,'Fan Data'!$B$4:$M$487,D$49,FALSE)="","",VLOOKUP($A28,'Fan Data'!$B$4:$M$487,D$49,FALSE)))</f>
        <v/>
      </c>
      <c r="E28" s="78" t="str">
        <f>IF($A28&gt;$A$3,"",IF(VLOOKUP($A28,'Fan Data'!$B$4:$M$487,E$49,FALSE)="","",VLOOKUP($A28,'Fan Data'!$B$4:$M$487,E$49,FALSE)))</f>
        <v/>
      </c>
      <c r="F28" s="78" t="str">
        <f>IF($A28&gt;$A$3,"",IF(VLOOKUP($A28,'Fan Data'!$B$4:$M$487,F$49,FALSE)="","",VLOOKUP($A28,'Fan Data'!$B$4:$M$487,F$49,FALSE)))</f>
        <v/>
      </c>
      <c r="G28" s="60" t="str">
        <f>IF($A28&gt;$A$3,"",IF(VLOOKUP($A28,'Fan Data'!$B$4:$M$487,G$49,FALSE)="","",VLOOKUP($A28,'Fan Data'!$B$4:$M$487,G$49,FALSE)))</f>
        <v/>
      </c>
      <c r="H28" s="32"/>
      <c r="I28" s="32"/>
      <c r="J28" s="32"/>
      <c r="K28" s="32"/>
      <c r="L28" s="66"/>
      <c r="M28" s="78" t="str">
        <f t="shared" si="5"/>
        <v/>
      </c>
      <c r="N28" s="77" t="str">
        <f t="shared" si="0"/>
        <v/>
      </c>
      <c r="O28" s="78" t="str">
        <f t="shared" si="6"/>
        <v/>
      </c>
      <c r="P28" s="61" t="str">
        <f t="shared" si="1"/>
        <v/>
      </c>
      <c r="Q28" s="61" t="str">
        <f t="shared" si="2"/>
        <v/>
      </c>
      <c r="R28" s="61" t="str">
        <f t="shared" si="3"/>
        <v/>
      </c>
      <c r="S28" s="32"/>
      <c r="T28" s="32"/>
      <c r="U28" s="58" t="str">
        <f>IF(V28="","",VLOOKUP(V28,'Fan Data'!$A$4:$D$487,3,FALSE))</f>
        <v>Ø760mm, 22kW, 4-Pole Durafan (Single Stage)</v>
      </c>
      <c r="V28" s="31">
        <f t="shared" si="7"/>
        <v>12</v>
      </c>
      <c r="W28" s="32"/>
    </row>
    <row r="29" spans="1:23" ht="15" customHeight="1">
      <c r="A29" s="31">
        <f t="shared" si="4"/>
        <v>26</v>
      </c>
      <c r="B29" s="68"/>
      <c r="C29" s="60" t="str">
        <f>IF($A29&gt;$A$3,"",IF(VLOOKUP($A29,'Fan Data'!$B$4:$M$487,C$49,FALSE)="","",VLOOKUP($A29,'Fan Data'!$B$4:$M$487,C$49,FALSE)))</f>
        <v/>
      </c>
      <c r="D29" s="77" t="str">
        <f>IF($A29&gt;$A$3,"",IF(VLOOKUP($A29,'Fan Data'!$B$4:$M$487,D$49,FALSE)="","",VLOOKUP($A29,'Fan Data'!$B$4:$M$487,D$49,FALSE)))</f>
        <v/>
      </c>
      <c r="E29" s="78" t="str">
        <f>IF($A29&gt;$A$3,"",IF(VLOOKUP($A29,'Fan Data'!$B$4:$M$487,E$49,FALSE)="","",VLOOKUP($A29,'Fan Data'!$B$4:$M$487,E$49,FALSE)))</f>
        <v/>
      </c>
      <c r="F29" s="78" t="str">
        <f>IF($A29&gt;$A$3,"",IF(VLOOKUP($A29,'Fan Data'!$B$4:$M$487,F$49,FALSE)="","",VLOOKUP($A29,'Fan Data'!$B$4:$M$487,F$49,FALSE)))</f>
        <v/>
      </c>
      <c r="G29" s="60" t="str">
        <f>IF($A29&gt;$A$3,"",IF(VLOOKUP($A29,'Fan Data'!$B$4:$M$487,G$49,FALSE)="","",VLOOKUP($A29,'Fan Data'!$B$4:$M$487,G$49,FALSE)))</f>
        <v/>
      </c>
      <c r="H29" s="32"/>
      <c r="I29" s="32"/>
      <c r="J29" s="32"/>
      <c r="K29" s="32"/>
      <c r="L29" s="66"/>
      <c r="M29" s="78" t="str">
        <f t="shared" si="5"/>
        <v/>
      </c>
      <c r="N29" s="77" t="str">
        <f t="shared" si="0"/>
        <v/>
      </c>
      <c r="O29" s="78" t="str">
        <f t="shared" si="6"/>
        <v/>
      </c>
      <c r="P29" s="61" t="str">
        <f t="shared" si="1"/>
        <v/>
      </c>
      <c r="Q29" s="61" t="str">
        <f t="shared" si="2"/>
        <v/>
      </c>
      <c r="R29" s="61" t="str">
        <f t="shared" si="3"/>
        <v/>
      </c>
      <c r="S29" s="32"/>
      <c r="T29" s="32"/>
      <c r="U29" s="58" t="str">
        <f>IF(V29="","",VLOOKUP(V29,'Fan Data'!$A$4:$D$487,3,FALSE))</f>
        <v>Ø760mm, 22kW, 2-Pole Standard and Attenuated (Single Stage)</v>
      </c>
      <c r="V29" s="31">
        <f t="shared" si="7"/>
        <v>13</v>
      </c>
      <c r="W29" s="32"/>
    </row>
    <row r="30" spans="1:23" ht="15" customHeight="1">
      <c r="A30" s="31">
        <f t="shared" si="4"/>
        <v>27</v>
      </c>
      <c r="B30" s="68"/>
      <c r="C30" s="60" t="str">
        <f>IF($A30&gt;$A$3,"",IF(VLOOKUP($A30,'Fan Data'!$B$4:$M$487,C$49,FALSE)="","",VLOOKUP($A30,'Fan Data'!$B$4:$M$487,C$49,FALSE)))</f>
        <v/>
      </c>
      <c r="D30" s="77" t="str">
        <f>IF($A30&gt;$A$3,"",IF(VLOOKUP($A30,'Fan Data'!$B$4:$M$487,D$49,FALSE)="","",VLOOKUP($A30,'Fan Data'!$B$4:$M$487,D$49,FALSE)))</f>
        <v/>
      </c>
      <c r="E30" s="78" t="str">
        <f>IF($A30&gt;$A$3,"",IF(VLOOKUP($A30,'Fan Data'!$B$4:$M$487,E$49,FALSE)="","",VLOOKUP($A30,'Fan Data'!$B$4:$M$487,E$49,FALSE)))</f>
        <v/>
      </c>
      <c r="F30" s="78" t="str">
        <f>IF($A30&gt;$A$3,"",IF(VLOOKUP($A30,'Fan Data'!$B$4:$M$487,F$49,FALSE)="","",VLOOKUP($A30,'Fan Data'!$B$4:$M$487,F$49,FALSE)))</f>
        <v/>
      </c>
      <c r="G30" s="60" t="str">
        <f>IF($A30&gt;$A$3,"",IF(VLOOKUP($A30,'Fan Data'!$B$4:$M$487,G$49,FALSE)="","",VLOOKUP($A30,'Fan Data'!$B$4:$M$487,G$49,FALSE)))</f>
        <v/>
      </c>
      <c r="H30" s="32"/>
      <c r="I30" s="32"/>
      <c r="J30" s="32"/>
      <c r="K30" s="32"/>
      <c r="L30" s="66"/>
      <c r="M30" s="78" t="str">
        <f t="shared" si="5"/>
        <v/>
      </c>
      <c r="N30" s="77" t="str">
        <f t="shared" si="0"/>
        <v/>
      </c>
      <c r="O30" s="78" t="str">
        <f t="shared" si="6"/>
        <v/>
      </c>
      <c r="P30" s="61" t="str">
        <f t="shared" si="1"/>
        <v/>
      </c>
      <c r="Q30" s="61" t="str">
        <f t="shared" si="2"/>
        <v/>
      </c>
      <c r="R30" s="61" t="str">
        <f t="shared" si="3"/>
        <v/>
      </c>
      <c r="S30" s="32"/>
      <c r="T30" s="32"/>
      <c r="U30" s="58" t="str">
        <f>IF(V30="","",VLOOKUP(V30,'Fan Data'!$A$4:$D$487,3,FALSE))</f>
        <v>Ø760mm, 22kW, 4-Pole Standard and Attenuated (Single Stage)</v>
      </c>
      <c r="V30" s="31">
        <f t="shared" si="7"/>
        <v>14</v>
      </c>
      <c r="W30" s="32"/>
    </row>
    <row r="31" spans="1:23" ht="15" customHeight="1">
      <c r="A31" s="31">
        <f t="shared" si="4"/>
        <v>28</v>
      </c>
      <c r="B31" s="68"/>
      <c r="C31" s="60" t="str">
        <f>IF($A31&gt;$A$3,"",IF(VLOOKUP($A31,'Fan Data'!$B$4:$M$487,C$49,FALSE)="","",VLOOKUP($A31,'Fan Data'!$B$4:$M$487,C$49,FALSE)))</f>
        <v/>
      </c>
      <c r="D31" s="77" t="str">
        <f>IF($A31&gt;$A$3,"",IF(VLOOKUP($A31,'Fan Data'!$B$4:$M$487,D$49,FALSE)="","",VLOOKUP($A31,'Fan Data'!$B$4:$M$487,D$49,FALSE)))</f>
        <v/>
      </c>
      <c r="E31" s="78" t="str">
        <f>IF($A31&gt;$A$3,"",IF(VLOOKUP($A31,'Fan Data'!$B$4:$M$487,E$49,FALSE)="","",VLOOKUP($A31,'Fan Data'!$B$4:$M$487,E$49,FALSE)))</f>
        <v/>
      </c>
      <c r="F31" s="78" t="str">
        <f>IF($A31&gt;$A$3,"",IF(VLOOKUP($A31,'Fan Data'!$B$4:$M$487,F$49,FALSE)="","",VLOOKUP($A31,'Fan Data'!$B$4:$M$487,F$49,FALSE)))</f>
        <v/>
      </c>
      <c r="G31" s="60" t="str">
        <f>IF($A31&gt;$A$3,"",IF(VLOOKUP($A31,'Fan Data'!$B$4:$M$487,G$49,FALSE)="","",VLOOKUP($A31,'Fan Data'!$B$4:$M$487,G$49,FALSE)))</f>
        <v/>
      </c>
      <c r="H31" s="32"/>
      <c r="I31" s="32"/>
      <c r="J31" s="32"/>
      <c r="K31" s="32"/>
      <c r="L31" s="66"/>
      <c r="M31" s="78" t="str">
        <f t="shared" si="5"/>
        <v/>
      </c>
      <c r="N31" s="77" t="str">
        <f t="shared" si="0"/>
        <v/>
      </c>
      <c r="O31" s="78" t="str">
        <f t="shared" si="6"/>
        <v/>
      </c>
      <c r="P31" s="61" t="str">
        <f t="shared" si="1"/>
        <v/>
      </c>
      <c r="Q31" s="61" t="str">
        <f t="shared" si="2"/>
        <v/>
      </c>
      <c r="R31" s="61" t="str">
        <f t="shared" si="3"/>
        <v/>
      </c>
      <c r="S31" s="32"/>
      <c r="T31" s="32"/>
      <c r="U31" s="58" t="str">
        <f>IF(V31="","",VLOOKUP(V31,'Fan Data'!$A$4:$D$487,3,FALSE))</f>
        <v>Ø760mm, 30kW, 2-Pole Standard and Attenuated (Single Stage)</v>
      </c>
      <c r="V31" s="31">
        <f t="shared" si="7"/>
        <v>15</v>
      </c>
      <c r="W31" s="32"/>
    </row>
    <row r="32" spans="1:23" ht="15" customHeight="1">
      <c r="A32" s="31">
        <f t="shared" si="4"/>
        <v>29</v>
      </c>
      <c r="B32" s="68"/>
      <c r="C32" s="60" t="str">
        <f>IF($A32&gt;$A$3,"",IF(VLOOKUP($A32,'Fan Data'!$B$4:$M$487,C$49,FALSE)="","",VLOOKUP($A32,'Fan Data'!$B$4:$M$487,C$49,FALSE)))</f>
        <v/>
      </c>
      <c r="D32" s="77" t="str">
        <f>IF($A32&gt;$A$3,"",IF(VLOOKUP($A32,'Fan Data'!$B$4:$M$487,D$49,FALSE)="","",VLOOKUP($A32,'Fan Data'!$B$4:$M$487,D$49,FALSE)))</f>
        <v/>
      </c>
      <c r="E32" s="78" t="str">
        <f>IF($A32&gt;$A$3,"",IF(VLOOKUP($A32,'Fan Data'!$B$4:$M$487,E$49,FALSE)="","",VLOOKUP($A32,'Fan Data'!$B$4:$M$487,E$49,FALSE)))</f>
        <v/>
      </c>
      <c r="F32" s="78" t="str">
        <f>IF($A32&gt;$A$3,"",IF(VLOOKUP($A32,'Fan Data'!$B$4:$M$487,F$49,FALSE)="","",VLOOKUP($A32,'Fan Data'!$B$4:$M$487,F$49,FALSE)))</f>
        <v/>
      </c>
      <c r="G32" s="60" t="str">
        <f>IF($A32&gt;$A$3,"",IF(VLOOKUP($A32,'Fan Data'!$B$4:$M$487,G$49,FALSE)="","",VLOOKUP($A32,'Fan Data'!$B$4:$M$487,G$49,FALSE)))</f>
        <v/>
      </c>
      <c r="H32" s="32"/>
      <c r="I32" s="32"/>
      <c r="J32" s="32"/>
      <c r="K32" s="32"/>
      <c r="L32" s="66"/>
      <c r="M32" s="78" t="str">
        <f t="shared" si="5"/>
        <v/>
      </c>
      <c r="N32" s="77" t="str">
        <f t="shared" si="0"/>
        <v/>
      </c>
      <c r="O32" s="78" t="str">
        <f t="shared" si="6"/>
        <v/>
      </c>
      <c r="P32" s="61" t="str">
        <f t="shared" si="1"/>
        <v/>
      </c>
      <c r="Q32" s="61" t="str">
        <f t="shared" si="2"/>
        <v/>
      </c>
      <c r="R32" s="61" t="str">
        <f t="shared" si="3"/>
        <v/>
      </c>
      <c r="S32" s="32"/>
      <c r="T32" s="32"/>
      <c r="U32" s="58" t="str">
        <f>IF(V32="","",VLOOKUP(V32,'Fan Data'!$A$4:$D$487,3,FALSE))</f>
        <v>Ø760mm, 37kW, 2-Pole Standard and Attenuated (Single Stage)</v>
      </c>
      <c r="V32" s="31">
        <f t="shared" si="7"/>
        <v>16</v>
      </c>
      <c r="W32" s="32"/>
    </row>
    <row r="33" spans="1:23" ht="15" customHeight="1">
      <c r="A33" s="31">
        <f t="shared" si="4"/>
        <v>30</v>
      </c>
      <c r="B33" s="68"/>
      <c r="C33" s="60" t="str">
        <f>IF($A33&gt;$A$3,"",IF(VLOOKUP($A33,'Fan Data'!$B$4:$M$487,C$49,FALSE)="","",VLOOKUP($A33,'Fan Data'!$B$4:$M$487,C$49,FALSE)))</f>
        <v/>
      </c>
      <c r="D33" s="77" t="str">
        <f>IF($A33&gt;$A$3,"",IF(VLOOKUP($A33,'Fan Data'!$B$4:$M$487,D$49,FALSE)="","",VLOOKUP($A33,'Fan Data'!$B$4:$M$487,D$49,FALSE)))</f>
        <v/>
      </c>
      <c r="E33" s="78" t="str">
        <f>IF($A33&gt;$A$3,"",IF(VLOOKUP($A33,'Fan Data'!$B$4:$M$487,E$49,FALSE)="","",VLOOKUP($A33,'Fan Data'!$B$4:$M$487,E$49,FALSE)))</f>
        <v/>
      </c>
      <c r="F33" s="78" t="str">
        <f>IF($A33&gt;$A$3,"",IF(VLOOKUP($A33,'Fan Data'!$B$4:$M$487,F$49,FALSE)="","",VLOOKUP($A33,'Fan Data'!$B$4:$M$487,F$49,FALSE)))</f>
        <v/>
      </c>
      <c r="G33" s="60" t="str">
        <f>IF($A33&gt;$A$3,"",IF(VLOOKUP($A33,'Fan Data'!$B$4:$M$487,G$49,FALSE)="","",VLOOKUP($A33,'Fan Data'!$B$4:$M$487,G$49,FALSE)))</f>
        <v/>
      </c>
      <c r="H33" s="32"/>
      <c r="I33" s="32"/>
      <c r="J33" s="32"/>
      <c r="K33" s="32"/>
      <c r="L33" s="66"/>
      <c r="M33" s="78" t="str">
        <f t="shared" si="5"/>
        <v/>
      </c>
      <c r="N33" s="77" t="str">
        <f t="shared" si="0"/>
        <v/>
      </c>
      <c r="O33" s="78" t="str">
        <f t="shared" si="6"/>
        <v/>
      </c>
      <c r="P33" s="61" t="str">
        <f t="shared" si="1"/>
        <v/>
      </c>
      <c r="Q33" s="61" t="str">
        <f t="shared" si="2"/>
        <v/>
      </c>
      <c r="R33" s="61" t="str">
        <f t="shared" si="3"/>
        <v/>
      </c>
      <c r="S33" s="32"/>
      <c r="T33" s="32"/>
      <c r="U33" s="58" t="str">
        <f>IF(V33="","",VLOOKUP(V33,'Fan Data'!$A$4:$D$487,3,FALSE))</f>
        <v>Ø760mm, 45kW, 4-Pole Durafan (Single Stage)</v>
      </c>
      <c r="V33" s="31">
        <f t="shared" si="7"/>
        <v>17</v>
      </c>
      <c r="W33" s="32"/>
    </row>
    <row r="34" spans="1:23" ht="15" customHeight="1">
      <c r="A34" s="31">
        <f t="shared" si="4"/>
        <v>31</v>
      </c>
      <c r="B34" s="68"/>
      <c r="C34" s="60" t="str">
        <f>IF($A34&gt;$A$3,"",IF(VLOOKUP($A34,'Fan Data'!$B$4:$M$487,C$49,FALSE)="","",VLOOKUP($A34,'Fan Data'!$B$4:$M$487,C$49,FALSE)))</f>
        <v/>
      </c>
      <c r="D34" s="77" t="str">
        <f>IF($A34&gt;$A$3,"",IF(VLOOKUP($A34,'Fan Data'!$B$4:$M$487,D$49,FALSE)="","",VLOOKUP($A34,'Fan Data'!$B$4:$M$487,D$49,FALSE)))</f>
        <v/>
      </c>
      <c r="E34" s="78" t="str">
        <f>IF($A34&gt;$A$3,"",IF(VLOOKUP($A34,'Fan Data'!$B$4:$M$487,E$49,FALSE)="","",VLOOKUP($A34,'Fan Data'!$B$4:$M$487,E$49,FALSE)))</f>
        <v/>
      </c>
      <c r="F34" s="78" t="str">
        <f>IF($A34&gt;$A$3,"",IF(VLOOKUP($A34,'Fan Data'!$B$4:$M$487,F$49,FALSE)="","",VLOOKUP($A34,'Fan Data'!$B$4:$M$487,F$49,FALSE)))</f>
        <v/>
      </c>
      <c r="G34" s="60" t="str">
        <f>IF($A34&gt;$A$3,"",IF(VLOOKUP($A34,'Fan Data'!$B$4:$M$487,G$49,FALSE)="","",VLOOKUP($A34,'Fan Data'!$B$4:$M$487,G$49,FALSE)))</f>
        <v/>
      </c>
      <c r="H34" s="32"/>
      <c r="I34" s="32"/>
      <c r="J34" s="32"/>
      <c r="K34" s="32"/>
      <c r="L34" s="66"/>
      <c r="M34" s="78" t="str">
        <f t="shared" si="5"/>
        <v/>
      </c>
      <c r="N34" s="77" t="str">
        <f t="shared" si="0"/>
        <v/>
      </c>
      <c r="O34" s="78" t="str">
        <f t="shared" si="6"/>
        <v/>
      </c>
      <c r="P34" s="61" t="str">
        <f t="shared" si="1"/>
        <v/>
      </c>
      <c r="Q34" s="61" t="str">
        <f t="shared" si="2"/>
        <v/>
      </c>
      <c r="R34" s="61" t="str">
        <f t="shared" si="3"/>
        <v/>
      </c>
      <c r="S34" s="32"/>
      <c r="T34" s="32"/>
      <c r="U34" s="58" t="str">
        <f>IF(V34="","",VLOOKUP(V34,'Fan Data'!$A$4:$D$487,3,FALSE))</f>
        <v>Ø760mm, 45kW, 2-Pole Standard and Attenuated (Single Stage)</v>
      </c>
      <c r="V34" s="31">
        <f t="shared" si="7"/>
        <v>18</v>
      </c>
      <c r="W34" s="32"/>
    </row>
    <row r="35" spans="1:23" ht="15" customHeight="1">
      <c r="A35" s="31">
        <f t="shared" si="4"/>
        <v>32</v>
      </c>
      <c r="B35" s="68"/>
      <c r="C35" s="60" t="str">
        <f>IF($A35&gt;$A$3,"",IF(VLOOKUP($A35,'Fan Data'!$B$4:$M$487,C$49,FALSE)="","",VLOOKUP($A35,'Fan Data'!$B$4:$M$487,C$49,FALSE)))</f>
        <v/>
      </c>
      <c r="D35" s="77" t="str">
        <f>IF($A35&gt;$A$3,"",IF(VLOOKUP($A35,'Fan Data'!$B$4:$M$487,D$49,FALSE)="","",VLOOKUP($A35,'Fan Data'!$B$4:$M$487,D$49,FALSE)))</f>
        <v/>
      </c>
      <c r="E35" s="78" t="str">
        <f>IF($A35&gt;$A$3,"",IF(VLOOKUP($A35,'Fan Data'!$B$4:$M$487,E$49,FALSE)="","",VLOOKUP($A35,'Fan Data'!$B$4:$M$487,E$49,FALSE)))</f>
        <v/>
      </c>
      <c r="F35" s="78" t="str">
        <f>IF($A35&gt;$A$3,"",IF(VLOOKUP($A35,'Fan Data'!$B$4:$M$487,F$49,FALSE)="","",VLOOKUP($A35,'Fan Data'!$B$4:$M$487,F$49,FALSE)))</f>
        <v/>
      </c>
      <c r="G35" s="60" t="str">
        <f>IF($A35&gt;$A$3,"",IF(VLOOKUP($A35,'Fan Data'!$B$4:$M$487,G$49,FALSE)="","",VLOOKUP($A35,'Fan Data'!$B$4:$M$487,G$49,FALSE)))</f>
        <v/>
      </c>
      <c r="H35" s="32"/>
      <c r="I35" s="32"/>
      <c r="J35" s="32"/>
      <c r="K35" s="32"/>
      <c r="L35" s="66"/>
      <c r="M35" s="78" t="str">
        <f t="shared" si="5"/>
        <v/>
      </c>
      <c r="N35" s="77" t="str">
        <f t="shared" si="0"/>
        <v/>
      </c>
      <c r="O35" s="78" t="str">
        <f t="shared" si="6"/>
        <v/>
      </c>
      <c r="P35" s="61" t="str">
        <f t="shared" si="1"/>
        <v/>
      </c>
      <c r="Q35" s="61" t="str">
        <f t="shared" si="2"/>
        <v/>
      </c>
      <c r="R35" s="61" t="str">
        <f t="shared" si="3"/>
        <v/>
      </c>
      <c r="S35" s="32"/>
      <c r="T35" s="32"/>
      <c r="U35" s="58" t="str">
        <f>IF(V35="","",VLOOKUP(V35,'Fan Data'!$A$4:$D$487,3,FALSE))</f>
        <v>Ø1016mm, 75kW, 2-Pole Standard and Attenuated (Single Stage)</v>
      </c>
      <c r="V35" s="31">
        <f t="shared" si="7"/>
        <v>19</v>
      </c>
      <c r="W35" s="32"/>
    </row>
    <row r="36" spans="1:23" ht="15" customHeight="1">
      <c r="A36" s="31">
        <f t="shared" si="4"/>
        <v>33</v>
      </c>
      <c r="B36" s="68"/>
      <c r="C36" s="60" t="str">
        <f>IF($A36&gt;$A$3,"",IF(VLOOKUP($A36,'Fan Data'!$B$4:$M$487,C$49,FALSE)="","",VLOOKUP($A36,'Fan Data'!$B$4:$M$487,C$49,FALSE)))</f>
        <v/>
      </c>
      <c r="D36" s="77" t="str">
        <f>IF($A36&gt;$A$3,"",IF(VLOOKUP($A36,'Fan Data'!$B$4:$M$487,D$49,FALSE)="","",VLOOKUP($A36,'Fan Data'!$B$4:$M$487,D$49,FALSE)))</f>
        <v/>
      </c>
      <c r="E36" s="78" t="str">
        <f>IF($A36&gt;$A$3,"",IF(VLOOKUP($A36,'Fan Data'!$B$4:$M$487,E$49,FALSE)="","",VLOOKUP($A36,'Fan Data'!$B$4:$M$487,E$49,FALSE)))</f>
        <v/>
      </c>
      <c r="F36" s="78" t="str">
        <f>IF($A36&gt;$A$3,"",IF(VLOOKUP($A36,'Fan Data'!$B$4:$M$487,F$49,FALSE)="","",VLOOKUP($A36,'Fan Data'!$B$4:$M$487,F$49,FALSE)))</f>
        <v/>
      </c>
      <c r="G36" s="60" t="str">
        <f>IF($A36&gt;$A$3,"",IF(VLOOKUP($A36,'Fan Data'!$B$4:$M$487,G$49,FALSE)="","",VLOOKUP($A36,'Fan Data'!$B$4:$M$487,G$49,FALSE)))</f>
        <v/>
      </c>
      <c r="H36" s="32"/>
      <c r="I36" s="32"/>
      <c r="J36" s="32"/>
      <c r="K36" s="32"/>
      <c r="L36" s="66"/>
      <c r="M36" s="78" t="str">
        <f t="shared" si="5"/>
        <v/>
      </c>
      <c r="N36" s="77" t="str">
        <f t="shared" si="0"/>
        <v/>
      </c>
      <c r="O36" s="78" t="str">
        <f t="shared" si="6"/>
        <v/>
      </c>
      <c r="P36" s="61" t="str">
        <f t="shared" si="1"/>
        <v/>
      </c>
      <c r="Q36" s="61" t="str">
        <f t="shared" si="2"/>
        <v/>
      </c>
      <c r="R36" s="61" t="str">
        <f t="shared" si="3"/>
        <v/>
      </c>
      <c r="S36" s="32"/>
      <c r="T36" s="32"/>
      <c r="U36" s="58" t="str">
        <f>IF(V36="","",VLOOKUP(V36,'Fan Data'!$A$4:$D$487,3,FALSE))</f>
        <v>Ø1220mm, 37kW, 4-Pole Standard and Attenuated (Double Stage)</v>
      </c>
      <c r="V36" s="31">
        <f t="shared" si="7"/>
        <v>20</v>
      </c>
    </row>
    <row r="37" spans="1:23" ht="15" customHeight="1">
      <c r="A37" s="31">
        <f t="shared" si="4"/>
        <v>34</v>
      </c>
      <c r="B37" s="68"/>
      <c r="C37" s="60" t="str">
        <f>IF($A37&gt;$A$3,"",IF(VLOOKUP($A37,'Fan Data'!$B$4:$M$487,C$49,FALSE)="","",VLOOKUP($A37,'Fan Data'!$B$4:$M$487,C$49,FALSE)))</f>
        <v/>
      </c>
      <c r="D37" s="77" t="str">
        <f>IF($A37&gt;$A$3,"",IF(VLOOKUP($A37,'Fan Data'!$B$4:$M$487,D$49,FALSE)="","",VLOOKUP($A37,'Fan Data'!$B$4:$M$487,D$49,FALSE)))</f>
        <v/>
      </c>
      <c r="E37" s="78" t="str">
        <f>IF($A37&gt;$A$3,"",IF(VLOOKUP($A37,'Fan Data'!$B$4:$M$487,E$49,FALSE)="","",VLOOKUP($A37,'Fan Data'!$B$4:$M$487,E$49,FALSE)))</f>
        <v/>
      </c>
      <c r="F37" s="78" t="str">
        <f>IF($A37&gt;$A$3,"",IF(VLOOKUP($A37,'Fan Data'!$B$4:$M$487,F$49,FALSE)="","",VLOOKUP($A37,'Fan Data'!$B$4:$M$487,F$49,FALSE)))</f>
        <v/>
      </c>
      <c r="G37" s="60" t="str">
        <f>IF($A37&gt;$A$3,"",IF(VLOOKUP($A37,'Fan Data'!$B$4:$M$487,G$49,FALSE)="","",VLOOKUP($A37,'Fan Data'!$B$4:$M$487,G$49,FALSE)))</f>
        <v/>
      </c>
      <c r="H37" s="32"/>
      <c r="I37" s="32"/>
      <c r="J37" s="32"/>
      <c r="K37" s="32"/>
      <c r="L37" s="66"/>
      <c r="M37" s="78" t="str">
        <f t="shared" si="5"/>
        <v/>
      </c>
      <c r="N37" s="77" t="str">
        <f t="shared" si="0"/>
        <v/>
      </c>
      <c r="O37" s="78" t="str">
        <f t="shared" si="6"/>
        <v/>
      </c>
      <c r="P37" s="61" t="str">
        <f t="shared" si="1"/>
        <v/>
      </c>
      <c r="Q37" s="61" t="str">
        <f t="shared" si="2"/>
        <v/>
      </c>
      <c r="R37" s="61" t="str">
        <f t="shared" si="3"/>
        <v/>
      </c>
      <c r="U37" s="58" t="str">
        <f>IF(V37="","",VLOOKUP(V37,'Fan Data'!$A$4:$D$487,3,FALSE))</f>
        <v>Ø1220mm, 37kW, 4-Pole Standard and Attenuated (Single Stage)</v>
      </c>
      <c r="V37" s="31">
        <f t="shared" si="7"/>
        <v>21</v>
      </c>
    </row>
    <row r="38" spans="1:23" ht="15" customHeight="1">
      <c r="A38" s="31">
        <f t="shared" si="4"/>
        <v>35</v>
      </c>
      <c r="B38" s="68"/>
      <c r="C38" s="60" t="str">
        <f>IF($A38&gt;$A$3,"",IF(VLOOKUP($A38,'Fan Data'!$B$4:$M$487,C$49,FALSE)="","",VLOOKUP($A38,'Fan Data'!$B$4:$M$487,C$49,FALSE)))</f>
        <v/>
      </c>
      <c r="D38" s="77" t="str">
        <f>IF($A38&gt;$A$3,"",IF(VLOOKUP($A38,'Fan Data'!$B$4:$M$487,D$49,FALSE)="","",VLOOKUP($A38,'Fan Data'!$B$4:$M$487,D$49,FALSE)))</f>
        <v/>
      </c>
      <c r="E38" s="78" t="str">
        <f>IF($A38&gt;$A$3,"",IF(VLOOKUP($A38,'Fan Data'!$B$4:$M$487,E$49,FALSE)="","",VLOOKUP($A38,'Fan Data'!$B$4:$M$487,E$49,FALSE)))</f>
        <v/>
      </c>
      <c r="F38" s="78" t="str">
        <f>IF($A38&gt;$A$3,"",IF(VLOOKUP($A38,'Fan Data'!$B$4:$M$487,F$49,FALSE)="","",VLOOKUP($A38,'Fan Data'!$B$4:$M$487,F$49,FALSE)))</f>
        <v/>
      </c>
      <c r="G38" s="60" t="str">
        <f>IF($A38&gt;$A$3,"",IF(VLOOKUP($A38,'Fan Data'!$B$4:$M$487,G$49,FALSE)="","",VLOOKUP($A38,'Fan Data'!$B$4:$M$487,G$49,FALSE)))</f>
        <v/>
      </c>
      <c r="H38" s="32"/>
      <c r="I38" s="32"/>
      <c r="J38" s="32"/>
      <c r="K38" s="32"/>
      <c r="L38" s="66"/>
      <c r="M38" s="78" t="str">
        <f t="shared" si="5"/>
        <v/>
      </c>
      <c r="N38" s="77" t="str">
        <f t="shared" si="0"/>
        <v/>
      </c>
      <c r="O38" s="78" t="str">
        <f t="shared" si="6"/>
        <v/>
      </c>
      <c r="P38" s="61" t="str">
        <f t="shared" si="1"/>
        <v/>
      </c>
      <c r="Q38" s="61" t="str">
        <f t="shared" si="2"/>
        <v/>
      </c>
      <c r="R38" s="61" t="str">
        <f t="shared" si="3"/>
        <v/>
      </c>
      <c r="U38" s="58" t="str">
        <f>IF(V38="","",VLOOKUP(V38,'Fan Data'!$A$4:$D$487,3,FALSE))</f>
        <v>Ø1220mm, 75kW, 4-Pole Standard and Attenuated (Single Stage)</v>
      </c>
      <c r="V38" s="31">
        <f t="shared" si="7"/>
        <v>22</v>
      </c>
    </row>
    <row r="39" spans="1:23" ht="15" customHeight="1">
      <c r="A39" s="31">
        <f t="shared" si="4"/>
        <v>36</v>
      </c>
      <c r="B39" s="68"/>
      <c r="C39" s="60" t="str">
        <f>IF($A39&gt;$A$3,"",IF(VLOOKUP($A39,'Fan Data'!$B$4:$M$487,C$49,FALSE)="","",VLOOKUP($A39,'Fan Data'!$B$4:$M$487,C$49,FALSE)))</f>
        <v/>
      </c>
      <c r="D39" s="77" t="str">
        <f>IF($A39&gt;$A$3,"",IF(VLOOKUP($A39,'Fan Data'!$B$4:$M$487,D$49,FALSE)="","",VLOOKUP($A39,'Fan Data'!$B$4:$M$487,D$49,FALSE)))</f>
        <v/>
      </c>
      <c r="E39" s="78" t="str">
        <f>IF($A39&gt;$A$3,"",IF(VLOOKUP($A39,'Fan Data'!$B$4:$M$487,E$49,FALSE)="","",VLOOKUP($A39,'Fan Data'!$B$4:$M$487,E$49,FALSE)))</f>
        <v/>
      </c>
      <c r="F39" s="78" t="str">
        <f>IF($A39&gt;$A$3,"",IF(VLOOKUP($A39,'Fan Data'!$B$4:$M$487,F$49,FALSE)="","",VLOOKUP($A39,'Fan Data'!$B$4:$M$487,F$49,FALSE)))</f>
        <v/>
      </c>
      <c r="G39" s="60" t="str">
        <f>IF($A39&gt;$A$3,"",IF(VLOOKUP($A39,'Fan Data'!$B$4:$M$487,G$49,FALSE)="","",VLOOKUP($A39,'Fan Data'!$B$4:$M$487,G$49,FALSE)))</f>
        <v/>
      </c>
      <c r="H39" s="32"/>
      <c r="I39" s="32"/>
      <c r="J39" s="32"/>
      <c r="K39" s="32"/>
      <c r="L39" s="66"/>
      <c r="M39" s="78" t="str">
        <f t="shared" si="5"/>
        <v/>
      </c>
      <c r="N39" s="77" t="str">
        <f t="shared" si="0"/>
        <v/>
      </c>
      <c r="O39" s="78" t="str">
        <f t="shared" si="6"/>
        <v/>
      </c>
      <c r="P39" s="61" t="str">
        <f t="shared" si="1"/>
        <v/>
      </c>
      <c r="Q39" s="61" t="str">
        <f t="shared" si="2"/>
        <v/>
      </c>
      <c r="R39" s="61" t="str">
        <f t="shared" si="3"/>
        <v/>
      </c>
      <c r="U39" s="58" t="str">
        <f>IF(V39="","",VLOOKUP(V39,'Fan Data'!$A$4:$D$487,3,FALSE))</f>
        <v/>
      </c>
      <c r="V39" s="31" t="str">
        <f t="shared" si="7"/>
        <v/>
      </c>
    </row>
    <row r="40" spans="1:23" ht="15" customHeight="1">
      <c r="A40" s="31">
        <f t="shared" si="4"/>
        <v>37</v>
      </c>
      <c r="B40" s="68"/>
      <c r="C40" s="60" t="str">
        <f>IF($A40&gt;$A$3,"",IF(VLOOKUP($A40,'Fan Data'!$B$4:$M$487,C$49,FALSE)="","",VLOOKUP($A40,'Fan Data'!$B$4:$M$487,C$49,FALSE)))</f>
        <v/>
      </c>
      <c r="D40" s="77" t="str">
        <f>IF($A40&gt;$A$3,"",IF(VLOOKUP($A40,'Fan Data'!$B$4:$M$487,D$49,FALSE)="","",VLOOKUP($A40,'Fan Data'!$B$4:$M$487,D$49,FALSE)))</f>
        <v/>
      </c>
      <c r="E40" s="78" t="str">
        <f>IF($A40&gt;$A$3,"",IF(VLOOKUP($A40,'Fan Data'!$B$4:$M$487,E$49,FALSE)="","",VLOOKUP($A40,'Fan Data'!$B$4:$M$487,E$49,FALSE)))</f>
        <v/>
      </c>
      <c r="F40" s="78" t="str">
        <f>IF($A40&gt;$A$3,"",IF(VLOOKUP($A40,'Fan Data'!$B$4:$M$487,F$49,FALSE)="","",VLOOKUP($A40,'Fan Data'!$B$4:$M$487,F$49,FALSE)))</f>
        <v/>
      </c>
      <c r="G40" s="60" t="str">
        <f>IF($A40&gt;$A$3,"",IF(VLOOKUP($A40,'Fan Data'!$B$4:$M$487,G$49,FALSE)="","",VLOOKUP($A40,'Fan Data'!$B$4:$M$487,G$49,FALSE)))</f>
        <v/>
      </c>
      <c r="H40" s="32"/>
      <c r="I40" s="32"/>
      <c r="J40" s="32"/>
      <c r="K40" s="32"/>
      <c r="L40" s="66"/>
      <c r="M40" s="78" t="str">
        <f t="shared" si="5"/>
        <v/>
      </c>
      <c r="N40" s="77" t="str">
        <f t="shared" si="0"/>
        <v/>
      </c>
      <c r="O40" s="78" t="str">
        <f t="shared" si="6"/>
        <v/>
      </c>
      <c r="P40" s="61" t="str">
        <f t="shared" si="1"/>
        <v/>
      </c>
      <c r="Q40" s="61" t="str">
        <f t="shared" si="2"/>
        <v/>
      </c>
      <c r="R40" s="61" t="str">
        <f t="shared" si="3"/>
        <v/>
      </c>
      <c r="U40" s="58" t="str">
        <f>IF(V40="","",VLOOKUP(V40,'Fan Data'!$A$4:$D$487,3,FALSE))</f>
        <v/>
      </c>
      <c r="V40" s="31" t="str">
        <f t="shared" si="7"/>
        <v/>
      </c>
    </row>
    <row r="41" spans="1:23" ht="15" customHeight="1">
      <c r="A41" s="31">
        <f t="shared" si="4"/>
        <v>38</v>
      </c>
      <c r="B41" s="68"/>
      <c r="C41" s="60" t="str">
        <f>IF($A41&gt;$A$3,"",IF(VLOOKUP($A41,'Fan Data'!$B$4:$M$487,C$49,FALSE)="","",VLOOKUP($A41,'Fan Data'!$B$4:$M$487,C$49,FALSE)))</f>
        <v/>
      </c>
      <c r="D41" s="77" t="str">
        <f>IF($A41&gt;$A$3,"",IF(VLOOKUP($A41,'Fan Data'!$B$4:$M$487,D$49,FALSE)="","",VLOOKUP($A41,'Fan Data'!$B$4:$M$487,D$49,FALSE)))</f>
        <v/>
      </c>
      <c r="E41" s="78" t="str">
        <f>IF($A41&gt;$A$3,"",IF(VLOOKUP($A41,'Fan Data'!$B$4:$M$487,E$49,FALSE)="","",VLOOKUP($A41,'Fan Data'!$B$4:$M$487,E$49,FALSE)))</f>
        <v/>
      </c>
      <c r="F41" s="78" t="str">
        <f>IF($A41&gt;$A$3,"",IF(VLOOKUP($A41,'Fan Data'!$B$4:$M$487,F$49,FALSE)="","",VLOOKUP($A41,'Fan Data'!$B$4:$M$487,F$49,FALSE)))</f>
        <v/>
      </c>
      <c r="G41" s="60" t="str">
        <f>IF($A41&gt;$A$3,"",IF(VLOOKUP($A41,'Fan Data'!$B$4:$M$487,G$49,FALSE)="","",VLOOKUP($A41,'Fan Data'!$B$4:$M$487,G$49,FALSE)))</f>
        <v/>
      </c>
      <c r="H41" s="32"/>
      <c r="I41" s="32"/>
      <c r="J41" s="32"/>
      <c r="K41" s="32"/>
      <c r="L41" s="66"/>
      <c r="M41" s="78" t="str">
        <f t="shared" si="5"/>
        <v/>
      </c>
      <c r="N41" s="77" t="str">
        <f t="shared" si="0"/>
        <v/>
      </c>
      <c r="O41" s="78" t="str">
        <f t="shared" si="6"/>
        <v/>
      </c>
      <c r="P41" s="61" t="str">
        <f t="shared" si="1"/>
        <v/>
      </c>
      <c r="Q41" s="61" t="str">
        <f t="shared" si="2"/>
        <v/>
      </c>
      <c r="R41" s="61" t="str">
        <f t="shared" si="3"/>
        <v/>
      </c>
      <c r="U41" s="58" t="str">
        <f>IF(V41="","",VLOOKUP(V41,'Fan Data'!$A$4:$D$487,3,FALSE))</f>
        <v/>
      </c>
      <c r="V41" s="31" t="str">
        <f t="shared" si="7"/>
        <v/>
      </c>
    </row>
    <row r="42" spans="1:23" ht="15" customHeight="1">
      <c r="A42" s="31">
        <f t="shared" si="4"/>
        <v>39</v>
      </c>
      <c r="B42" s="68"/>
      <c r="C42" s="60" t="str">
        <f>IF($A42&gt;$A$3,"",IF(VLOOKUP($A42,'Fan Data'!$B$4:$M$487,C$49,FALSE)="","",VLOOKUP($A42,'Fan Data'!$B$4:$M$487,C$49,FALSE)))</f>
        <v/>
      </c>
      <c r="D42" s="77" t="str">
        <f>IF($A42&gt;$A$3,"",IF(VLOOKUP($A42,'Fan Data'!$B$4:$M$487,D$49,FALSE)="","",VLOOKUP($A42,'Fan Data'!$B$4:$M$487,D$49,FALSE)))</f>
        <v/>
      </c>
      <c r="E42" s="78" t="str">
        <f>IF($A42&gt;$A$3,"",IF(VLOOKUP($A42,'Fan Data'!$B$4:$M$487,E$49,FALSE)="","",VLOOKUP($A42,'Fan Data'!$B$4:$M$487,E$49,FALSE)))</f>
        <v/>
      </c>
      <c r="F42" s="78" t="str">
        <f>IF($A42&gt;$A$3,"",IF(VLOOKUP($A42,'Fan Data'!$B$4:$M$487,F$49,FALSE)="","",VLOOKUP($A42,'Fan Data'!$B$4:$M$487,F$49,FALSE)))</f>
        <v/>
      </c>
      <c r="G42" s="60" t="str">
        <f>IF($A42&gt;$A$3,"",IF(VLOOKUP($A42,'Fan Data'!$B$4:$M$487,G$49,FALSE)="","",VLOOKUP($A42,'Fan Data'!$B$4:$M$487,G$49,FALSE)))</f>
        <v/>
      </c>
      <c r="H42" s="32"/>
      <c r="I42" s="32"/>
      <c r="J42" s="32"/>
      <c r="K42" s="32"/>
      <c r="L42" s="66"/>
      <c r="M42" s="78" t="str">
        <f t="shared" si="5"/>
        <v/>
      </c>
      <c r="N42" s="77" t="str">
        <f t="shared" si="0"/>
        <v/>
      </c>
      <c r="O42" s="78" t="str">
        <f t="shared" si="6"/>
        <v/>
      </c>
      <c r="P42" s="61" t="str">
        <f t="shared" si="1"/>
        <v/>
      </c>
      <c r="Q42" s="61" t="str">
        <f t="shared" si="2"/>
        <v/>
      </c>
      <c r="R42" s="61" t="str">
        <f t="shared" si="3"/>
        <v/>
      </c>
      <c r="U42" s="59" t="str">
        <f>IF(V42="","",VLOOKUP(V42,'Fan Data'!$A$4:$D$487,3,FALSE))</f>
        <v/>
      </c>
      <c r="V42" s="36" t="str">
        <f t="shared" si="7"/>
        <v/>
      </c>
    </row>
    <row r="43" spans="1:23" ht="15" customHeight="1">
      <c r="A43" s="31">
        <f t="shared" si="4"/>
        <v>40</v>
      </c>
      <c r="B43" s="68"/>
      <c r="C43" s="60" t="str">
        <f>IF($A43&gt;$A$3,"",IF(VLOOKUP($A43,'Fan Data'!$B$4:$M$487,C$49,FALSE)="","",VLOOKUP($A43,'Fan Data'!$B$4:$M$487,C$49,FALSE)))</f>
        <v/>
      </c>
      <c r="D43" s="77" t="str">
        <f>IF($A43&gt;$A$3,"",IF(VLOOKUP($A43,'Fan Data'!$B$4:$M$487,D$49,FALSE)="","",VLOOKUP($A43,'Fan Data'!$B$4:$M$487,D$49,FALSE)))</f>
        <v/>
      </c>
      <c r="E43" s="78" t="str">
        <f>IF($A43&gt;$A$3,"",IF(VLOOKUP($A43,'Fan Data'!$B$4:$M$487,E$49,FALSE)="","",VLOOKUP($A43,'Fan Data'!$B$4:$M$487,E$49,FALSE)))</f>
        <v/>
      </c>
      <c r="F43" s="78" t="str">
        <f>IF($A43&gt;$A$3,"",IF(VLOOKUP($A43,'Fan Data'!$B$4:$M$487,F$49,FALSE)="","",VLOOKUP($A43,'Fan Data'!$B$4:$M$487,F$49,FALSE)))</f>
        <v/>
      </c>
      <c r="G43" s="60" t="str">
        <f>IF($A43&gt;$A$3,"",IF(VLOOKUP($A43,'Fan Data'!$B$4:$M$487,G$49,FALSE)="","",VLOOKUP($A43,'Fan Data'!$B$4:$M$487,G$49,FALSE)))</f>
        <v/>
      </c>
      <c r="H43" s="32"/>
      <c r="I43" s="32"/>
      <c r="J43" s="32"/>
      <c r="K43" s="32"/>
      <c r="L43" s="66"/>
      <c r="M43" s="78" t="str">
        <f t="shared" si="5"/>
        <v/>
      </c>
      <c r="N43" s="77" t="str">
        <f t="shared" si="0"/>
        <v/>
      </c>
      <c r="O43" s="78" t="str">
        <f t="shared" si="6"/>
        <v/>
      </c>
      <c r="P43" s="61" t="str">
        <f t="shared" si="1"/>
        <v/>
      </c>
      <c r="Q43" s="61" t="str">
        <f t="shared" si="2"/>
        <v/>
      </c>
      <c r="R43" s="61" t="str">
        <f t="shared" si="3"/>
        <v/>
      </c>
      <c r="U43" s="58" t="str">
        <f>IF(V43="","",VLOOKUP(V43,'Fan Data'!$A$4:$D$487,3,FALSE))</f>
        <v/>
      </c>
      <c r="V43" s="31" t="str">
        <f t="shared" si="7"/>
        <v/>
      </c>
      <c r="W43" s="56"/>
    </row>
    <row r="44" spans="1:23" ht="15" customHeight="1">
      <c r="A44" s="31">
        <f t="shared" si="4"/>
        <v>41</v>
      </c>
      <c r="B44" s="68"/>
      <c r="C44" s="60" t="str">
        <f>IF($A44&gt;$A$3,"",IF(VLOOKUP($A44,'Fan Data'!$B$4:$M$487,C$49,FALSE)="","",VLOOKUP($A44,'Fan Data'!$B$4:$M$487,C$49,FALSE)))</f>
        <v/>
      </c>
      <c r="D44" s="77" t="str">
        <f>IF($A44&gt;$A$3,"",IF(VLOOKUP($A44,'Fan Data'!$B$4:$M$487,D$49,FALSE)="","",VLOOKUP($A44,'Fan Data'!$B$4:$M$487,D$49,FALSE)))</f>
        <v/>
      </c>
      <c r="E44" s="78" t="str">
        <f>IF($A44&gt;$A$3,"",IF(VLOOKUP($A44,'Fan Data'!$B$4:$M$487,E$49,FALSE)="","",VLOOKUP($A44,'Fan Data'!$B$4:$M$487,E$49,FALSE)))</f>
        <v/>
      </c>
      <c r="F44" s="78" t="str">
        <f>IF($A44&gt;$A$3,"",IF(VLOOKUP($A44,'Fan Data'!$B$4:$M$487,F$49,FALSE)="","",VLOOKUP($A44,'Fan Data'!$B$4:$M$487,F$49,FALSE)))</f>
        <v/>
      </c>
      <c r="G44" s="60" t="str">
        <f>IF($A44&gt;$A$3,"",IF(VLOOKUP($A44,'Fan Data'!$B$4:$M$487,G$49,FALSE)="","",VLOOKUP($A44,'Fan Data'!$B$4:$M$487,G$49,FALSE)))</f>
        <v/>
      </c>
      <c r="H44" s="32"/>
      <c r="I44" s="32"/>
      <c r="J44" s="32"/>
      <c r="K44" s="32"/>
      <c r="L44" s="66"/>
      <c r="M44" s="78" t="str">
        <f t="shared" si="5"/>
        <v/>
      </c>
      <c r="N44" s="77" t="str">
        <f>IF(D44="","",D44)</f>
        <v/>
      </c>
      <c r="O44" s="78" t="str">
        <f t="shared" si="6"/>
        <v/>
      </c>
      <c r="P44" s="61" t="str">
        <f t="shared" si="1"/>
        <v/>
      </c>
      <c r="Q44" s="61" t="str">
        <f t="shared" si="2"/>
        <v/>
      </c>
      <c r="R44" s="61" t="str">
        <f t="shared" si="3"/>
        <v/>
      </c>
      <c r="U44" s="58" t="str">
        <f>IF(V44="","",VLOOKUP(V44,'Fan Data'!$A$4:$D$487,3,FALSE))</f>
        <v/>
      </c>
      <c r="V44" s="31" t="str">
        <f t="shared" si="7"/>
        <v/>
      </c>
      <c r="W44" s="56"/>
    </row>
    <row r="45" spans="1:23" ht="15" customHeight="1">
      <c r="A45" s="31">
        <f t="shared" si="4"/>
        <v>42</v>
      </c>
      <c r="B45" s="68"/>
      <c r="C45" s="60" t="str">
        <f>IF($A45&gt;$A$3,"",IF(VLOOKUP($A45,'Fan Data'!$B$4:$M$487,C$49,FALSE)="","",VLOOKUP($A45,'Fan Data'!$B$4:$M$487,C$49,FALSE)))</f>
        <v/>
      </c>
      <c r="D45" s="77" t="str">
        <f>IF($A45&gt;$A$3,"",IF(VLOOKUP($A45,'Fan Data'!$B$4:$M$487,D$49,FALSE)="","",VLOOKUP($A45,'Fan Data'!$B$4:$M$487,D$49,FALSE)))</f>
        <v/>
      </c>
      <c r="E45" s="78" t="str">
        <f>IF($A45&gt;$A$3,"",IF(VLOOKUP($A45,'Fan Data'!$B$4:$M$487,E$49,FALSE)="","",VLOOKUP($A45,'Fan Data'!$B$4:$M$487,E$49,FALSE)))</f>
        <v/>
      </c>
      <c r="F45" s="78" t="str">
        <f>IF($A45&gt;$A$3,"",IF(VLOOKUP($A45,'Fan Data'!$B$4:$M$487,F$49,FALSE)="","",VLOOKUP($A45,'Fan Data'!$B$4:$M$487,F$49,FALSE)))</f>
        <v/>
      </c>
      <c r="G45" s="60" t="str">
        <f>IF($A45&gt;$A$3,"",IF(VLOOKUP($A45,'Fan Data'!$B$4:$M$487,G$49,FALSE)="","",VLOOKUP($A45,'Fan Data'!$B$4:$M$487,G$49,FALSE)))</f>
        <v/>
      </c>
      <c r="H45" s="32"/>
      <c r="I45" s="32"/>
      <c r="J45" s="32"/>
      <c r="K45" s="32"/>
      <c r="L45" s="66"/>
      <c r="M45" s="78" t="str">
        <f t="shared" si="5"/>
        <v/>
      </c>
      <c r="N45" s="77" t="str">
        <f>IF(D45="","",D45)</f>
        <v/>
      </c>
      <c r="O45" s="78" t="str">
        <f t="shared" si="6"/>
        <v/>
      </c>
      <c r="P45" s="61" t="str">
        <f t="shared" si="1"/>
        <v/>
      </c>
      <c r="Q45" s="61" t="str">
        <f t="shared" si="2"/>
        <v/>
      </c>
      <c r="R45" s="61" t="str">
        <f t="shared" si="3"/>
        <v/>
      </c>
      <c r="U45" s="58" t="str">
        <f>IF(V45="","",VLOOKUP(V45,'Fan Data'!$A$4:$D$487,3,FALSE))</f>
        <v/>
      </c>
      <c r="V45" s="31" t="str">
        <f t="shared" si="7"/>
        <v/>
      </c>
      <c r="W45" s="56"/>
    </row>
    <row r="46" spans="1:23" ht="15" customHeight="1">
      <c r="A46" s="31">
        <f t="shared" si="4"/>
        <v>43</v>
      </c>
      <c r="B46" s="68"/>
      <c r="C46" s="60" t="str">
        <f>IF($A46&gt;$A$3,"",IF(VLOOKUP($A46,'Fan Data'!$B$4:$M$487,C$49,FALSE)="","",VLOOKUP($A46,'Fan Data'!$B$4:$M$487,C$49,FALSE)))</f>
        <v/>
      </c>
      <c r="D46" s="77" t="str">
        <f>IF($A46&gt;$A$3,"",IF(VLOOKUP($A46,'Fan Data'!$B$4:$M$487,D$49,FALSE)="","",VLOOKUP($A46,'Fan Data'!$B$4:$M$487,D$49,FALSE)))</f>
        <v/>
      </c>
      <c r="E46" s="78" t="str">
        <f>IF($A46&gt;$A$3,"",IF(VLOOKUP($A46,'Fan Data'!$B$4:$M$487,E$49,FALSE)="","",VLOOKUP($A46,'Fan Data'!$B$4:$M$487,E$49,FALSE)))</f>
        <v/>
      </c>
      <c r="F46" s="78" t="str">
        <f>IF($A46&gt;$A$3,"",IF(VLOOKUP($A46,'Fan Data'!$B$4:$M$487,F$49,FALSE)="","",VLOOKUP($A46,'Fan Data'!$B$4:$M$487,F$49,FALSE)))</f>
        <v/>
      </c>
      <c r="G46" s="60" t="str">
        <f>IF($A46&gt;$A$3,"",IF(VLOOKUP($A46,'Fan Data'!$B$4:$M$487,G$49,FALSE)="","",VLOOKUP($A46,'Fan Data'!$B$4:$M$487,G$49,FALSE)))</f>
        <v/>
      </c>
      <c r="H46" s="32"/>
      <c r="I46" s="32"/>
      <c r="J46" s="32"/>
      <c r="K46" s="32"/>
      <c r="L46" s="66"/>
      <c r="M46" s="78" t="str">
        <f t="shared" si="5"/>
        <v/>
      </c>
      <c r="N46" s="77" t="str">
        <f>IF(D46="","",D46)</f>
        <v/>
      </c>
      <c r="O46" s="78" t="str">
        <f t="shared" si="6"/>
        <v/>
      </c>
      <c r="P46" s="61" t="str">
        <f t="shared" si="1"/>
        <v/>
      </c>
      <c r="Q46" s="61" t="str">
        <f t="shared" si="2"/>
        <v/>
      </c>
      <c r="R46" s="61" t="str">
        <f t="shared" si="3"/>
        <v/>
      </c>
      <c r="U46" s="58" t="str">
        <f>IF(V46="","",VLOOKUP(V46,'Fan Data'!$A$4:$D$487,3,FALSE))</f>
        <v/>
      </c>
      <c r="V46" s="31" t="str">
        <f t="shared" si="7"/>
        <v/>
      </c>
      <c r="W46" s="56"/>
    </row>
    <row r="47" spans="1:23" ht="15" customHeight="1">
      <c r="A47" s="31">
        <f t="shared" si="4"/>
        <v>44</v>
      </c>
      <c r="B47" s="68"/>
      <c r="C47" s="60" t="str">
        <f>IF($A47&gt;$A$3,"",IF(VLOOKUP($A47,'Fan Data'!$B$4:$M$487,C$49,FALSE)="","",VLOOKUP($A47,'Fan Data'!$B$4:$M$487,C$49,FALSE)))</f>
        <v/>
      </c>
      <c r="D47" s="77" t="str">
        <f>IF($A47&gt;$A$3,"",IF(VLOOKUP($A47,'Fan Data'!$B$4:$M$487,D$49,FALSE)="","",VLOOKUP($A47,'Fan Data'!$B$4:$M$487,D$49,FALSE)))</f>
        <v/>
      </c>
      <c r="E47" s="78" t="str">
        <f>IF($A47&gt;$A$3,"",IF(VLOOKUP($A47,'Fan Data'!$B$4:$M$487,E$49,FALSE)="","",VLOOKUP($A47,'Fan Data'!$B$4:$M$487,E$49,FALSE)))</f>
        <v/>
      </c>
      <c r="F47" s="78" t="str">
        <f>IF($A47&gt;$A$3,"",IF(VLOOKUP($A47,'Fan Data'!$B$4:$M$487,F$49,FALSE)="","",VLOOKUP($A47,'Fan Data'!$B$4:$M$487,F$49,FALSE)))</f>
        <v/>
      </c>
      <c r="G47" s="60" t="str">
        <f>IF($A47&gt;$A$3,"",IF(VLOOKUP($A47,'Fan Data'!$B$4:$M$487,G$49,FALSE)="","",VLOOKUP($A47,'Fan Data'!$B$4:$M$487,G$49,FALSE)))</f>
        <v/>
      </c>
      <c r="H47" s="32"/>
      <c r="I47" s="32"/>
      <c r="J47" s="32"/>
      <c r="K47" s="32"/>
      <c r="L47" s="66"/>
      <c r="M47" s="78" t="str">
        <f t="shared" si="5"/>
        <v/>
      </c>
      <c r="N47" s="77" t="str">
        <f>IF(D47="","",D47)</f>
        <v/>
      </c>
      <c r="O47" s="78" t="str">
        <f t="shared" si="6"/>
        <v/>
      </c>
      <c r="P47" s="61" t="str">
        <f t="shared" si="1"/>
        <v/>
      </c>
      <c r="Q47" s="61" t="str">
        <f t="shared" si="2"/>
        <v/>
      </c>
      <c r="R47" s="61" t="str">
        <f t="shared" si="3"/>
        <v/>
      </c>
      <c r="U47" s="32"/>
      <c r="V47" s="37">
        <f>MAX('Fan Data'!A4:A487)</f>
        <v>22</v>
      </c>
      <c r="W47" s="56"/>
    </row>
    <row r="48" spans="1:23" ht="15" customHeight="1">
      <c r="A48" s="31">
        <f t="shared" si="4"/>
        <v>45</v>
      </c>
      <c r="B48" s="68"/>
      <c r="C48" s="60" t="str">
        <f>IF($A48&gt;$A$3,"",IF(VLOOKUP($A48,'Fan Data'!$B$4:$M$487,C$49,FALSE)="","",VLOOKUP($A48,'Fan Data'!$B$4:$M$487,C$49,FALSE)))</f>
        <v/>
      </c>
      <c r="D48" s="77" t="str">
        <f>IF($A48&gt;$A$3,"",IF(VLOOKUP($A48,'Fan Data'!$B$4:$M$487,D$49,FALSE)="","",VLOOKUP($A48,'Fan Data'!$B$4:$M$487,D$49,FALSE)))</f>
        <v/>
      </c>
      <c r="E48" s="78" t="str">
        <f>IF($A48&gt;$A$3,"",IF(VLOOKUP($A48,'Fan Data'!$B$4:$M$487,E$49,FALSE)="","",VLOOKUP($A48,'Fan Data'!$B$4:$M$487,E$49,FALSE)))</f>
        <v/>
      </c>
      <c r="F48" s="78" t="str">
        <f>IF($A48&gt;$A$3,"",IF(VLOOKUP($A48,'Fan Data'!$B$4:$M$487,F$49,FALSE)="","",VLOOKUP($A48,'Fan Data'!$B$4:$M$487,F$49,FALSE)))</f>
        <v/>
      </c>
      <c r="G48" s="60" t="str">
        <f>IF($A48&gt;$A$3,"",IF(VLOOKUP($A48,'Fan Data'!$B$4:$M$487,G$49,FALSE)="","",VLOOKUP($A48,'Fan Data'!$B$4:$M$487,G$49,FALSE)))</f>
        <v/>
      </c>
      <c r="H48" s="32"/>
      <c r="I48" s="32"/>
      <c r="J48" s="32"/>
      <c r="K48" s="32"/>
      <c r="L48" s="66"/>
      <c r="M48" s="78" t="str">
        <f t="shared" si="5"/>
        <v/>
      </c>
      <c r="N48" s="77" t="str">
        <f>IF(D48="","",D48)</f>
        <v/>
      </c>
      <c r="O48" s="78" t="str">
        <f t="shared" si="6"/>
        <v/>
      </c>
      <c r="P48" s="61" t="str">
        <f t="shared" si="1"/>
        <v/>
      </c>
      <c r="Q48" s="61" t="str">
        <f t="shared" si="2"/>
        <v/>
      </c>
      <c r="R48" s="61" t="str">
        <f t="shared" si="3"/>
        <v/>
      </c>
      <c r="W48" s="56"/>
    </row>
    <row r="49" spans="1:22" s="56" customFormat="1" ht="15" customHeight="1">
      <c r="A49" s="32">
        <v>1</v>
      </c>
      <c r="B49" s="33">
        <v>2</v>
      </c>
      <c r="C49" s="33">
        <v>8</v>
      </c>
      <c r="D49" s="33">
        <v>9</v>
      </c>
      <c r="E49" s="33">
        <v>10</v>
      </c>
      <c r="F49" s="33">
        <v>11</v>
      </c>
      <c r="G49" s="33">
        <v>12</v>
      </c>
      <c r="H49" s="33">
        <v>13</v>
      </c>
      <c r="I49" s="33">
        <v>14</v>
      </c>
      <c r="J49" s="33">
        <v>15</v>
      </c>
      <c r="K49" s="32">
        <v>16</v>
      </c>
      <c r="L49" s="34" t="s">
        <v>256</v>
      </c>
      <c r="M49" s="79">
        <f>MAX(M4:M48)</f>
        <v>0</v>
      </c>
      <c r="N49" s="32"/>
      <c r="O49" s="32"/>
      <c r="P49" s="32"/>
      <c r="Q49" s="32"/>
      <c r="R49" s="32"/>
      <c r="U49" s="70" t="s">
        <v>321</v>
      </c>
      <c r="V49" s="69">
        <f>ROUNDUP(MAX(N4:N48),0)</f>
        <v>0</v>
      </c>
    </row>
    <row r="50" spans="1:22" s="56" customFormat="1" ht="15" customHeight="1">
      <c r="A50" s="32"/>
      <c r="B50" s="32"/>
      <c r="C50" s="32"/>
      <c r="D50" s="32"/>
      <c r="E50" s="32"/>
      <c r="F50" s="32"/>
      <c r="G50" s="32"/>
      <c r="H50" s="32"/>
      <c r="I50" s="32"/>
      <c r="J50" s="32"/>
      <c r="K50" s="32"/>
      <c r="L50" s="35" t="s">
        <v>256</v>
      </c>
      <c r="M50" s="80" t="e">
        <f>ROUND(_xlfn.PERCENTILE.INC(M4:M48,0.1),1)</f>
        <v>#NUM!</v>
      </c>
      <c r="N50" s="32"/>
      <c r="O50" s="32"/>
      <c r="P50" s="32"/>
      <c r="Q50" s="32"/>
      <c r="R50" s="32"/>
      <c r="U50" s="70" t="s">
        <v>322</v>
      </c>
      <c r="V50" s="69">
        <f>ROUNDDOWN(MIN(N4:N48),1)</f>
        <v>0</v>
      </c>
    </row>
    <row r="51" spans="1:22" s="56" customFormat="1" ht="15" customHeight="1">
      <c r="A51" s="32"/>
      <c r="B51" s="32"/>
      <c r="C51" s="32"/>
      <c r="D51" s="32"/>
      <c r="E51" s="32"/>
      <c r="F51" s="32"/>
      <c r="G51" s="32"/>
      <c r="H51" s="32"/>
      <c r="I51" s="32"/>
      <c r="J51" s="32"/>
      <c r="K51" s="32"/>
      <c r="L51" s="32"/>
      <c r="M51" s="32"/>
      <c r="N51" s="32"/>
      <c r="O51" s="32"/>
      <c r="P51" s="32"/>
      <c r="Q51" s="32"/>
      <c r="R51" s="32"/>
      <c r="U51" s="70" t="s">
        <v>324</v>
      </c>
      <c r="V51" s="69">
        <f>+V49-V50</f>
        <v>0</v>
      </c>
    </row>
    <row r="52" spans="1:22" s="56" customFormat="1" ht="15" customHeight="1">
      <c r="A52" s="32"/>
      <c r="B52" s="32"/>
      <c r="C52" s="32"/>
      <c r="D52" s="32"/>
      <c r="E52" s="32"/>
      <c r="F52" s="32"/>
      <c r="G52" s="32"/>
      <c r="H52" s="32"/>
      <c r="I52" s="32"/>
      <c r="J52" s="32"/>
      <c r="K52" s="32"/>
      <c r="L52" s="32"/>
      <c r="M52" s="32"/>
      <c r="N52" s="32"/>
      <c r="O52" s="32"/>
      <c r="P52" s="32"/>
      <c r="Q52" s="32"/>
      <c r="R52" s="32"/>
      <c r="U52" s="70" t="s">
        <v>323</v>
      </c>
      <c r="V52" s="70">
        <f>COUNT(N4:N48)</f>
        <v>0</v>
      </c>
    </row>
    <row r="53" spans="1:22" s="56" customFormat="1" ht="15" customHeight="1">
      <c r="A53" s="32"/>
      <c r="B53" s="32"/>
      <c r="C53" s="32"/>
      <c r="D53" s="32"/>
      <c r="E53" s="32"/>
      <c r="F53" s="32"/>
      <c r="G53" s="32"/>
      <c r="H53" s="32"/>
      <c r="I53" s="32"/>
      <c r="J53" s="32"/>
      <c r="K53" s="32"/>
      <c r="L53" s="32"/>
      <c r="M53" s="32"/>
      <c r="N53" s="32"/>
      <c r="O53" s="32"/>
      <c r="P53" s="32"/>
      <c r="Q53" s="32"/>
      <c r="R53" s="32"/>
      <c r="U53" s="70" t="s">
        <v>325</v>
      </c>
      <c r="V53" s="71" t="e">
        <f>ROUNDUP(V51/V52,1)</f>
        <v>#DIV/0!</v>
      </c>
    </row>
    <row r="54" spans="1:22" s="56" customFormat="1" ht="15" customHeight="1">
      <c r="A54" s="32"/>
      <c r="B54" s="32"/>
      <c r="C54" s="32"/>
      <c r="D54" s="32"/>
      <c r="E54" s="32"/>
      <c r="F54" s="32"/>
      <c r="G54" s="32"/>
      <c r="H54" s="32"/>
      <c r="I54" s="32"/>
      <c r="J54" s="32"/>
      <c r="K54" s="32"/>
      <c r="L54" s="32"/>
      <c r="M54" s="32"/>
      <c r="N54" s="32"/>
      <c r="O54" s="32"/>
      <c r="P54" s="32"/>
      <c r="Q54" s="32"/>
      <c r="R54" s="32"/>
    </row>
    <row r="55" spans="1:22" s="56" customFormat="1" ht="15" customHeight="1">
      <c r="A55" s="32"/>
      <c r="B55" s="32"/>
      <c r="C55" s="32"/>
      <c r="D55" s="32"/>
      <c r="E55" s="32"/>
      <c r="F55" s="32"/>
      <c r="G55" s="32"/>
      <c r="H55" s="32"/>
      <c r="I55" s="32"/>
      <c r="J55" s="32"/>
      <c r="K55" s="32"/>
      <c r="L55" s="32"/>
      <c r="M55" s="32"/>
      <c r="N55" s="32"/>
      <c r="O55" s="32"/>
      <c r="P55" s="32"/>
      <c r="Q55" s="32"/>
      <c r="R55" s="32"/>
    </row>
    <row r="56" spans="1:22" s="56" customFormat="1" ht="15" customHeight="1">
      <c r="A56" s="32"/>
      <c r="B56" s="32"/>
      <c r="C56" s="32"/>
      <c r="D56" s="32"/>
      <c r="E56" s="32"/>
      <c r="F56" s="32"/>
      <c r="G56" s="32"/>
      <c r="H56" s="32"/>
      <c r="I56" s="32"/>
      <c r="J56" s="32"/>
      <c r="K56" s="32"/>
      <c r="L56" s="32"/>
      <c r="M56" s="32"/>
      <c r="N56" s="32"/>
      <c r="O56" s="32"/>
      <c r="P56" s="32"/>
      <c r="Q56" s="32"/>
      <c r="R56" s="32"/>
    </row>
    <row r="57" spans="1:22" s="56" customFormat="1" ht="15" customHeight="1">
      <c r="A57" s="32"/>
      <c r="B57" s="32"/>
      <c r="C57" s="32"/>
      <c r="D57" s="32"/>
      <c r="E57" s="32"/>
      <c r="F57" s="32"/>
      <c r="G57" s="32"/>
      <c r="H57" s="32"/>
      <c r="I57" s="32"/>
      <c r="J57" s="32"/>
      <c r="K57" s="32"/>
      <c r="L57" s="32"/>
      <c r="M57" s="32"/>
      <c r="N57" s="32"/>
      <c r="O57" s="32"/>
      <c r="P57" s="32"/>
      <c r="Q57" s="32"/>
      <c r="R57" s="32"/>
    </row>
    <row r="58" spans="1:22" s="56" customFormat="1" ht="15" customHeight="1">
      <c r="A58" s="32"/>
      <c r="B58" s="32"/>
      <c r="C58" s="32"/>
      <c r="D58" s="32"/>
      <c r="E58" s="32"/>
      <c r="F58" s="32"/>
      <c r="G58" s="32"/>
      <c r="H58" s="32"/>
      <c r="I58" s="32"/>
      <c r="J58" s="32"/>
      <c r="K58" s="32"/>
      <c r="L58" s="32"/>
      <c r="M58" s="32"/>
      <c r="N58" s="32"/>
      <c r="O58" s="32"/>
      <c r="P58" s="32"/>
      <c r="Q58" s="32"/>
      <c r="R58" s="32"/>
    </row>
    <row r="59" spans="1:22" s="56" customFormat="1" ht="15" customHeight="1">
      <c r="A59" s="32"/>
      <c r="B59" s="32"/>
      <c r="C59" s="32"/>
      <c r="D59" s="32"/>
      <c r="E59" s="32"/>
      <c r="F59" s="32"/>
      <c r="G59" s="32"/>
      <c r="H59" s="32"/>
      <c r="I59" s="32"/>
      <c r="J59" s="32"/>
      <c r="K59" s="32"/>
      <c r="L59" s="32"/>
      <c r="M59" s="32"/>
      <c r="N59" s="32"/>
      <c r="O59" s="32"/>
      <c r="P59" s="32"/>
      <c r="Q59" s="32"/>
      <c r="R59" s="32"/>
    </row>
    <row r="60" spans="1:22" s="56" customFormat="1" ht="15" customHeight="1">
      <c r="A60" s="32"/>
      <c r="B60" s="32"/>
      <c r="C60" s="32"/>
      <c r="D60" s="32"/>
      <c r="E60" s="32"/>
      <c r="F60" s="32"/>
      <c r="G60" s="32"/>
      <c r="H60" s="32"/>
      <c r="I60" s="32"/>
      <c r="J60" s="32"/>
      <c r="K60" s="32"/>
      <c r="L60" s="32"/>
      <c r="M60" s="32"/>
      <c r="N60" s="32"/>
      <c r="O60" s="32"/>
      <c r="P60" s="32"/>
      <c r="Q60" s="32"/>
      <c r="R60" s="32"/>
    </row>
    <row r="61" spans="1:22" s="56" customFormat="1" ht="15" customHeight="1">
      <c r="A61" s="32"/>
      <c r="B61" s="32"/>
      <c r="C61" s="32"/>
      <c r="D61" s="32"/>
      <c r="E61" s="32"/>
      <c r="F61" s="32"/>
      <c r="G61" s="32"/>
      <c r="H61" s="32"/>
      <c r="I61" s="32"/>
      <c r="J61" s="32"/>
      <c r="K61" s="32"/>
      <c r="L61" s="32"/>
      <c r="M61" s="32"/>
      <c r="N61" s="32"/>
      <c r="O61" s="32"/>
      <c r="P61" s="32"/>
      <c r="Q61" s="32"/>
      <c r="R61" s="32"/>
    </row>
    <row r="62" spans="1:22" s="56" customFormat="1" ht="15" customHeight="1">
      <c r="A62" s="32"/>
      <c r="B62" s="32"/>
      <c r="C62" s="32"/>
      <c r="D62" s="32"/>
      <c r="E62" s="32"/>
      <c r="F62" s="32"/>
      <c r="G62" s="32"/>
      <c r="H62" s="32"/>
      <c r="I62" s="32"/>
      <c r="J62" s="32"/>
      <c r="K62" s="32"/>
      <c r="L62" s="32"/>
      <c r="M62" s="32"/>
      <c r="N62" s="32"/>
      <c r="O62" s="32"/>
      <c r="P62" s="32"/>
      <c r="Q62" s="32"/>
      <c r="R62" s="32"/>
    </row>
    <row r="63" spans="1:22" s="56" customFormat="1" ht="15" customHeight="1">
      <c r="A63" s="32"/>
      <c r="B63" s="32"/>
      <c r="C63" s="32"/>
      <c r="D63" s="32"/>
      <c r="E63" s="32"/>
      <c r="F63" s="32"/>
      <c r="G63" s="32"/>
      <c r="H63" s="32"/>
      <c r="I63" s="32"/>
      <c r="J63" s="32"/>
      <c r="K63" s="32"/>
      <c r="L63" s="32"/>
      <c r="M63" s="32"/>
      <c r="N63" s="32"/>
      <c r="O63" s="32"/>
      <c r="P63" s="32"/>
      <c r="Q63" s="32"/>
      <c r="R63" s="32"/>
    </row>
    <row r="64" spans="1:22" s="56" customFormat="1" ht="15" customHeight="1">
      <c r="A64" s="32"/>
      <c r="B64" s="32"/>
      <c r="C64" s="32"/>
      <c r="D64" s="32"/>
      <c r="E64" s="32"/>
      <c r="F64" s="32"/>
      <c r="G64" s="32"/>
      <c r="H64" s="32"/>
      <c r="I64" s="32"/>
      <c r="J64" s="32"/>
      <c r="K64" s="32"/>
      <c r="L64" s="32"/>
      <c r="M64" s="32"/>
      <c r="N64" s="32"/>
      <c r="O64" s="32"/>
      <c r="P64" s="32"/>
      <c r="Q64" s="32"/>
      <c r="R64" s="32"/>
    </row>
    <row r="65" spans="1:18" s="56" customFormat="1" ht="15" customHeight="1">
      <c r="A65" s="32"/>
      <c r="B65" s="32"/>
      <c r="C65" s="32"/>
      <c r="D65" s="32"/>
      <c r="E65" s="32"/>
      <c r="F65" s="32"/>
      <c r="G65" s="32"/>
      <c r="H65" s="32"/>
      <c r="I65" s="32"/>
      <c r="J65" s="32"/>
      <c r="K65" s="32"/>
      <c r="L65" s="32"/>
      <c r="M65" s="32"/>
      <c r="N65" s="32"/>
      <c r="O65" s="32"/>
      <c r="P65" s="32"/>
      <c r="Q65" s="32"/>
      <c r="R65" s="32"/>
    </row>
    <row r="66" spans="1:18" s="56" customFormat="1" ht="15" customHeight="1">
      <c r="A66" s="32"/>
      <c r="B66" s="32"/>
      <c r="C66" s="32"/>
      <c r="D66" s="32"/>
      <c r="E66" s="32"/>
      <c r="F66" s="32"/>
      <c r="G66" s="32"/>
      <c r="H66" s="32"/>
      <c r="I66" s="32"/>
      <c r="J66" s="32"/>
      <c r="K66" s="32"/>
      <c r="L66" s="32"/>
      <c r="M66" s="32"/>
      <c r="N66" s="32"/>
      <c r="O66" s="32"/>
      <c r="P66" s="32"/>
      <c r="Q66" s="32"/>
      <c r="R66" s="32"/>
    </row>
    <row r="67" spans="1:18" s="56" customFormat="1" ht="15" customHeight="1">
      <c r="A67" s="32"/>
      <c r="B67" s="32"/>
      <c r="C67" s="32"/>
      <c r="D67" s="32"/>
      <c r="E67" s="32"/>
      <c r="F67" s="32"/>
      <c r="G67" s="32"/>
      <c r="H67" s="32"/>
      <c r="I67" s="32"/>
      <c r="J67" s="32"/>
      <c r="K67" s="32"/>
      <c r="L67" s="32"/>
      <c r="M67" s="32"/>
      <c r="N67" s="32"/>
      <c r="O67" s="32"/>
      <c r="P67" s="32"/>
      <c r="Q67" s="32"/>
      <c r="R67" s="32"/>
    </row>
    <row r="68" spans="1:18" s="56" customFormat="1" ht="15" customHeight="1">
      <c r="A68" s="32"/>
      <c r="B68" s="32"/>
      <c r="C68" s="32"/>
      <c r="D68" s="32"/>
      <c r="E68" s="32"/>
      <c r="F68" s="32"/>
      <c r="G68" s="32"/>
      <c r="H68" s="32"/>
      <c r="I68" s="32"/>
      <c r="J68" s="32"/>
      <c r="K68" s="32"/>
      <c r="L68" s="32"/>
      <c r="M68" s="32"/>
      <c r="N68" s="32"/>
      <c r="O68" s="32"/>
      <c r="P68" s="32"/>
      <c r="Q68" s="32"/>
      <c r="R68" s="32"/>
    </row>
    <row r="69" spans="1:18" s="56" customFormat="1" ht="15" customHeight="1">
      <c r="A69" s="32"/>
      <c r="B69" s="32"/>
      <c r="C69" s="32"/>
      <c r="D69" s="32"/>
      <c r="E69" s="32"/>
      <c r="F69" s="32"/>
      <c r="G69" s="32"/>
      <c r="H69" s="32"/>
      <c r="I69" s="32"/>
      <c r="J69" s="32"/>
      <c r="K69" s="32"/>
      <c r="L69" s="32"/>
      <c r="M69" s="32"/>
      <c r="N69" s="32"/>
      <c r="O69" s="32"/>
      <c r="P69" s="32"/>
      <c r="Q69" s="32"/>
      <c r="R69" s="32"/>
    </row>
    <row r="70" spans="1:18" s="56" customFormat="1" ht="15" customHeight="1">
      <c r="A70" s="32"/>
      <c r="B70" s="32"/>
      <c r="C70" s="32"/>
      <c r="D70" s="32"/>
      <c r="E70" s="32"/>
      <c r="F70" s="32"/>
      <c r="G70" s="32"/>
      <c r="H70" s="32"/>
      <c r="I70" s="32"/>
      <c r="J70" s="32"/>
      <c r="K70" s="32"/>
      <c r="L70" s="32"/>
      <c r="M70" s="32"/>
      <c r="N70" s="32"/>
      <c r="O70" s="32"/>
      <c r="P70" s="32"/>
      <c r="Q70" s="32"/>
      <c r="R70" s="32"/>
    </row>
    <row r="71" spans="1:18" s="56" customFormat="1" ht="15" customHeight="1">
      <c r="A71" s="32"/>
      <c r="B71" s="32"/>
      <c r="C71" s="32"/>
      <c r="D71" s="32"/>
      <c r="E71" s="32"/>
      <c r="F71" s="32"/>
      <c r="G71" s="32"/>
      <c r="H71" s="32"/>
      <c r="I71" s="32"/>
      <c r="J71" s="32"/>
      <c r="K71" s="32"/>
      <c r="L71" s="32"/>
      <c r="M71" s="32"/>
      <c r="N71" s="32"/>
      <c r="O71" s="32"/>
      <c r="P71" s="32"/>
      <c r="Q71" s="32"/>
      <c r="R71" s="32"/>
    </row>
    <row r="72" spans="1:18" s="56" customFormat="1" ht="15" customHeight="1">
      <c r="A72" s="32"/>
      <c r="B72" s="32"/>
      <c r="C72" s="32"/>
      <c r="D72" s="32"/>
      <c r="E72" s="32"/>
      <c r="F72" s="32"/>
      <c r="G72" s="32"/>
      <c r="H72" s="32"/>
      <c r="I72" s="32"/>
      <c r="J72" s="32"/>
      <c r="K72" s="32"/>
      <c r="L72" s="32"/>
      <c r="M72" s="32"/>
      <c r="N72" s="32"/>
      <c r="O72" s="32"/>
      <c r="P72" s="32"/>
      <c r="Q72" s="32"/>
      <c r="R72" s="32"/>
    </row>
    <row r="73" spans="1:18" s="56" customFormat="1" ht="15" customHeight="1">
      <c r="A73" s="32"/>
      <c r="B73" s="32"/>
      <c r="C73" s="32"/>
      <c r="D73" s="32"/>
      <c r="E73" s="32"/>
      <c r="F73" s="32"/>
      <c r="G73" s="32"/>
      <c r="H73" s="32"/>
      <c r="I73" s="32"/>
      <c r="J73" s="32"/>
      <c r="K73" s="32"/>
      <c r="L73" s="32"/>
      <c r="M73" s="32"/>
      <c r="N73" s="32"/>
      <c r="O73" s="32"/>
      <c r="P73" s="32"/>
      <c r="Q73" s="32"/>
      <c r="R73" s="32"/>
    </row>
    <row r="74" spans="1:18" s="56" customFormat="1" ht="15" customHeight="1">
      <c r="A74" s="32"/>
      <c r="B74" s="32"/>
      <c r="C74" s="32"/>
      <c r="D74" s="32"/>
      <c r="E74" s="32"/>
      <c r="F74" s="32"/>
      <c r="G74" s="32"/>
      <c r="H74" s="32"/>
      <c r="I74" s="32"/>
      <c r="J74" s="32"/>
      <c r="K74" s="32"/>
      <c r="L74" s="32"/>
      <c r="M74" s="32"/>
      <c r="N74" s="32"/>
      <c r="O74" s="32"/>
      <c r="P74" s="32"/>
      <c r="Q74" s="32"/>
      <c r="R74" s="32"/>
    </row>
    <row r="75" spans="1:18" s="56" customFormat="1" ht="15" customHeight="1">
      <c r="A75" s="32"/>
      <c r="B75" s="32"/>
      <c r="C75" s="32"/>
      <c r="D75" s="32"/>
      <c r="E75" s="32"/>
      <c r="F75" s="32"/>
      <c r="G75" s="32"/>
      <c r="H75" s="32"/>
      <c r="I75" s="32"/>
      <c r="J75" s="32"/>
      <c r="K75" s="32"/>
      <c r="L75" s="32"/>
      <c r="M75" s="32"/>
      <c r="N75" s="32"/>
      <c r="O75" s="32"/>
      <c r="P75" s="32"/>
      <c r="Q75" s="32"/>
      <c r="R75" s="32"/>
    </row>
    <row r="76" spans="1:18" s="56" customFormat="1" ht="15" customHeight="1">
      <c r="A76" s="32"/>
      <c r="B76" s="32"/>
      <c r="C76" s="32"/>
      <c r="D76" s="32"/>
      <c r="E76" s="32"/>
      <c r="F76" s="32"/>
      <c r="G76" s="32"/>
      <c r="H76" s="32"/>
      <c r="I76" s="32"/>
      <c r="J76" s="32"/>
      <c r="K76" s="32"/>
      <c r="L76" s="32"/>
      <c r="M76" s="32"/>
      <c r="N76" s="32"/>
      <c r="O76" s="32"/>
      <c r="P76" s="32"/>
      <c r="Q76" s="32"/>
      <c r="R76" s="32"/>
    </row>
    <row r="77" spans="1:18" s="56" customFormat="1" ht="15" customHeight="1">
      <c r="A77" s="32"/>
      <c r="B77" s="32"/>
      <c r="C77" s="32"/>
      <c r="D77" s="32"/>
      <c r="E77" s="32"/>
      <c r="F77" s="32"/>
      <c r="G77" s="32"/>
      <c r="H77" s="32"/>
      <c r="I77" s="32"/>
      <c r="J77" s="32"/>
      <c r="K77" s="32"/>
      <c r="L77" s="32"/>
      <c r="M77" s="32"/>
      <c r="N77" s="32"/>
      <c r="O77" s="32"/>
      <c r="P77" s="32"/>
      <c r="Q77" s="32"/>
      <c r="R77" s="32"/>
    </row>
    <row r="78" spans="1:18" s="56" customFormat="1" ht="15" customHeight="1">
      <c r="A78" s="32"/>
      <c r="B78" s="32"/>
      <c r="C78" s="32"/>
      <c r="D78" s="32"/>
      <c r="E78" s="32"/>
      <c r="F78" s="32"/>
      <c r="G78" s="32"/>
      <c r="H78" s="32"/>
      <c r="I78" s="32"/>
      <c r="J78" s="32"/>
      <c r="K78" s="32"/>
      <c r="L78" s="32"/>
      <c r="M78" s="32"/>
      <c r="N78" s="32"/>
      <c r="O78" s="32"/>
      <c r="P78" s="32"/>
      <c r="Q78" s="32"/>
      <c r="R78" s="32"/>
    </row>
    <row r="79" spans="1:18" s="56" customFormat="1" ht="15" customHeight="1">
      <c r="A79" s="32"/>
      <c r="B79" s="32"/>
      <c r="C79" s="32"/>
      <c r="D79" s="32"/>
      <c r="E79" s="32"/>
      <c r="F79" s="32"/>
      <c r="G79" s="32"/>
      <c r="H79" s="32"/>
      <c r="I79" s="32"/>
      <c r="J79" s="32"/>
      <c r="K79" s="32"/>
      <c r="L79" s="32"/>
      <c r="M79" s="32"/>
      <c r="N79" s="32"/>
      <c r="O79" s="32"/>
      <c r="P79" s="32"/>
      <c r="Q79" s="32"/>
      <c r="R79" s="32"/>
    </row>
    <row r="80" spans="1:18" s="56" customFormat="1" ht="15" customHeight="1">
      <c r="A80" s="32"/>
      <c r="B80" s="32"/>
      <c r="C80" s="32"/>
      <c r="D80" s="32"/>
      <c r="E80" s="32"/>
      <c r="F80" s="32"/>
      <c r="G80" s="32"/>
      <c r="H80" s="32"/>
      <c r="I80" s="32"/>
      <c r="J80" s="32"/>
      <c r="K80" s="32"/>
      <c r="L80" s="32"/>
      <c r="M80" s="32"/>
      <c r="N80" s="32"/>
      <c r="O80" s="32"/>
      <c r="P80" s="32"/>
      <c r="Q80" s="32"/>
      <c r="R80" s="32"/>
    </row>
    <row r="81" spans="1:18" s="56" customFormat="1" ht="15" customHeight="1">
      <c r="A81" s="32"/>
      <c r="B81" s="32"/>
      <c r="C81" s="32"/>
      <c r="D81" s="32"/>
      <c r="E81" s="32"/>
      <c r="F81" s="32"/>
      <c r="G81" s="32"/>
      <c r="H81" s="32"/>
      <c r="I81" s="32"/>
      <c r="J81" s="32"/>
      <c r="K81" s="32"/>
      <c r="L81" s="32"/>
      <c r="M81" s="32"/>
      <c r="N81" s="32"/>
      <c r="O81" s="32"/>
      <c r="P81" s="32"/>
      <c r="Q81" s="32"/>
      <c r="R81" s="32"/>
    </row>
    <row r="82" spans="1:18" s="56" customFormat="1" ht="15" customHeight="1">
      <c r="A82" s="32"/>
      <c r="B82" s="32"/>
      <c r="C82" s="32"/>
      <c r="D82" s="32"/>
      <c r="E82" s="32"/>
      <c r="F82" s="32"/>
      <c r="G82" s="32"/>
      <c r="H82" s="32"/>
      <c r="I82" s="32"/>
      <c r="J82" s="32"/>
      <c r="K82" s="32"/>
      <c r="L82" s="32"/>
      <c r="M82" s="32"/>
      <c r="N82" s="32"/>
      <c r="O82" s="32"/>
      <c r="P82" s="32"/>
      <c r="Q82" s="32"/>
      <c r="R82" s="32"/>
    </row>
    <row r="83" spans="1:18" s="56" customFormat="1" ht="15" customHeight="1">
      <c r="A83" s="32"/>
      <c r="B83" s="32"/>
      <c r="C83" s="32"/>
      <c r="D83" s="32"/>
      <c r="E83" s="32"/>
      <c r="F83" s="32"/>
      <c r="G83" s="32"/>
      <c r="H83" s="32"/>
      <c r="I83" s="32"/>
      <c r="J83" s="32"/>
      <c r="K83" s="32"/>
      <c r="L83" s="32"/>
      <c r="M83" s="32"/>
      <c r="N83" s="32"/>
      <c r="O83" s="32"/>
      <c r="P83" s="32"/>
      <c r="Q83" s="32"/>
      <c r="R83" s="32"/>
    </row>
    <row r="84" spans="1:18" s="56" customFormat="1" ht="15" customHeight="1">
      <c r="A84" s="32"/>
      <c r="B84" s="32"/>
      <c r="C84" s="32"/>
      <c r="D84" s="32"/>
      <c r="E84" s="32"/>
      <c r="F84" s="32"/>
      <c r="G84" s="32"/>
      <c r="H84" s="32"/>
      <c r="I84" s="32"/>
      <c r="J84" s="32"/>
      <c r="K84" s="32"/>
      <c r="L84" s="32"/>
      <c r="M84" s="32"/>
      <c r="N84" s="32"/>
      <c r="O84" s="32"/>
      <c r="P84" s="32"/>
      <c r="Q84" s="32"/>
      <c r="R84" s="32"/>
    </row>
    <row r="85" spans="1:18" s="56" customFormat="1" ht="15" customHeight="1">
      <c r="A85" s="32"/>
      <c r="B85" s="32"/>
      <c r="C85" s="32"/>
      <c r="D85" s="32"/>
      <c r="E85" s="32"/>
      <c r="F85" s="32"/>
      <c r="G85" s="32"/>
      <c r="H85" s="32"/>
      <c r="I85" s="32"/>
      <c r="J85" s="32"/>
      <c r="K85" s="32"/>
      <c r="L85" s="32"/>
      <c r="M85" s="32"/>
      <c r="N85" s="32"/>
      <c r="O85" s="32"/>
      <c r="P85" s="32"/>
      <c r="Q85" s="32"/>
      <c r="R85" s="32"/>
    </row>
    <row r="86" spans="1:18" s="56" customFormat="1" ht="15" customHeight="1">
      <c r="A86" s="32"/>
      <c r="B86" s="32"/>
      <c r="C86" s="32"/>
      <c r="D86" s="32"/>
      <c r="E86" s="32"/>
      <c r="F86" s="32"/>
      <c r="G86" s="32"/>
      <c r="H86" s="32"/>
      <c r="I86" s="32"/>
      <c r="J86" s="32"/>
      <c r="K86" s="32"/>
      <c r="L86" s="32"/>
      <c r="M86" s="32"/>
      <c r="N86" s="32"/>
      <c r="O86" s="32"/>
      <c r="P86" s="32"/>
      <c r="Q86" s="32"/>
      <c r="R86" s="32"/>
    </row>
    <row r="87" spans="1:18" s="56" customFormat="1" ht="15" customHeight="1">
      <c r="A87" s="32"/>
      <c r="B87" s="32"/>
      <c r="C87" s="32"/>
      <c r="D87" s="32"/>
      <c r="E87" s="32"/>
      <c r="F87" s="32"/>
      <c r="G87" s="32"/>
      <c r="H87" s="32"/>
      <c r="I87" s="32"/>
      <c r="J87" s="32"/>
      <c r="K87" s="32"/>
      <c r="L87" s="32"/>
      <c r="M87" s="32"/>
      <c r="N87" s="32"/>
      <c r="O87" s="32"/>
      <c r="P87" s="32"/>
      <c r="Q87" s="32"/>
      <c r="R87" s="32"/>
    </row>
    <row r="88" spans="1:18" s="56" customFormat="1" ht="15" customHeight="1">
      <c r="A88" s="32"/>
      <c r="B88" s="32"/>
      <c r="C88" s="32"/>
      <c r="D88" s="32"/>
      <c r="E88" s="32"/>
      <c r="F88" s="32"/>
      <c r="G88" s="32"/>
      <c r="H88" s="32"/>
      <c r="I88" s="32"/>
      <c r="J88" s="32"/>
      <c r="K88" s="32"/>
      <c r="L88" s="32"/>
      <c r="M88" s="32"/>
      <c r="N88" s="32"/>
      <c r="O88" s="32"/>
      <c r="P88" s="32"/>
      <c r="Q88" s="32"/>
      <c r="R88" s="32"/>
    </row>
    <row r="89" spans="1:18" s="56" customFormat="1" ht="15" customHeight="1">
      <c r="A89" s="32"/>
      <c r="B89" s="32"/>
      <c r="C89" s="32"/>
      <c r="D89" s="32"/>
      <c r="E89" s="32"/>
      <c r="F89" s="32"/>
      <c r="G89" s="32"/>
      <c r="H89" s="32"/>
      <c r="I89" s="32"/>
      <c r="J89" s="32"/>
      <c r="K89" s="32"/>
      <c r="L89" s="32"/>
      <c r="M89" s="32"/>
      <c r="N89" s="32"/>
      <c r="O89" s="32"/>
      <c r="P89" s="32"/>
      <c r="Q89" s="32"/>
      <c r="R89" s="32"/>
    </row>
    <row r="90" spans="1:18" s="56" customFormat="1" ht="15" customHeight="1">
      <c r="A90" s="32"/>
      <c r="B90" s="32"/>
      <c r="C90" s="32"/>
      <c r="D90" s="32"/>
      <c r="E90" s="32"/>
      <c r="F90" s="32"/>
      <c r="G90" s="32"/>
      <c r="H90" s="32"/>
      <c r="I90" s="32"/>
      <c r="J90" s="32"/>
      <c r="K90" s="32"/>
      <c r="L90" s="32"/>
      <c r="M90" s="32"/>
      <c r="N90" s="32"/>
      <c r="O90" s="32"/>
      <c r="P90" s="32"/>
      <c r="Q90" s="32"/>
      <c r="R90" s="32"/>
    </row>
    <row r="91" spans="1:18" s="56" customFormat="1" ht="15" customHeight="1">
      <c r="A91" s="32"/>
      <c r="B91" s="32"/>
      <c r="C91" s="32"/>
      <c r="D91" s="32"/>
      <c r="E91" s="32"/>
      <c r="F91" s="32"/>
      <c r="G91" s="32"/>
      <c r="H91" s="32"/>
      <c r="I91" s="32"/>
      <c r="J91" s="32"/>
      <c r="K91" s="32"/>
      <c r="L91" s="32"/>
      <c r="M91" s="32"/>
      <c r="N91" s="32"/>
      <c r="O91" s="32"/>
      <c r="P91" s="32"/>
      <c r="Q91" s="32"/>
      <c r="R91" s="32"/>
    </row>
    <row r="92" spans="1:18" s="56" customFormat="1" ht="15" customHeight="1">
      <c r="A92" s="32"/>
      <c r="B92" s="32"/>
      <c r="C92" s="32"/>
      <c r="D92" s="32"/>
      <c r="E92" s="32"/>
      <c r="F92" s="32"/>
      <c r="G92" s="32"/>
      <c r="H92" s="32"/>
      <c r="I92" s="32"/>
      <c r="J92" s="32"/>
      <c r="K92" s="32"/>
      <c r="L92" s="32"/>
      <c r="M92" s="32"/>
      <c r="N92" s="32"/>
      <c r="O92" s="32"/>
      <c r="P92" s="32"/>
      <c r="Q92" s="32"/>
      <c r="R92" s="32"/>
    </row>
    <row r="93" spans="1:18" s="56" customFormat="1" ht="15" customHeight="1">
      <c r="A93" s="32"/>
      <c r="B93" s="32"/>
      <c r="C93" s="32"/>
      <c r="D93" s="32"/>
      <c r="E93" s="32"/>
      <c r="F93" s="32"/>
      <c r="G93" s="32"/>
      <c r="H93" s="32"/>
      <c r="I93" s="32"/>
      <c r="J93" s="32"/>
      <c r="K93" s="32"/>
      <c r="L93" s="32"/>
      <c r="M93" s="32"/>
      <c r="N93" s="32"/>
      <c r="O93" s="32"/>
      <c r="P93" s="32"/>
      <c r="Q93" s="32"/>
      <c r="R93" s="32"/>
    </row>
    <row r="94" spans="1:18" s="56" customFormat="1" ht="15" customHeight="1">
      <c r="A94" s="32"/>
      <c r="B94" s="32"/>
      <c r="C94" s="32"/>
      <c r="D94" s="32"/>
      <c r="E94" s="32"/>
      <c r="F94" s="32"/>
      <c r="G94" s="32"/>
      <c r="H94" s="32"/>
      <c r="I94" s="32"/>
      <c r="J94" s="32"/>
      <c r="K94" s="32"/>
      <c r="L94" s="32"/>
      <c r="M94" s="32"/>
      <c r="N94" s="32"/>
      <c r="O94" s="32"/>
      <c r="P94" s="32"/>
      <c r="Q94" s="32"/>
      <c r="R94" s="32"/>
    </row>
    <row r="95" spans="1:18" s="56" customFormat="1" ht="15" customHeight="1">
      <c r="A95" s="32"/>
      <c r="B95" s="32"/>
      <c r="C95" s="32"/>
      <c r="D95" s="32"/>
      <c r="E95" s="32"/>
      <c r="F95" s="32"/>
      <c r="G95" s="32"/>
      <c r="H95" s="32"/>
      <c r="I95" s="32"/>
      <c r="J95" s="32"/>
      <c r="K95" s="32"/>
      <c r="L95" s="32"/>
      <c r="M95" s="32"/>
      <c r="N95" s="32"/>
      <c r="O95" s="32"/>
      <c r="P95" s="32"/>
      <c r="Q95" s="32"/>
      <c r="R95" s="32"/>
    </row>
    <row r="96" spans="1:18" s="56" customFormat="1" ht="15" customHeight="1">
      <c r="A96" s="32"/>
      <c r="B96" s="32"/>
      <c r="C96" s="32"/>
      <c r="D96" s="32"/>
      <c r="E96" s="32"/>
      <c r="F96" s="32"/>
      <c r="G96" s="32"/>
      <c r="H96" s="32"/>
      <c r="I96" s="32"/>
      <c r="J96" s="32"/>
      <c r="K96" s="32"/>
      <c r="L96" s="32"/>
      <c r="M96" s="32"/>
      <c r="N96" s="32"/>
      <c r="O96" s="32"/>
      <c r="P96" s="32"/>
      <c r="Q96" s="32"/>
      <c r="R96" s="32"/>
    </row>
    <row r="97" spans="1:18" s="56" customFormat="1" ht="15" customHeight="1">
      <c r="A97" s="32"/>
      <c r="B97" s="32"/>
      <c r="C97" s="32"/>
      <c r="D97" s="32"/>
      <c r="E97" s="32"/>
      <c r="F97" s="32"/>
      <c r="G97" s="32"/>
      <c r="H97" s="32"/>
      <c r="I97" s="32"/>
      <c r="J97" s="32"/>
      <c r="K97" s="32"/>
      <c r="L97" s="32"/>
      <c r="M97" s="32"/>
      <c r="N97" s="32"/>
      <c r="O97" s="32"/>
      <c r="P97" s="32"/>
      <c r="Q97" s="32"/>
      <c r="R97" s="32"/>
    </row>
    <row r="98" spans="1:18" s="56" customFormat="1" ht="15" customHeight="1">
      <c r="A98" s="32"/>
      <c r="B98" s="32"/>
      <c r="C98" s="32"/>
      <c r="D98" s="32"/>
      <c r="E98" s="32"/>
      <c r="F98" s="32"/>
      <c r="G98" s="32"/>
      <c r="H98" s="32"/>
      <c r="I98" s="32"/>
      <c r="J98" s="32"/>
      <c r="K98" s="32"/>
      <c r="L98" s="32"/>
      <c r="M98" s="32"/>
      <c r="N98" s="32"/>
      <c r="O98" s="32"/>
      <c r="P98" s="32"/>
      <c r="Q98" s="32"/>
      <c r="R98" s="32"/>
    </row>
    <row r="99" spans="1:18" s="56" customFormat="1" ht="15" customHeight="1">
      <c r="A99" s="32"/>
      <c r="B99" s="32"/>
      <c r="C99" s="32"/>
      <c r="D99" s="32"/>
      <c r="E99" s="32"/>
      <c r="F99" s="32"/>
      <c r="G99" s="32"/>
      <c r="H99" s="32"/>
      <c r="I99" s="32"/>
      <c r="J99" s="32"/>
      <c r="K99" s="32"/>
      <c r="L99" s="32"/>
      <c r="M99" s="32"/>
      <c r="N99" s="32"/>
      <c r="O99" s="32"/>
      <c r="P99" s="32"/>
      <c r="Q99" s="32"/>
      <c r="R99" s="32"/>
    </row>
    <row r="100" spans="1:18" s="56" customFormat="1" ht="15" customHeight="1">
      <c r="A100" s="32"/>
      <c r="B100" s="32"/>
      <c r="C100" s="32"/>
      <c r="D100" s="32"/>
      <c r="E100" s="32"/>
      <c r="F100" s="32"/>
      <c r="G100" s="32"/>
      <c r="H100" s="32"/>
      <c r="I100" s="32"/>
      <c r="J100" s="32"/>
      <c r="K100" s="32"/>
      <c r="L100" s="32"/>
      <c r="M100" s="32"/>
      <c r="N100" s="32"/>
      <c r="O100" s="32"/>
      <c r="P100" s="32"/>
      <c r="Q100" s="32"/>
      <c r="R100" s="32"/>
    </row>
    <row r="101" spans="1:18" s="56" customFormat="1" ht="15" customHeight="1">
      <c r="A101" s="32"/>
      <c r="B101" s="32"/>
      <c r="C101" s="32"/>
      <c r="D101" s="32"/>
      <c r="E101" s="32"/>
      <c r="F101" s="32"/>
      <c r="G101" s="32"/>
      <c r="H101" s="32"/>
      <c r="I101" s="32"/>
      <c r="J101" s="32"/>
      <c r="K101" s="32"/>
      <c r="L101" s="32"/>
      <c r="M101" s="32"/>
      <c r="N101" s="32"/>
      <c r="O101" s="32"/>
      <c r="P101" s="32"/>
      <c r="Q101" s="32"/>
      <c r="R101" s="32"/>
    </row>
    <row r="102" spans="1:18" s="56" customFormat="1" ht="15" customHeight="1">
      <c r="A102" s="32"/>
      <c r="B102" s="32"/>
      <c r="C102" s="32"/>
      <c r="D102" s="32"/>
      <c r="E102" s="32"/>
      <c r="F102" s="32"/>
      <c r="G102" s="32"/>
      <c r="H102" s="32"/>
      <c r="I102" s="32"/>
      <c r="J102" s="32"/>
      <c r="K102" s="32"/>
      <c r="L102" s="32"/>
      <c r="M102" s="32"/>
      <c r="N102" s="32"/>
      <c r="O102" s="32"/>
      <c r="P102" s="32"/>
      <c r="Q102" s="32"/>
      <c r="R102" s="32"/>
    </row>
    <row r="103" spans="1:18" s="56" customFormat="1" ht="15" customHeight="1">
      <c r="A103" s="32"/>
      <c r="B103" s="32"/>
      <c r="C103" s="32"/>
      <c r="D103" s="32"/>
      <c r="E103" s="32"/>
      <c r="F103" s="32"/>
      <c r="G103" s="32"/>
      <c r="H103" s="32"/>
      <c r="I103" s="32"/>
      <c r="J103" s="32"/>
      <c r="K103" s="32"/>
      <c r="L103" s="32"/>
      <c r="M103" s="32"/>
      <c r="N103" s="32"/>
      <c r="O103" s="32"/>
      <c r="P103" s="32"/>
      <c r="Q103" s="32"/>
      <c r="R103" s="32"/>
    </row>
    <row r="104" spans="1:18" s="56" customFormat="1" ht="15" customHeight="1">
      <c r="A104" s="32"/>
      <c r="B104" s="32"/>
      <c r="C104" s="32"/>
      <c r="D104" s="32"/>
      <c r="E104" s="32"/>
      <c r="F104" s="32"/>
      <c r="G104" s="32"/>
      <c r="H104" s="32"/>
      <c r="I104" s="32"/>
      <c r="J104" s="32"/>
      <c r="K104" s="32"/>
      <c r="L104" s="32"/>
      <c r="M104" s="32"/>
      <c r="N104" s="32"/>
      <c r="O104" s="32"/>
      <c r="P104" s="32"/>
      <c r="Q104" s="32"/>
      <c r="R104" s="32"/>
    </row>
    <row r="105" spans="1:18" s="56" customFormat="1" ht="15" customHeight="1">
      <c r="A105" s="32"/>
      <c r="B105" s="32"/>
      <c r="C105" s="32"/>
      <c r="D105" s="32"/>
      <c r="E105" s="32"/>
      <c r="F105" s="32"/>
      <c r="G105" s="32"/>
      <c r="H105" s="32"/>
      <c r="I105" s="32"/>
      <c r="J105" s="32"/>
      <c r="K105" s="32"/>
      <c r="L105" s="32"/>
      <c r="M105" s="32"/>
      <c r="N105" s="32"/>
      <c r="O105" s="32"/>
      <c r="P105" s="32"/>
      <c r="Q105" s="32"/>
      <c r="R105" s="32"/>
    </row>
    <row r="106" spans="1:18" s="56" customFormat="1" ht="15" customHeight="1">
      <c r="A106" s="32"/>
      <c r="B106" s="32"/>
      <c r="C106" s="32"/>
      <c r="D106" s="32"/>
      <c r="E106" s="32"/>
      <c r="F106" s="32"/>
      <c r="G106" s="32"/>
      <c r="H106" s="32"/>
      <c r="I106" s="32"/>
      <c r="J106" s="32"/>
      <c r="K106" s="32"/>
      <c r="L106" s="32"/>
      <c r="M106" s="32"/>
      <c r="N106" s="32"/>
      <c r="O106" s="32"/>
      <c r="P106" s="32"/>
      <c r="Q106" s="32"/>
      <c r="R106" s="32"/>
    </row>
    <row r="107" spans="1:18" s="56" customFormat="1" ht="15" customHeight="1">
      <c r="A107" s="32"/>
      <c r="B107" s="32"/>
      <c r="C107" s="32"/>
      <c r="D107" s="32"/>
      <c r="E107" s="32"/>
      <c r="F107" s="32"/>
      <c r="G107" s="32"/>
      <c r="H107" s="32"/>
      <c r="I107" s="32"/>
      <c r="J107" s="32"/>
      <c r="K107" s="32"/>
      <c r="L107" s="32"/>
      <c r="M107" s="32"/>
      <c r="N107" s="32"/>
      <c r="O107" s="32"/>
      <c r="P107" s="32"/>
      <c r="Q107" s="32"/>
      <c r="R107" s="32"/>
    </row>
    <row r="108" spans="1:18" s="56" customFormat="1" ht="15" customHeight="1">
      <c r="A108" s="32"/>
      <c r="B108" s="32"/>
      <c r="C108" s="32"/>
      <c r="D108" s="32"/>
      <c r="E108" s="32"/>
      <c r="F108" s="32"/>
      <c r="G108" s="32"/>
      <c r="H108" s="32"/>
      <c r="I108" s="32"/>
      <c r="J108" s="32"/>
      <c r="K108" s="32"/>
      <c r="L108" s="32"/>
      <c r="M108" s="32"/>
      <c r="N108" s="32"/>
      <c r="O108" s="32"/>
      <c r="P108" s="32"/>
      <c r="Q108" s="32"/>
      <c r="R108" s="32"/>
    </row>
    <row r="109" spans="1:18" s="56" customFormat="1" ht="15" customHeight="1">
      <c r="A109" s="32"/>
      <c r="B109" s="32"/>
      <c r="C109" s="32"/>
      <c r="D109" s="32"/>
      <c r="E109" s="32"/>
      <c r="F109" s="32"/>
      <c r="G109" s="32"/>
      <c r="H109" s="32"/>
      <c r="I109" s="32"/>
      <c r="J109" s="32"/>
      <c r="K109" s="32"/>
      <c r="L109" s="32"/>
      <c r="M109" s="32"/>
      <c r="N109" s="32"/>
      <c r="O109" s="32"/>
      <c r="P109" s="32"/>
      <c r="Q109" s="32"/>
      <c r="R109" s="32"/>
    </row>
    <row r="110" spans="1:18" s="56" customFormat="1" ht="15" customHeight="1">
      <c r="A110" s="32"/>
      <c r="B110" s="32"/>
      <c r="C110" s="32"/>
      <c r="D110" s="32"/>
      <c r="E110" s="32"/>
      <c r="F110" s="32"/>
      <c r="G110" s="32"/>
      <c r="H110" s="32"/>
      <c r="I110" s="32"/>
      <c r="J110" s="32"/>
      <c r="K110" s="32"/>
      <c r="L110" s="32"/>
      <c r="M110" s="32"/>
      <c r="N110" s="32"/>
      <c r="O110" s="32"/>
      <c r="P110" s="32"/>
      <c r="Q110" s="32"/>
      <c r="R110" s="32"/>
    </row>
    <row r="111" spans="1:18" s="56" customFormat="1" ht="15" customHeight="1">
      <c r="A111" s="32"/>
      <c r="B111" s="32"/>
      <c r="C111" s="32"/>
      <c r="D111" s="32"/>
      <c r="E111" s="32"/>
      <c r="F111" s="32"/>
      <c r="G111" s="32"/>
      <c r="H111" s="32"/>
      <c r="I111" s="32"/>
      <c r="J111" s="32"/>
      <c r="K111" s="32"/>
      <c r="L111" s="32"/>
      <c r="M111" s="32"/>
      <c r="N111" s="32"/>
      <c r="O111" s="32"/>
      <c r="P111" s="32"/>
      <c r="Q111" s="32"/>
      <c r="R111" s="32"/>
    </row>
    <row r="112" spans="1:18" s="56" customFormat="1" ht="15" customHeight="1">
      <c r="A112" s="32"/>
      <c r="B112" s="32"/>
      <c r="C112" s="32"/>
      <c r="D112" s="32"/>
      <c r="E112" s="32"/>
      <c r="F112" s="32"/>
      <c r="G112" s="32"/>
      <c r="H112" s="32"/>
      <c r="I112" s="32"/>
      <c r="J112" s="32"/>
      <c r="K112" s="32"/>
      <c r="L112" s="32"/>
      <c r="M112" s="32"/>
      <c r="N112" s="32"/>
      <c r="O112" s="32"/>
      <c r="P112" s="32"/>
      <c r="Q112" s="32"/>
      <c r="R112" s="32"/>
    </row>
    <row r="113" spans="1:18" s="56" customFormat="1" ht="15" customHeight="1">
      <c r="A113" s="32"/>
      <c r="B113" s="32"/>
      <c r="C113" s="32"/>
      <c r="D113" s="32"/>
      <c r="E113" s="32"/>
      <c r="F113" s="32"/>
      <c r="G113" s="32"/>
      <c r="H113" s="32"/>
      <c r="I113" s="32"/>
      <c r="J113" s="32"/>
      <c r="K113" s="32"/>
      <c r="L113" s="32"/>
      <c r="M113" s="32"/>
      <c r="N113" s="32"/>
      <c r="O113" s="32"/>
      <c r="P113" s="32"/>
      <c r="Q113" s="32"/>
      <c r="R113" s="32"/>
    </row>
    <row r="114" spans="1:18" s="56" customFormat="1" ht="15" customHeight="1">
      <c r="A114" s="32"/>
      <c r="B114" s="32"/>
      <c r="C114" s="32"/>
      <c r="D114" s="32"/>
      <c r="E114" s="32"/>
      <c r="F114" s="32"/>
      <c r="G114" s="32"/>
      <c r="H114" s="32"/>
      <c r="I114" s="32"/>
      <c r="J114" s="32"/>
      <c r="K114" s="32"/>
      <c r="L114" s="32"/>
      <c r="M114" s="32"/>
      <c r="N114" s="32"/>
      <c r="O114" s="32"/>
      <c r="P114" s="32"/>
      <c r="Q114" s="32"/>
      <c r="R114" s="32"/>
    </row>
    <row r="115" spans="1:18" s="56" customFormat="1" ht="15" customHeight="1">
      <c r="A115" s="32"/>
      <c r="B115" s="32"/>
      <c r="C115" s="32"/>
      <c r="D115" s="32"/>
      <c r="E115" s="32"/>
      <c r="F115" s="32"/>
      <c r="G115" s="32"/>
      <c r="H115" s="32"/>
      <c r="I115" s="32"/>
      <c r="J115" s="32"/>
      <c r="K115" s="32"/>
      <c r="L115" s="32"/>
      <c r="M115" s="32"/>
      <c r="N115" s="32"/>
      <c r="O115" s="32"/>
      <c r="P115" s="32"/>
      <c r="Q115" s="32"/>
      <c r="R115" s="32"/>
    </row>
    <row r="116" spans="1:18" s="56" customFormat="1" ht="15" customHeight="1">
      <c r="A116" s="32"/>
      <c r="B116" s="32"/>
      <c r="C116" s="32"/>
      <c r="D116" s="32"/>
      <c r="E116" s="32"/>
      <c r="F116" s="32"/>
      <c r="G116" s="32"/>
      <c r="H116" s="32"/>
      <c r="I116" s="32"/>
      <c r="J116" s="32"/>
      <c r="K116" s="32"/>
      <c r="L116" s="32"/>
      <c r="M116" s="32"/>
      <c r="N116" s="32"/>
      <c r="O116" s="32"/>
      <c r="P116" s="32"/>
      <c r="Q116" s="32"/>
      <c r="R116" s="32"/>
    </row>
    <row r="117" spans="1:18" s="56" customFormat="1" ht="15" customHeight="1">
      <c r="A117" s="32"/>
      <c r="B117" s="32"/>
      <c r="C117" s="32"/>
      <c r="D117" s="32"/>
      <c r="E117" s="32"/>
      <c r="F117" s="32"/>
      <c r="G117" s="32"/>
      <c r="H117" s="32"/>
      <c r="I117" s="32"/>
      <c r="J117" s="32"/>
      <c r="K117" s="32"/>
      <c r="L117" s="32"/>
      <c r="M117" s="32"/>
      <c r="N117" s="32"/>
      <c r="O117" s="32"/>
      <c r="P117" s="32"/>
      <c r="Q117" s="32"/>
      <c r="R117" s="32"/>
    </row>
    <row r="118" spans="1:18" s="56" customFormat="1" ht="15" customHeight="1">
      <c r="A118" s="32"/>
      <c r="B118" s="32"/>
      <c r="C118" s="32"/>
      <c r="D118" s="32"/>
      <c r="E118" s="32"/>
      <c r="F118" s="32"/>
      <c r="G118" s="32"/>
      <c r="H118" s="32"/>
      <c r="I118" s="32"/>
      <c r="J118" s="32"/>
      <c r="K118" s="32"/>
      <c r="L118" s="32"/>
      <c r="M118" s="32"/>
      <c r="N118" s="32"/>
      <c r="O118" s="32"/>
      <c r="P118" s="32"/>
      <c r="Q118" s="32"/>
      <c r="R118" s="32"/>
    </row>
    <row r="119" spans="1:18" s="56" customFormat="1" ht="15" customHeight="1">
      <c r="A119" s="32"/>
      <c r="B119" s="32"/>
      <c r="C119" s="32"/>
      <c r="D119" s="32"/>
      <c r="E119" s="32"/>
      <c r="F119" s="32"/>
      <c r="G119" s="32"/>
      <c r="H119" s="32"/>
      <c r="I119" s="32"/>
      <c r="J119" s="32"/>
      <c r="K119" s="32"/>
      <c r="L119" s="32"/>
      <c r="M119" s="32"/>
      <c r="N119" s="32"/>
      <c r="O119" s="32"/>
      <c r="P119" s="32"/>
      <c r="Q119" s="32"/>
      <c r="R119" s="32"/>
    </row>
    <row r="120" spans="1:18" s="56" customFormat="1" ht="15" customHeight="1">
      <c r="A120" s="32"/>
      <c r="B120" s="32"/>
      <c r="C120" s="32"/>
      <c r="D120" s="32"/>
      <c r="E120" s="32"/>
      <c r="F120" s="32"/>
      <c r="G120" s="32"/>
      <c r="H120" s="32"/>
      <c r="I120" s="32"/>
      <c r="J120" s="32"/>
      <c r="K120" s="32"/>
      <c r="L120" s="32"/>
      <c r="M120" s="32"/>
      <c r="N120" s="32"/>
      <c r="O120" s="32"/>
      <c r="P120" s="32"/>
      <c r="Q120" s="32"/>
      <c r="R120" s="32"/>
    </row>
    <row r="121" spans="1:18" s="56" customFormat="1" ht="15" customHeight="1">
      <c r="A121" s="32"/>
      <c r="B121" s="32"/>
      <c r="C121" s="32"/>
      <c r="D121" s="32"/>
      <c r="E121" s="32"/>
      <c r="F121" s="32"/>
      <c r="G121" s="32"/>
      <c r="H121" s="32"/>
      <c r="I121" s="32"/>
      <c r="J121" s="32"/>
      <c r="K121" s="32"/>
      <c r="L121" s="32"/>
      <c r="M121" s="32"/>
      <c r="N121" s="32"/>
      <c r="O121" s="32"/>
      <c r="P121" s="32"/>
      <c r="Q121" s="32"/>
      <c r="R121" s="32"/>
    </row>
    <row r="122" spans="1:18" s="56" customFormat="1" ht="15" customHeight="1">
      <c r="A122" s="32"/>
      <c r="B122" s="32"/>
      <c r="C122" s="32"/>
      <c r="D122" s="32"/>
      <c r="E122" s="32"/>
      <c r="F122" s="32"/>
      <c r="G122" s="32"/>
      <c r="H122" s="32"/>
      <c r="I122" s="32"/>
      <c r="J122" s="32"/>
      <c r="K122" s="32"/>
      <c r="L122" s="32"/>
      <c r="M122" s="32"/>
      <c r="N122" s="32"/>
      <c r="O122" s="32"/>
      <c r="P122" s="32"/>
      <c r="Q122" s="32"/>
      <c r="R122" s="32"/>
    </row>
    <row r="123" spans="1:18" s="56" customFormat="1" ht="15" customHeight="1">
      <c r="A123" s="32"/>
      <c r="B123" s="32"/>
      <c r="C123" s="32"/>
      <c r="D123" s="32"/>
      <c r="E123" s="32"/>
      <c r="F123" s="32"/>
      <c r="G123" s="32"/>
      <c r="H123" s="32"/>
      <c r="I123" s="32"/>
      <c r="J123" s="32"/>
      <c r="K123" s="32"/>
      <c r="L123" s="32"/>
      <c r="M123" s="32"/>
      <c r="N123" s="32"/>
      <c r="O123" s="32"/>
      <c r="P123" s="32"/>
      <c r="Q123" s="32"/>
      <c r="R123" s="32"/>
    </row>
    <row r="124" spans="1:18" s="56" customFormat="1" ht="15" customHeight="1">
      <c r="A124" s="32"/>
      <c r="B124" s="32"/>
      <c r="C124" s="32"/>
      <c r="D124" s="32"/>
      <c r="E124" s="32"/>
      <c r="F124" s="32"/>
      <c r="G124" s="32"/>
      <c r="H124" s="32"/>
      <c r="I124" s="32"/>
      <c r="J124" s="32"/>
      <c r="K124" s="32"/>
      <c r="L124" s="32"/>
      <c r="M124" s="32"/>
      <c r="N124" s="32"/>
      <c r="O124" s="32"/>
      <c r="P124" s="32"/>
      <c r="Q124" s="32"/>
      <c r="R124" s="32"/>
    </row>
    <row r="125" spans="1:18" s="56" customFormat="1" ht="15" customHeight="1">
      <c r="A125" s="32"/>
      <c r="B125" s="32"/>
      <c r="C125" s="32"/>
      <c r="D125" s="32"/>
      <c r="E125" s="32"/>
      <c r="F125" s="32"/>
      <c r="G125" s="32"/>
      <c r="H125" s="32"/>
      <c r="I125" s="32"/>
      <c r="J125" s="32"/>
      <c r="K125" s="32"/>
      <c r="L125" s="32"/>
      <c r="M125" s="32"/>
      <c r="N125" s="32"/>
      <c r="O125" s="32"/>
      <c r="P125" s="32"/>
      <c r="Q125" s="32"/>
      <c r="R125" s="32"/>
    </row>
    <row r="126" spans="1:18" s="56" customFormat="1" ht="15" customHeight="1">
      <c r="A126" s="32"/>
      <c r="B126" s="32"/>
      <c r="C126" s="32"/>
      <c r="D126" s="32"/>
      <c r="E126" s="32"/>
      <c r="F126" s="32"/>
      <c r="G126" s="32"/>
      <c r="H126" s="32"/>
      <c r="I126" s="32"/>
      <c r="J126" s="32"/>
      <c r="K126" s="32"/>
      <c r="L126" s="32"/>
      <c r="M126" s="32"/>
      <c r="N126" s="32"/>
      <c r="O126" s="32"/>
      <c r="P126" s="32"/>
      <c r="Q126" s="32"/>
      <c r="R126" s="32"/>
    </row>
    <row r="127" spans="1:18" s="56" customFormat="1" ht="15" customHeight="1">
      <c r="A127" s="32"/>
      <c r="B127" s="32"/>
      <c r="C127" s="32"/>
      <c r="D127" s="32"/>
      <c r="E127" s="32"/>
      <c r="F127" s="32"/>
      <c r="G127" s="32"/>
      <c r="H127" s="32"/>
      <c r="I127" s="32"/>
      <c r="J127" s="32"/>
      <c r="K127" s="32"/>
      <c r="L127" s="32"/>
      <c r="M127" s="32"/>
      <c r="N127" s="32"/>
      <c r="O127" s="32"/>
      <c r="P127" s="32"/>
      <c r="Q127" s="32"/>
      <c r="R127" s="32"/>
    </row>
    <row r="128" spans="1:18" s="56" customFormat="1" ht="15" customHeight="1">
      <c r="A128" s="32"/>
      <c r="B128" s="32"/>
      <c r="C128" s="32"/>
      <c r="D128" s="32"/>
      <c r="E128" s="32"/>
      <c r="F128" s="32"/>
      <c r="G128" s="32"/>
      <c r="H128" s="32"/>
      <c r="I128" s="32"/>
      <c r="J128" s="32"/>
      <c r="K128" s="32"/>
      <c r="L128" s="32"/>
      <c r="M128" s="32"/>
      <c r="N128" s="32"/>
      <c r="O128" s="32"/>
      <c r="P128" s="32"/>
      <c r="Q128" s="32"/>
      <c r="R128" s="32"/>
    </row>
    <row r="129" spans="1:18" s="56" customFormat="1" ht="15" customHeight="1">
      <c r="A129" s="32"/>
      <c r="B129" s="32"/>
      <c r="C129" s="32"/>
      <c r="D129" s="32"/>
      <c r="E129" s="32"/>
      <c r="F129" s="32"/>
      <c r="G129" s="32"/>
      <c r="H129" s="32"/>
      <c r="I129" s="32"/>
      <c r="J129" s="32"/>
      <c r="K129" s="32"/>
      <c r="L129" s="32"/>
      <c r="M129" s="32"/>
      <c r="N129" s="32"/>
      <c r="O129" s="32"/>
      <c r="P129" s="32"/>
      <c r="Q129" s="32"/>
      <c r="R129" s="32"/>
    </row>
    <row r="130" spans="1:18" s="56" customFormat="1" ht="15" customHeight="1">
      <c r="A130" s="32"/>
      <c r="B130" s="32"/>
      <c r="C130" s="32"/>
      <c r="D130" s="32"/>
      <c r="E130" s="32"/>
      <c r="F130" s="32"/>
      <c r="G130" s="32"/>
      <c r="H130" s="32"/>
      <c r="I130" s="32"/>
      <c r="J130" s="32"/>
      <c r="K130" s="32"/>
      <c r="L130" s="32"/>
      <c r="M130" s="32"/>
      <c r="N130" s="32"/>
      <c r="O130" s="32"/>
      <c r="P130" s="32"/>
      <c r="Q130" s="32"/>
      <c r="R130" s="32"/>
    </row>
    <row r="131" spans="1:18" s="56" customFormat="1" ht="15" customHeight="1">
      <c r="A131" s="32"/>
      <c r="B131" s="32"/>
      <c r="C131" s="32"/>
      <c r="D131" s="32"/>
      <c r="E131" s="32"/>
      <c r="F131" s="32"/>
      <c r="G131" s="32"/>
      <c r="H131" s="32"/>
      <c r="I131" s="32"/>
      <c r="J131" s="32"/>
      <c r="K131" s="32"/>
      <c r="L131" s="32"/>
      <c r="M131" s="32"/>
      <c r="N131" s="32"/>
      <c r="O131" s="32"/>
      <c r="P131" s="32"/>
      <c r="Q131" s="32"/>
      <c r="R131" s="32"/>
    </row>
    <row r="132" spans="1:18" s="56" customFormat="1" ht="15" customHeight="1">
      <c r="A132" s="32"/>
      <c r="B132" s="32"/>
      <c r="C132" s="32"/>
      <c r="D132" s="32"/>
      <c r="E132" s="32"/>
      <c r="F132" s="32"/>
      <c r="G132" s="32"/>
      <c r="H132" s="32"/>
      <c r="I132" s="32"/>
      <c r="J132" s="32"/>
      <c r="K132" s="32"/>
      <c r="L132" s="32"/>
      <c r="M132" s="32"/>
      <c r="N132" s="32"/>
      <c r="O132" s="32"/>
      <c r="P132" s="32"/>
      <c r="Q132" s="32"/>
      <c r="R132" s="32"/>
    </row>
    <row r="133" spans="1:18" s="56" customFormat="1" ht="15" customHeight="1">
      <c r="A133" s="32"/>
      <c r="B133" s="32"/>
      <c r="C133" s="32"/>
      <c r="D133" s="32"/>
      <c r="E133" s="32"/>
      <c r="F133" s="32"/>
      <c r="G133" s="32"/>
      <c r="H133" s="32"/>
      <c r="I133" s="32"/>
      <c r="J133" s="32"/>
      <c r="K133" s="32"/>
      <c r="L133" s="32"/>
      <c r="M133" s="32"/>
      <c r="N133" s="32"/>
      <c r="O133" s="32"/>
      <c r="P133" s="32"/>
      <c r="Q133" s="32"/>
      <c r="R133" s="32"/>
    </row>
    <row r="134" spans="1:18" s="56" customFormat="1" ht="15" customHeight="1">
      <c r="A134" s="32"/>
      <c r="B134" s="32"/>
      <c r="C134" s="32"/>
      <c r="D134" s="32"/>
      <c r="E134" s="32"/>
      <c r="F134" s="32"/>
      <c r="G134" s="32"/>
      <c r="H134" s="32"/>
      <c r="I134" s="32"/>
      <c r="J134" s="32"/>
      <c r="K134" s="32"/>
      <c r="L134" s="32"/>
      <c r="M134" s="32"/>
      <c r="N134" s="32"/>
      <c r="O134" s="32"/>
      <c r="P134" s="32"/>
      <c r="Q134" s="32"/>
      <c r="R134" s="32"/>
    </row>
    <row r="135" spans="1:18" s="56" customFormat="1" ht="15" customHeight="1">
      <c r="A135" s="32"/>
      <c r="B135" s="32"/>
      <c r="C135" s="32"/>
      <c r="D135" s="32"/>
      <c r="E135" s="32"/>
      <c r="F135" s="32"/>
      <c r="G135" s="32"/>
      <c r="H135" s="32"/>
      <c r="I135" s="32"/>
      <c r="J135" s="32"/>
      <c r="K135" s="32"/>
      <c r="L135" s="32"/>
      <c r="M135" s="32"/>
      <c r="N135" s="32"/>
      <c r="O135" s="32"/>
      <c r="P135" s="32"/>
      <c r="Q135" s="32"/>
      <c r="R135" s="32"/>
    </row>
    <row r="136" spans="1:18" s="56" customFormat="1" ht="15" customHeight="1">
      <c r="A136" s="32"/>
      <c r="B136" s="32"/>
      <c r="C136" s="32"/>
      <c r="D136" s="32"/>
      <c r="E136" s="32"/>
      <c r="F136" s="32"/>
      <c r="G136" s="32"/>
      <c r="H136" s="32"/>
      <c r="I136" s="32"/>
      <c r="J136" s="32"/>
      <c r="K136" s="32"/>
      <c r="L136" s="32"/>
      <c r="M136" s="32"/>
      <c r="N136" s="32"/>
      <c r="O136" s="32"/>
      <c r="P136" s="32"/>
      <c r="Q136" s="32"/>
      <c r="R136" s="32"/>
    </row>
    <row r="137" spans="1:18" s="56" customFormat="1" ht="15" customHeight="1">
      <c r="A137" s="32"/>
      <c r="B137" s="32"/>
      <c r="C137" s="32"/>
      <c r="D137" s="32"/>
      <c r="E137" s="32"/>
      <c r="F137" s="32"/>
      <c r="G137" s="32"/>
      <c r="H137" s="32"/>
      <c r="I137" s="32"/>
      <c r="J137" s="32"/>
      <c r="K137" s="32"/>
      <c r="L137" s="32"/>
      <c r="M137" s="32"/>
      <c r="N137" s="32"/>
      <c r="O137" s="32"/>
      <c r="P137" s="32"/>
      <c r="Q137" s="32"/>
      <c r="R137" s="32"/>
    </row>
    <row r="138" spans="1:18" s="56" customFormat="1" ht="15" customHeight="1">
      <c r="A138" s="32"/>
      <c r="B138" s="32"/>
      <c r="C138" s="32"/>
      <c r="D138" s="32"/>
      <c r="E138" s="32"/>
      <c r="F138" s="32"/>
      <c r="G138" s="32"/>
      <c r="H138" s="32"/>
      <c r="I138" s="32"/>
      <c r="J138" s="32"/>
      <c r="K138" s="32"/>
      <c r="L138" s="32"/>
      <c r="M138" s="32"/>
      <c r="N138" s="32"/>
      <c r="O138" s="32"/>
      <c r="P138" s="32"/>
      <c r="Q138" s="32"/>
      <c r="R138" s="32"/>
    </row>
    <row r="139" spans="1:18" s="56" customFormat="1" ht="15" customHeight="1">
      <c r="A139" s="32"/>
      <c r="B139" s="32"/>
      <c r="C139" s="32"/>
      <c r="D139" s="32"/>
      <c r="E139" s="32"/>
      <c r="F139" s="32"/>
      <c r="G139" s="32"/>
      <c r="H139" s="32"/>
      <c r="I139" s="32"/>
      <c r="J139" s="32"/>
      <c r="K139" s="32"/>
      <c r="L139" s="32"/>
      <c r="M139" s="32"/>
      <c r="N139" s="32"/>
      <c r="O139" s="32"/>
      <c r="P139" s="32"/>
      <c r="Q139" s="32"/>
      <c r="R139" s="32"/>
    </row>
    <row r="140" spans="1:18" s="56" customFormat="1" ht="15" customHeight="1">
      <c r="A140" s="32"/>
      <c r="B140" s="32"/>
      <c r="C140" s="32"/>
      <c r="D140" s="32"/>
      <c r="E140" s="32"/>
      <c r="F140" s="32"/>
      <c r="G140" s="32"/>
      <c r="H140" s="32"/>
      <c r="I140" s="32"/>
      <c r="J140" s="32"/>
      <c r="K140" s="32"/>
      <c r="L140" s="32"/>
      <c r="M140" s="32"/>
      <c r="N140" s="32"/>
      <c r="O140" s="32"/>
      <c r="P140" s="32"/>
      <c r="Q140" s="32"/>
      <c r="R140" s="32"/>
    </row>
    <row r="141" spans="1:18" s="56" customFormat="1" ht="15" customHeight="1">
      <c r="A141" s="32"/>
      <c r="B141" s="32"/>
      <c r="C141" s="32"/>
      <c r="D141" s="32"/>
      <c r="E141" s="32"/>
      <c r="F141" s="32"/>
      <c r="G141" s="32"/>
      <c r="H141" s="32"/>
      <c r="I141" s="32"/>
      <c r="J141" s="32"/>
      <c r="K141" s="32"/>
      <c r="L141" s="32"/>
      <c r="M141" s="32"/>
      <c r="N141" s="32"/>
      <c r="O141" s="32"/>
      <c r="P141" s="32"/>
      <c r="Q141" s="32"/>
      <c r="R141" s="32"/>
    </row>
    <row r="142" spans="1:18" s="56" customFormat="1" ht="15" customHeight="1">
      <c r="A142" s="32"/>
      <c r="B142" s="32"/>
      <c r="C142" s="32"/>
      <c r="D142" s="32"/>
      <c r="E142" s="32"/>
      <c r="F142" s="32"/>
      <c r="G142" s="32"/>
      <c r="H142" s="32"/>
      <c r="I142" s="32"/>
      <c r="J142" s="32"/>
      <c r="K142" s="32"/>
      <c r="L142" s="32"/>
      <c r="M142" s="32"/>
      <c r="N142" s="32"/>
      <c r="O142" s="32"/>
      <c r="P142" s="32"/>
      <c r="Q142" s="32"/>
      <c r="R142" s="32"/>
    </row>
    <row r="143" spans="1:18" s="56" customFormat="1" ht="15" customHeight="1">
      <c r="A143" s="32"/>
      <c r="B143" s="32"/>
      <c r="C143" s="32"/>
      <c r="D143" s="32"/>
      <c r="E143" s="32"/>
      <c r="F143" s="32"/>
      <c r="G143" s="32"/>
      <c r="H143" s="32"/>
      <c r="I143" s="32"/>
      <c r="J143" s="32"/>
      <c r="K143" s="32"/>
      <c r="L143" s="32"/>
      <c r="M143" s="32"/>
      <c r="N143" s="32"/>
      <c r="O143" s="32"/>
      <c r="P143" s="32"/>
      <c r="Q143" s="32"/>
      <c r="R143" s="32"/>
    </row>
    <row r="144" spans="1:18" s="56" customFormat="1" ht="15" customHeight="1">
      <c r="A144" s="32"/>
      <c r="B144" s="32"/>
      <c r="C144" s="32"/>
      <c r="D144" s="32"/>
      <c r="E144" s="32"/>
      <c r="F144" s="32"/>
      <c r="G144" s="32"/>
      <c r="H144" s="32"/>
      <c r="I144" s="32"/>
      <c r="J144" s="32"/>
      <c r="K144" s="32"/>
      <c r="L144" s="32"/>
      <c r="M144" s="32"/>
      <c r="N144" s="32"/>
      <c r="O144" s="32"/>
      <c r="P144" s="32"/>
      <c r="Q144" s="32"/>
      <c r="R144" s="32"/>
    </row>
    <row r="145" spans="1:18" s="56" customFormat="1" ht="15" customHeight="1">
      <c r="A145" s="32"/>
      <c r="B145" s="32"/>
      <c r="C145" s="32"/>
      <c r="D145" s="32"/>
      <c r="E145" s="32"/>
      <c r="F145" s="32"/>
      <c r="G145" s="32"/>
      <c r="H145" s="32"/>
      <c r="I145" s="32"/>
      <c r="J145" s="32"/>
      <c r="K145" s="32"/>
      <c r="L145" s="32"/>
      <c r="M145" s="32"/>
      <c r="N145" s="32"/>
      <c r="O145" s="32"/>
      <c r="P145" s="32"/>
      <c r="Q145" s="32"/>
      <c r="R145" s="32"/>
    </row>
    <row r="146" spans="1:18" s="56" customFormat="1" ht="15" customHeight="1">
      <c r="A146" s="32"/>
      <c r="B146" s="32"/>
      <c r="C146" s="32"/>
      <c r="D146" s="32"/>
      <c r="E146" s="32"/>
      <c r="F146" s="32"/>
      <c r="G146" s="32"/>
      <c r="H146" s="32"/>
      <c r="I146" s="32"/>
      <c r="J146" s="32"/>
      <c r="K146" s="32"/>
      <c r="L146" s="32"/>
      <c r="M146" s="32"/>
      <c r="N146" s="32"/>
      <c r="O146" s="32"/>
      <c r="P146" s="32"/>
      <c r="Q146" s="32"/>
      <c r="R146" s="32"/>
    </row>
    <row r="147" spans="1:18" s="56" customFormat="1" ht="15" customHeight="1">
      <c r="A147" s="32"/>
      <c r="B147" s="32"/>
      <c r="C147" s="32"/>
      <c r="D147" s="32"/>
      <c r="E147" s="32"/>
      <c r="F147" s="32"/>
      <c r="G147" s="32"/>
      <c r="H147" s="32"/>
      <c r="I147" s="32"/>
      <c r="J147" s="32"/>
      <c r="K147" s="32"/>
      <c r="L147" s="32"/>
      <c r="M147" s="32"/>
      <c r="N147" s="32"/>
      <c r="O147" s="32"/>
      <c r="P147" s="32"/>
      <c r="Q147" s="32"/>
      <c r="R147" s="32"/>
    </row>
    <row r="148" spans="1:18" s="56" customFormat="1" ht="15" customHeight="1">
      <c r="A148" s="32"/>
      <c r="B148" s="32"/>
      <c r="C148" s="32"/>
      <c r="D148" s="32"/>
      <c r="E148" s="32"/>
      <c r="F148" s="32"/>
      <c r="G148" s="32"/>
      <c r="H148" s="32"/>
      <c r="I148" s="32"/>
      <c r="J148" s="32"/>
      <c r="K148" s="32"/>
      <c r="L148" s="32"/>
      <c r="M148" s="32"/>
      <c r="N148" s="32"/>
      <c r="O148" s="32"/>
      <c r="P148" s="32"/>
      <c r="Q148" s="32"/>
      <c r="R148" s="32"/>
    </row>
    <row r="149" spans="1:18" s="56" customFormat="1" ht="15" customHeight="1">
      <c r="A149" s="32"/>
      <c r="B149" s="32"/>
      <c r="C149" s="32"/>
      <c r="D149" s="32"/>
      <c r="E149" s="32"/>
      <c r="F149" s="32"/>
      <c r="G149" s="32"/>
      <c r="H149" s="32"/>
      <c r="I149" s="32"/>
      <c r="J149" s="32"/>
      <c r="K149" s="32"/>
      <c r="L149" s="32"/>
      <c r="M149" s="32"/>
      <c r="N149" s="32"/>
      <c r="O149" s="32"/>
      <c r="P149" s="32"/>
      <c r="Q149" s="32"/>
      <c r="R149" s="32"/>
    </row>
    <row r="150" spans="1:18" s="56" customFormat="1" ht="15" customHeight="1">
      <c r="A150" s="32"/>
      <c r="B150" s="32"/>
      <c r="C150" s="32"/>
      <c r="D150" s="32"/>
      <c r="E150" s="32"/>
      <c r="F150" s="32"/>
      <c r="G150" s="32"/>
      <c r="H150" s="32"/>
      <c r="I150" s="32"/>
      <c r="J150" s="32"/>
      <c r="K150" s="32"/>
      <c r="L150" s="32"/>
      <c r="M150" s="32"/>
      <c r="N150" s="32"/>
      <c r="O150" s="32"/>
      <c r="P150" s="32"/>
      <c r="Q150" s="32"/>
      <c r="R150" s="32"/>
    </row>
    <row r="151" spans="1:18" s="56" customFormat="1" ht="15" customHeight="1">
      <c r="A151" s="32"/>
      <c r="B151" s="32"/>
      <c r="C151" s="32"/>
      <c r="D151" s="32"/>
      <c r="E151" s="32"/>
      <c r="F151" s="32"/>
      <c r="G151" s="32"/>
      <c r="H151" s="32"/>
      <c r="I151" s="32"/>
      <c r="J151" s="32"/>
      <c r="K151" s="32"/>
      <c r="L151" s="32"/>
      <c r="M151" s="32"/>
      <c r="N151" s="32"/>
      <c r="O151" s="32"/>
      <c r="P151" s="32"/>
      <c r="Q151" s="32"/>
      <c r="R151" s="32"/>
    </row>
    <row r="152" spans="1:18" s="56" customFormat="1" ht="15" customHeight="1">
      <c r="A152" s="32"/>
      <c r="B152" s="32"/>
      <c r="C152" s="32"/>
      <c r="D152" s="32"/>
      <c r="E152" s="32"/>
      <c r="F152" s="32"/>
      <c r="G152" s="32"/>
      <c r="H152" s="32"/>
      <c r="I152" s="32"/>
      <c r="J152" s="32"/>
      <c r="K152" s="32"/>
      <c r="L152" s="32"/>
      <c r="M152" s="32"/>
      <c r="N152" s="32"/>
      <c r="O152" s="32"/>
      <c r="P152" s="32"/>
      <c r="Q152" s="32"/>
      <c r="R152" s="32"/>
    </row>
    <row r="153" spans="1:18" s="56" customFormat="1" ht="15" customHeight="1">
      <c r="A153" s="32"/>
      <c r="B153" s="32"/>
      <c r="C153" s="32"/>
      <c r="D153" s="32"/>
      <c r="E153" s="32"/>
      <c r="F153" s="32"/>
      <c r="G153" s="32"/>
      <c r="H153" s="32"/>
      <c r="I153" s="32"/>
      <c r="J153" s="32"/>
      <c r="K153" s="32"/>
      <c r="L153" s="32"/>
      <c r="M153" s="32"/>
      <c r="N153" s="32"/>
      <c r="O153" s="32"/>
      <c r="P153" s="32"/>
      <c r="Q153" s="32"/>
      <c r="R153" s="32"/>
    </row>
    <row r="154" spans="1:18" s="56" customFormat="1" ht="15" customHeight="1">
      <c r="A154" s="32"/>
      <c r="B154" s="32"/>
      <c r="C154" s="32"/>
      <c r="D154" s="32"/>
      <c r="E154" s="32"/>
      <c r="F154" s="32"/>
      <c r="G154" s="32"/>
      <c r="H154" s="32"/>
      <c r="I154" s="32"/>
      <c r="J154" s="32"/>
      <c r="K154" s="32"/>
      <c r="L154" s="32"/>
      <c r="M154" s="32"/>
      <c r="N154" s="32"/>
      <c r="O154" s="32"/>
      <c r="P154" s="32"/>
      <c r="Q154" s="32"/>
      <c r="R154" s="32"/>
    </row>
    <row r="155" spans="1:18" s="56" customFormat="1" ht="15" customHeight="1">
      <c r="A155" s="32"/>
      <c r="B155" s="32"/>
      <c r="C155" s="32"/>
      <c r="D155" s="32"/>
      <c r="E155" s="32"/>
      <c r="F155" s="32"/>
      <c r="G155" s="32"/>
      <c r="H155" s="32"/>
      <c r="I155" s="32"/>
      <c r="J155" s="32"/>
      <c r="K155" s="32"/>
      <c r="L155" s="32"/>
      <c r="M155" s="32"/>
      <c r="N155" s="32"/>
      <c r="O155" s="32"/>
      <c r="P155" s="32"/>
      <c r="Q155" s="32"/>
      <c r="R155" s="32"/>
    </row>
    <row r="156" spans="1:18" s="56" customFormat="1" ht="15" customHeight="1">
      <c r="A156" s="32"/>
      <c r="B156" s="32"/>
      <c r="C156" s="32"/>
      <c r="D156" s="32"/>
      <c r="E156" s="32"/>
      <c r="F156" s="32"/>
      <c r="G156" s="32"/>
      <c r="H156" s="32"/>
      <c r="I156" s="32"/>
      <c r="J156" s="32"/>
      <c r="K156" s="32"/>
      <c r="L156" s="32"/>
      <c r="M156" s="32"/>
      <c r="N156" s="32"/>
      <c r="O156" s="32"/>
      <c r="P156" s="32"/>
      <c r="Q156" s="32"/>
      <c r="R156" s="32"/>
    </row>
    <row r="157" spans="1:18" s="56" customFormat="1" ht="15" customHeight="1">
      <c r="A157" s="32"/>
      <c r="B157" s="32"/>
      <c r="C157" s="32"/>
      <c r="D157" s="32"/>
      <c r="E157" s="32"/>
      <c r="F157" s="32"/>
      <c r="G157" s="32"/>
      <c r="H157" s="32"/>
      <c r="I157" s="32"/>
      <c r="J157" s="32"/>
      <c r="K157" s="32"/>
      <c r="L157" s="32"/>
      <c r="M157" s="32"/>
      <c r="N157" s="32"/>
      <c r="O157" s="32"/>
      <c r="P157" s="32"/>
      <c r="Q157" s="32"/>
      <c r="R157" s="32"/>
    </row>
    <row r="158" spans="1:18" s="56" customFormat="1" ht="15" customHeight="1">
      <c r="A158" s="32"/>
      <c r="B158" s="32"/>
      <c r="C158" s="32"/>
      <c r="D158" s="32"/>
      <c r="E158" s="32"/>
      <c r="F158" s="32"/>
      <c r="G158" s="32"/>
      <c r="H158" s="32"/>
      <c r="I158" s="32"/>
      <c r="J158" s="32"/>
      <c r="K158" s="32"/>
      <c r="L158" s="32"/>
      <c r="M158" s="32"/>
      <c r="N158" s="32"/>
      <c r="O158" s="32"/>
      <c r="P158" s="32"/>
      <c r="Q158" s="32"/>
      <c r="R158" s="32"/>
    </row>
    <row r="159" spans="1:18" s="56" customFormat="1" ht="15" customHeight="1">
      <c r="A159" s="32"/>
      <c r="B159" s="32"/>
      <c r="C159" s="32"/>
      <c r="D159" s="32"/>
      <c r="E159" s="32"/>
      <c r="F159" s="32"/>
      <c r="G159" s="32"/>
      <c r="H159" s="32"/>
      <c r="I159" s="32"/>
      <c r="J159" s="32"/>
      <c r="K159" s="32"/>
      <c r="L159" s="32"/>
      <c r="M159" s="32"/>
      <c r="N159" s="32"/>
      <c r="O159" s="32"/>
      <c r="P159" s="32"/>
      <c r="Q159" s="32"/>
      <c r="R159" s="32"/>
    </row>
    <row r="160" spans="1:18" s="56" customFormat="1" ht="15" customHeight="1">
      <c r="A160" s="32"/>
      <c r="B160" s="32"/>
      <c r="C160" s="32"/>
      <c r="D160" s="32"/>
      <c r="E160" s="32"/>
      <c r="F160" s="32"/>
      <c r="G160" s="32"/>
      <c r="H160" s="32"/>
      <c r="I160" s="32"/>
      <c r="J160" s="32"/>
      <c r="K160" s="32"/>
      <c r="L160" s="32"/>
      <c r="M160" s="32"/>
      <c r="N160" s="32"/>
      <c r="O160" s="32"/>
      <c r="P160" s="32"/>
      <c r="Q160" s="32"/>
      <c r="R160" s="32"/>
    </row>
    <row r="161" spans="1:18" s="56" customFormat="1" ht="15" customHeight="1">
      <c r="A161" s="32"/>
      <c r="B161" s="32"/>
      <c r="C161" s="32"/>
      <c r="D161" s="32"/>
      <c r="E161" s="32"/>
      <c r="F161" s="32"/>
      <c r="G161" s="32"/>
      <c r="H161" s="32"/>
      <c r="I161" s="32"/>
      <c r="J161" s="32"/>
      <c r="K161" s="32"/>
      <c r="L161" s="32"/>
      <c r="M161" s="32"/>
      <c r="N161" s="32"/>
      <c r="O161" s="32"/>
      <c r="P161" s="32"/>
      <c r="Q161" s="32"/>
      <c r="R161" s="32"/>
    </row>
    <row r="162" spans="1:18" s="56" customFormat="1" ht="15" customHeight="1">
      <c r="A162" s="32"/>
      <c r="B162" s="32"/>
      <c r="C162" s="32"/>
      <c r="D162" s="32"/>
      <c r="E162" s="32"/>
      <c r="F162" s="32"/>
      <c r="G162" s="32"/>
      <c r="H162" s="32"/>
      <c r="I162" s="32"/>
      <c r="J162" s="32"/>
      <c r="K162" s="32"/>
      <c r="L162" s="32"/>
      <c r="M162" s="32"/>
      <c r="N162" s="32"/>
      <c r="O162" s="32"/>
      <c r="P162" s="32"/>
      <c r="Q162" s="32"/>
      <c r="R162" s="32"/>
    </row>
    <row r="163" spans="1:18" s="56" customFormat="1" ht="15" customHeight="1">
      <c r="A163" s="32"/>
      <c r="B163" s="32"/>
      <c r="C163" s="32"/>
      <c r="D163" s="32"/>
      <c r="E163" s="32"/>
      <c r="F163" s="32"/>
      <c r="G163" s="32"/>
      <c r="H163" s="32"/>
      <c r="I163" s="32"/>
      <c r="J163" s="32"/>
      <c r="K163" s="32"/>
      <c r="L163" s="32"/>
      <c r="M163" s="32"/>
      <c r="N163" s="32"/>
      <c r="O163" s="32"/>
      <c r="P163" s="32"/>
      <c r="Q163" s="32"/>
      <c r="R163" s="32"/>
    </row>
    <row r="164" spans="1:18" s="56" customFormat="1" ht="15" customHeight="1">
      <c r="A164" s="32"/>
      <c r="B164" s="32"/>
      <c r="C164" s="32"/>
      <c r="D164" s="32"/>
      <c r="E164" s="32"/>
      <c r="F164" s="32"/>
      <c r="G164" s="32"/>
      <c r="H164" s="32"/>
      <c r="I164" s="32"/>
      <c r="J164" s="32"/>
      <c r="K164" s="32"/>
      <c r="L164" s="32"/>
      <c r="M164" s="32"/>
      <c r="N164" s="32"/>
      <c r="O164" s="32"/>
      <c r="P164" s="32"/>
      <c r="Q164" s="32"/>
      <c r="R164" s="32"/>
    </row>
    <row r="165" spans="1:18" s="56" customFormat="1" ht="15" customHeight="1">
      <c r="A165" s="32"/>
      <c r="B165" s="32"/>
      <c r="C165" s="32"/>
      <c r="D165" s="32"/>
      <c r="E165" s="32"/>
      <c r="F165" s="32"/>
      <c r="G165" s="32"/>
      <c r="H165" s="32"/>
      <c r="I165" s="32"/>
      <c r="J165" s="32"/>
      <c r="K165" s="32"/>
      <c r="L165" s="32"/>
      <c r="M165" s="32"/>
      <c r="N165" s="32"/>
      <c r="O165" s="32"/>
      <c r="P165" s="32"/>
      <c r="Q165" s="32"/>
      <c r="R165" s="32"/>
    </row>
    <row r="166" spans="1:18" s="56" customFormat="1" ht="15" customHeight="1">
      <c r="A166" s="32"/>
      <c r="B166" s="32"/>
      <c r="C166" s="32"/>
      <c r="D166" s="32"/>
      <c r="E166" s="32"/>
      <c r="F166" s="32"/>
      <c r="G166" s="32"/>
      <c r="H166" s="32"/>
      <c r="I166" s="32"/>
      <c r="J166" s="32"/>
      <c r="K166" s="32"/>
      <c r="L166" s="32"/>
      <c r="M166" s="32"/>
      <c r="N166" s="32"/>
      <c r="O166" s="32"/>
      <c r="P166" s="32"/>
      <c r="Q166" s="32"/>
      <c r="R166" s="32"/>
    </row>
    <row r="167" spans="1:18" s="56" customFormat="1" ht="15" customHeight="1">
      <c r="A167" s="32"/>
      <c r="B167" s="32"/>
      <c r="C167" s="32"/>
      <c r="D167" s="32"/>
      <c r="E167" s="32"/>
      <c r="F167" s="32"/>
      <c r="G167" s="32"/>
      <c r="H167" s="32"/>
      <c r="I167" s="32"/>
      <c r="J167" s="32"/>
      <c r="K167" s="32"/>
      <c r="L167" s="32"/>
      <c r="M167" s="32"/>
      <c r="N167" s="32"/>
      <c r="O167" s="32"/>
      <c r="P167" s="32"/>
      <c r="Q167" s="32"/>
      <c r="R167" s="32"/>
    </row>
    <row r="168" spans="1:18" s="56" customFormat="1" ht="15" customHeight="1">
      <c r="A168" s="32"/>
      <c r="B168" s="32"/>
      <c r="C168" s="32"/>
      <c r="D168" s="32"/>
      <c r="E168" s="32"/>
      <c r="F168" s="32"/>
      <c r="G168" s="32"/>
      <c r="H168" s="32"/>
      <c r="I168" s="32"/>
      <c r="J168" s="32"/>
      <c r="K168" s="32"/>
      <c r="L168" s="32"/>
      <c r="M168" s="32"/>
      <c r="N168" s="32"/>
      <c r="O168" s="32"/>
      <c r="P168" s="32"/>
      <c r="Q168" s="32"/>
      <c r="R168" s="32"/>
    </row>
    <row r="169" spans="1:18" s="56" customFormat="1" ht="15" customHeight="1">
      <c r="A169" s="32"/>
      <c r="B169" s="32"/>
      <c r="C169" s="32"/>
      <c r="D169" s="32"/>
      <c r="E169" s="32"/>
      <c r="F169" s="32"/>
      <c r="G169" s="32"/>
      <c r="H169" s="32"/>
      <c r="I169" s="32"/>
      <c r="J169" s="32"/>
      <c r="K169" s="32"/>
      <c r="L169" s="32"/>
      <c r="M169" s="32"/>
      <c r="N169" s="32"/>
      <c r="O169" s="32"/>
      <c r="P169" s="32"/>
      <c r="Q169" s="32"/>
      <c r="R169" s="32"/>
    </row>
    <row r="170" spans="1:18" s="56" customFormat="1" ht="15" customHeight="1">
      <c r="A170" s="32"/>
      <c r="B170" s="32"/>
      <c r="C170" s="32"/>
      <c r="D170" s="32"/>
      <c r="E170" s="32"/>
      <c r="F170" s="32"/>
      <c r="G170" s="32"/>
      <c r="H170" s="32"/>
      <c r="I170" s="32"/>
      <c r="J170" s="32"/>
      <c r="K170" s="32"/>
      <c r="L170" s="32"/>
      <c r="M170" s="32"/>
      <c r="N170" s="32"/>
      <c r="O170" s="32"/>
      <c r="P170" s="32"/>
      <c r="Q170" s="32"/>
      <c r="R170" s="32"/>
    </row>
    <row r="171" spans="1:18" s="56" customFormat="1" ht="15" customHeight="1">
      <c r="A171" s="32"/>
      <c r="B171" s="32"/>
      <c r="C171" s="32"/>
      <c r="D171" s="32"/>
      <c r="E171" s="32"/>
      <c r="F171" s="32"/>
      <c r="G171" s="32"/>
      <c r="H171" s="32"/>
      <c r="I171" s="32"/>
      <c r="J171" s="32"/>
      <c r="K171" s="32"/>
      <c r="L171" s="32"/>
      <c r="M171" s="32"/>
      <c r="N171" s="32"/>
      <c r="O171" s="32"/>
      <c r="P171" s="32"/>
      <c r="Q171" s="32"/>
      <c r="R171" s="32"/>
    </row>
    <row r="172" spans="1:18" s="56" customFormat="1" ht="15" customHeight="1">
      <c r="A172" s="32"/>
      <c r="B172" s="32"/>
      <c r="C172" s="32"/>
      <c r="D172" s="32"/>
      <c r="E172" s="32"/>
      <c r="F172" s="32"/>
      <c r="G172" s="32"/>
      <c r="H172" s="32"/>
      <c r="I172" s="32"/>
      <c r="J172" s="32"/>
      <c r="K172" s="32"/>
      <c r="L172" s="32"/>
      <c r="M172" s="32"/>
      <c r="N172" s="32"/>
      <c r="O172" s="32"/>
      <c r="P172" s="32"/>
      <c r="Q172" s="32"/>
      <c r="R172" s="32"/>
    </row>
    <row r="173" spans="1:18" s="56" customFormat="1" ht="15" customHeight="1">
      <c r="A173" s="32"/>
      <c r="B173" s="32"/>
      <c r="C173" s="32"/>
      <c r="D173" s="32"/>
      <c r="E173" s="32"/>
      <c r="F173" s="32"/>
      <c r="G173" s="32"/>
      <c r="H173" s="32"/>
      <c r="I173" s="32"/>
      <c r="J173" s="32"/>
      <c r="K173" s="32"/>
      <c r="L173" s="32"/>
      <c r="M173" s="32"/>
      <c r="N173" s="32"/>
      <c r="O173" s="32"/>
      <c r="P173" s="32"/>
      <c r="Q173" s="32"/>
      <c r="R173" s="32"/>
    </row>
    <row r="174" spans="1:18" s="56" customFormat="1" ht="15" customHeight="1">
      <c r="A174" s="32"/>
      <c r="B174" s="32"/>
      <c r="C174" s="32"/>
      <c r="D174" s="32"/>
      <c r="E174" s="32"/>
      <c r="F174" s="32"/>
      <c r="G174" s="32"/>
      <c r="H174" s="32"/>
      <c r="I174" s="32"/>
      <c r="J174" s="32"/>
      <c r="K174" s="32"/>
      <c r="L174" s="32"/>
      <c r="M174" s="32"/>
      <c r="N174" s="32"/>
      <c r="O174" s="32"/>
      <c r="P174" s="32"/>
      <c r="Q174" s="32"/>
      <c r="R174" s="32"/>
    </row>
    <row r="175" spans="1:18" s="56" customFormat="1" ht="15" customHeight="1">
      <c r="A175" s="32"/>
      <c r="B175" s="32"/>
      <c r="C175" s="32"/>
      <c r="D175" s="32"/>
      <c r="E175" s="32"/>
      <c r="F175" s="32"/>
      <c r="G175" s="32"/>
      <c r="H175" s="32"/>
      <c r="I175" s="32"/>
      <c r="J175" s="32"/>
      <c r="K175" s="32"/>
      <c r="L175" s="32"/>
      <c r="M175" s="32"/>
      <c r="N175" s="32"/>
      <c r="O175" s="32"/>
      <c r="P175" s="32"/>
      <c r="Q175" s="32"/>
      <c r="R175" s="32"/>
    </row>
    <row r="176" spans="1:18" s="56" customFormat="1" ht="15" customHeight="1">
      <c r="A176" s="32"/>
      <c r="B176" s="32"/>
      <c r="C176" s="32"/>
      <c r="D176" s="32"/>
      <c r="E176" s="32"/>
      <c r="F176" s="32"/>
      <c r="G176" s="32"/>
      <c r="H176" s="32"/>
      <c r="I176" s="32"/>
      <c r="J176" s="32"/>
      <c r="K176" s="32"/>
      <c r="L176" s="32"/>
      <c r="M176" s="32"/>
      <c r="N176" s="32"/>
      <c r="O176" s="32"/>
      <c r="P176" s="32"/>
      <c r="Q176" s="32"/>
      <c r="R176" s="32"/>
    </row>
    <row r="177" spans="1:18" s="56" customFormat="1" ht="15" customHeight="1">
      <c r="A177" s="32"/>
      <c r="B177" s="32"/>
      <c r="C177" s="32"/>
      <c r="D177" s="32"/>
      <c r="E177" s="32"/>
      <c r="F177" s="32"/>
      <c r="G177" s="32"/>
      <c r="H177" s="32"/>
      <c r="I177" s="32"/>
      <c r="J177" s="32"/>
      <c r="K177" s="32"/>
      <c r="L177" s="32"/>
      <c r="M177" s="32"/>
      <c r="N177" s="32"/>
      <c r="O177" s="32"/>
      <c r="P177" s="32"/>
      <c r="Q177" s="32"/>
      <c r="R177" s="32"/>
    </row>
    <row r="178" spans="1:18" s="56" customFormat="1" ht="15" customHeight="1">
      <c r="A178" s="32"/>
      <c r="B178" s="32"/>
      <c r="C178" s="32"/>
      <c r="D178" s="32"/>
      <c r="E178" s="32"/>
      <c r="F178" s="32"/>
      <c r="G178" s="32"/>
      <c r="H178" s="32"/>
      <c r="I178" s="32"/>
      <c r="J178" s="32"/>
      <c r="K178" s="32"/>
      <c r="L178" s="32"/>
      <c r="M178" s="32"/>
      <c r="N178" s="32"/>
      <c r="O178" s="32"/>
      <c r="P178" s="32"/>
      <c r="Q178" s="32"/>
      <c r="R178" s="32"/>
    </row>
    <row r="179" spans="1:18" s="56" customFormat="1" ht="15" customHeight="1">
      <c r="A179" s="32"/>
      <c r="B179" s="32"/>
      <c r="C179" s="32"/>
      <c r="D179" s="32"/>
      <c r="E179" s="32"/>
      <c r="F179" s="32"/>
      <c r="G179" s="32"/>
      <c r="H179" s="32"/>
      <c r="I179" s="32"/>
      <c r="J179" s="32"/>
      <c r="K179" s="32"/>
      <c r="L179" s="32"/>
      <c r="M179" s="32"/>
      <c r="N179" s="32"/>
      <c r="O179" s="32"/>
      <c r="P179" s="32"/>
      <c r="Q179" s="32"/>
      <c r="R179" s="32"/>
    </row>
    <row r="180" spans="1:18" s="56" customFormat="1" ht="15" customHeight="1">
      <c r="A180" s="32"/>
      <c r="B180" s="32"/>
      <c r="C180" s="32"/>
      <c r="D180" s="32"/>
      <c r="E180" s="32"/>
      <c r="F180" s="32"/>
      <c r="G180" s="32"/>
      <c r="H180" s="32"/>
      <c r="I180" s="32"/>
      <c r="J180" s="32"/>
      <c r="K180" s="32"/>
      <c r="L180" s="32"/>
      <c r="M180" s="32"/>
      <c r="N180" s="32"/>
      <c r="O180" s="32"/>
      <c r="P180" s="32"/>
      <c r="Q180" s="32"/>
      <c r="R180" s="32"/>
    </row>
    <row r="181" spans="1:18" s="56" customFormat="1" ht="15" customHeight="1">
      <c r="A181" s="32"/>
      <c r="B181" s="32"/>
      <c r="C181" s="32"/>
      <c r="D181" s="32"/>
      <c r="E181" s="32"/>
      <c r="F181" s="32"/>
      <c r="G181" s="32"/>
      <c r="H181" s="32"/>
      <c r="I181" s="32"/>
      <c r="J181" s="32"/>
      <c r="K181" s="32"/>
      <c r="L181" s="32"/>
      <c r="M181" s="32"/>
      <c r="N181" s="32"/>
      <c r="O181" s="32"/>
      <c r="P181" s="32"/>
      <c r="Q181" s="32"/>
      <c r="R181" s="32"/>
    </row>
    <row r="182" spans="1:18" s="56" customFormat="1" ht="15" customHeight="1">
      <c r="A182" s="32"/>
      <c r="B182" s="32"/>
      <c r="C182" s="32"/>
      <c r="D182" s="32"/>
      <c r="E182" s="32"/>
      <c r="F182" s="32"/>
      <c r="G182" s="32"/>
      <c r="H182" s="32"/>
      <c r="I182" s="32"/>
      <c r="J182" s="32"/>
      <c r="K182" s="32"/>
      <c r="L182" s="32"/>
      <c r="M182" s="32"/>
      <c r="N182" s="32"/>
      <c r="O182" s="32"/>
      <c r="P182" s="32"/>
      <c r="Q182" s="32"/>
      <c r="R182" s="32"/>
    </row>
    <row r="183" spans="1:18" s="56" customFormat="1" ht="15" customHeight="1">
      <c r="A183" s="32"/>
      <c r="B183" s="32"/>
      <c r="C183" s="32"/>
      <c r="D183" s="32"/>
      <c r="E183" s="32"/>
      <c r="F183" s="32"/>
      <c r="G183" s="32"/>
      <c r="H183" s="32"/>
      <c r="I183" s="32"/>
      <c r="J183" s="32"/>
      <c r="K183" s="32"/>
      <c r="L183" s="32"/>
      <c r="M183" s="32"/>
      <c r="N183" s="32"/>
      <c r="O183" s="32"/>
      <c r="P183" s="32"/>
      <c r="Q183" s="32"/>
      <c r="R183" s="32"/>
    </row>
    <row r="184" spans="1:18" s="56" customFormat="1" ht="15" customHeight="1">
      <c r="A184" s="32"/>
      <c r="B184" s="32"/>
      <c r="C184" s="32"/>
      <c r="D184" s="32"/>
      <c r="E184" s="32"/>
      <c r="F184" s="32"/>
      <c r="G184" s="32"/>
      <c r="H184" s="32"/>
      <c r="I184" s="32"/>
      <c r="J184" s="32"/>
      <c r="K184" s="32"/>
      <c r="L184" s="32"/>
      <c r="M184" s="32"/>
      <c r="N184" s="32"/>
      <c r="O184" s="32"/>
      <c r="P184" s="32"/>
      <c r="Q184" s="32"/>
      <c r="R184" s="32"/>
    </row>
    <row r="185" spans="1:18" s="56" customFormat="1" ht="15" customHeight="1">
      <c r="A185" s="32"/>
      <c r="B185" s="32"/>
      <c r="C185" s="32"/>
      <c r="D185" s="32"/>
      <c r="E185" s="32"/>
      <c r="F185" s="32"/>
      <c r="G185" s="32"/>
      <c r="H185" s="32"/>
      <c r="I185" s="32"/>
      <c r="J185" s="32"/>
      <c r="K185" s="32"/>
      <c r="L185" s="32"/>
      <c r="M185" s="32"/>
      <c r="N185" s="32"/>
      <c r="O185" s="32"/>
      <c r="P185" s="32"/>
      <c r="Q185" s="32"/>
      <c r="R185" s="32"/>
    </row>
    <row r="186" spans="1:18" s="56" customFormat="1" ht="15" customHeight="1">
      <c r="A186" s="32"/>
      <c r="B186" s="32"/>
      <c r="C186" s="32"/>
      <c r="D186" s="32"/>
      <c r="E186" s="32"/>
      <c r="F186" s="32"/>
      <c r="G186" s="32"/>
      <c r="H186" s="32"/>
      <c r="I186" s="32"/>
      <c r="J186" s="32"/>
      <c r="K186" s="32"/>
      <c r="L186" s="32"/>
      <c r="M186" s="32"/>
      <c r="N186" s="32"/>
      <c r="O186" s="32"/>
      <c r="P186" s="32"/>
      <c r="Q186" s="32"/>
      <c r="R186" s="32"/>
    </row>
    <row r="187" spans="1:18" s="56" customFormat="1" ht="15" customHeight="1">
      <c r="A187" s="32"/>
      <c r="B187" s="32"/>
      <c r="C187" s="32"/>
      <c r="D187" s="32"/>
      <c r="E187" s="32"/>
      <c r="F187" s="32"/>
      <c r="G187" s="32"/>
      <c r="H187" s="32"/>
      <c r="I187" s="32"/>
      <c r="J187" s="32"/>
      <c r="K187" s="32"/>
      <c r="L187" s="32"/>
      <c r="M187" s="32"/>
      <c r="N187" s="32"/>
      <c r="O187" s="32"/>
      <c r="P187" s="32"/>
      <c r="Q187" s="32"/>
      <c r="R187" s="32"/>
    </row>
    <row r="188" spans="1:18" s="56" customFormat="1" ht="15" customHeight="1">
      <c r="A188" s="32"/>
      <c r="B188" s="32"/>
      <c r="C188" s="32"/>
      <c r="D188" s="32"/>
      <c r="E188" s="32"/>
      <c r="F188" s="32"/>
      <c r="G188" s="32"/>
      <c r="H188" s="32"/>
      <c r="I188" s="32"/>
      <c r="J188" s="32"/>
      <c r="K188" s="32"/>
      <c r="L188" s="32"/>
      <c r="M188" s="32"/>
      <c r="N188" s="32"/>
      <c r="O188" s="32"/>
      <c r="P188" s="32"/>
      <c r="Q188" s="32"/>
      <c r="R188" s="32"/>
    </row>
    <row r="189" spans="1:18" s="56" customFormat="1" ht="15" customHeight="1">
      <c r="A189" s="32"/>
      <c r="B189" s="32"/>
      <c r="C189" s="32"/>
      <c r="D189" s="32"/>
      <c r="E189" s="32"/>
      <c r="F189" s="32"/>
      <c r="G189" s="32"/>
      <c r="H189" s="32"/>
      <c r="I189" s="32"/>
      <c r="J189" s="32"/>
      <c r="K189" s="32"/>
      <c r="L189" s="32"/>
      <c r="M189" s="32"/>
      <c r="N189" s="32"/>
      <c r="O189" s="32"/>
      <c r="P189" s="32"/>
      <c r="Q189" s="32"/>
      <c r="R189" s="32"/>
    </row>
    <row r="190" spans="1:18" s="56" customFormat="1" ht="15" customHeight="1">
      <c r="A190" s="32"/>
      <c r="B190" s="32"/>
      <c r="C190" s="32"/>
      <c r="D190" s="32"/>
      <c r="E190" s="32"/>
      <c r="F190" s="32"/>
      <c r="G190" s="32"/>
      <c r="H190" s="32"/>
      <c r="I190" s="32"/>
      <c r="J190" s="32"/>
      <c r="K190" s="32"/>
      <c r="L190" s="32"/>
      <c r="M190" s="32"/>
      <c r="N190" s="32"/>
      <c r="O190" s="32"/>
      <c r="P190" s="32"/>
      <c r="Q190" s="32"/>
      <c r="R190" s="32"/>
    </row>
    <row r="191" spans="1:18" s="56" customFormat="1" ht="15" customHeight="1">
      <c r="A191" s="32"/>
      <c r="B191" s="32"/>
      <c r="C191" s="32"/>
      <c r="D191" s="32"/>
      <c r="E191" s="32"/>
      <c r="F191" s="32"/>
      <c r="G191" s="32"/>
      <c r="H191" s="32"/>
      <c r="I191" s="32"/>
      <c r="J191" s="32"/>
      <c r="K191" s="32"/>
      <c r="L191" s="32"/>
      <c r="M191" s="32"/>
      <c r="N191" s="32"/>
      <c r="O191" s="32"/>
      <c r="P191" s="32"/>
      <c r="Q191" s="32"/>
      <c r="R191" s="32"/>
    </row>
    <row r="192" spans="1:18" s="56" customFormat="1" ht="15" customHeight="1">
      <c r="A192" s="32"/>
      <c r="B192" s="32"/>
      <c r="C192" s="32"/>
      <c r="D192" s="32"/>
      <c r="E192" s="32"/>
      <c r="F192" s="32"/>
      <c r="G192" s="32"/>
      <c r="H192" s="32"/>
      <c r="I192" s="32"/>
      <c r="J192" s="32"/>
      <c r="K192" s="32"/>
      <c r="L192" s="32"/>
      <c r="M192" s="32"/>
      <c r="N192" s="32"/>
      <c r="O192" s="32"/>
      <c r="P192" s="32"/>
      <c r="Q192" s="32"/>
      <c r="R192" s="32"/>
    </row>
    <row r="193" spans="1:18" s="56" customFormat="1" ht="15" customHeight="1">
      <c r="A193" s="32"/>
      <c r="B193" s="32"/>
      <c r="C193" s="32"/>
      <c r="D193" s="32"/>
      <c r="E193" s="32"/>
      <c r="F193" s="32"/>
      <c r="G193" s="32"/>
      <c r="H193" s="32"/>
      <c r="I193" s="32"/>
      <c r="J193" s="32"/>
      <c r="K193" s="32"/>
      <c r="L193" s="32"/>
      <c r="M193" s="32"/>
      <c r="N193" s="32"/>
      <c r="O193" s="32"/>
      <c r="P193" s="32"/>
      <c r="Q193" s="32"/>
      <c r="R193" s="32"/>
    </row>
    <row r="194" spans="1:18" s="56" customFormat="1" ht="15" customHeight="1">
      <c r="A194" s="32"/>
      <c r="B194" s="32"/>
      <c r="C194" s="32"/>
      <c r="D194" s="32"/>
      <c r="E194" s="32"/>
      <c r="F194" s="32"/>
      <c r="G194" s="32"/>
      <c r="H194" s="32"/>
      <c r="I194" s="32"/>
      <c r="J194" s="32"/>
      <c r="K194" s="32"/>
      <c r="L194" s="32"/>
      <c r="M194" s="32"/>
      <c r="N194" s="32"/>
      <c r="O194" s="32"/>
      <c r="P194" s="32"/>
      <c r="Q194" s="32"/>
      <c r="R194" s="32"/>
    </row>
    <row r="195" spans="1:18" s="56" customFormat="1" ht="15" customHeight="1">
      <c r="A195" s="32"/>
      <c r="B195" s="32"/>
      <c r="C195" s="32"/>
      <c r="D195" s="32"/>
      <c r="E195" s="32"/>
      <c r="F195" s="32"/>
      <c r="G195" s="32"/>
      <c r="H195" s="32"/>
      <c r="I195" s="32"/>
      <c r="J195" s="32"/>
      <c r="K195" s="32"/>
      <c r="L195" s="32"/>
      <c r="M195" s="32"/>
      <c r="N195" s="32"/>
      <c r="O195" s="32"/>
      <c r="P195" s="32"/>
      <c r="Q195" s="32"/>
      <c r="R195" s="32"/>
    </row>
    <row r="196" spans="1:18" s="56" customFormat="1" ht="15" customHeight="1">
      <c r="A196" s="32"/>
      <c r="B196" s="32"/>
      <c r="C196" s="32"/>
      <c r="D196" s="32"/>
      <c r="E196" s="32"/>
      <c r="F196" s="32"/>
      <c r="G196" s="32"/>
      <c r="H196" s="32"/>
      <c r="I196" s="32"/>
      <c r="J196" s="32"/>
      <c r="K196" s="32"/>
      <c r="L196" s="32"/>
      <c r="M196" s="32"/>
      <c r="N196" s="32"/>
      <c r="O196" s="32"/>
      <c r="P196" s="32"/>
      <c r="Q196" s="32"/>
      <c r="R196" s="32"/>
    </row>
    <row r="197" spans="1:18" s="56" customFormat="1" ht="15" customHeight="1">
      <c r="A197" s="32"/>
      <c r="B197" s="32"/>
      <c r="C197" s="32"/>
      <c r="D197" s="32"/>
      <c r="E197" s="32"/>
      <c r="F197" s="32"/>
      <c r="G197" s="32"/>
      <c r="H197" s="32"/>
      <c r="I197" s="32"/>
      <c r="J197" s="32"/>
      <c r="K197" s="32"/>
      <c r="L197" s="32"/>
      <c r="M197" s="32"/>
      <c r="N197" s="32"/>
      <c r="O197" s="32"/>
      <c r="P197" s="32"/>
      <c r="Q197" s="32"/>
      <c r="R197" s="32"/>
    </row>
    <row r="198" spans="1:18" s="56" customFormat="1" ht="15" customHeight="1">
      <c r="A198" s="32"/>
      <c r="B198" s="32"/>
      <c r="C198" s="32"/>
      <c r="D198" s="32"/>
      <c r="E198" s="32"/>
      <c r="F198" s="32"/>
      <c r="G198" s="32"/>
      <c r="H198" s="32"/>
      <c r="I198" s="32"/>
      <c r="J198" s="32"/>
      <c r="K198" s="32"/>
      <c r="L198" s="32"/>
      <c r="M198" s="32"/>
      <c r="N198" s="32"/>
      <c r="O198" s="32"/>
      <c r="P198" s="32"/>
      <c r="Q198" s="32"/>
      <c r="R198" s="32"/>
    </row>
    <row r="199" spans="1:18" s="56" customFormat="1" ht="15" customHeight="1">
      <c r="A199" s="32"/>
      <c r="B199" s="32"/>
      <c r="C199" s="32"/>
      <c r="D199" s="32"/>
      <c r="E199" s="32"/>
      <c r="F199" s="32"/>
      <c r="G199" s="32"/>
      <c r="H199" s="32"/>
      <c r="I199" s="32"/>
      <c r="J199" s="32"/>
      <c r="K199" s="32"/>
      <c r="L199" s="32"/>
      <c r="M199" s="32"/>
      <c r="N199" s="32"/>
      <c r="O199" s="32"/>
      <c r="P199" s="32"/>
      <c r="Q199" s="32"/>
      <c r="R199" s="32"/>
    </row>
    <row r="200" spans="1:18" s="56" customFormat="1" ht="15" customHeight="1">
      <c r="A200" s="32"/>
      <c r="B200" s="32"/>
      <c r="C200" s="32"/>
      <c r="D200" s="32"/>
      <c r="E200" s="32"/>
      <c r="F200" s="32"/>
      <c r="G200" s="32"/>
      <c r="H200" s="32"/>
      <c r="I200" s="32"/>
      <c r="J200" s="32"/>
      <c r="K200" s="32"/>
      <c r="L200" s="32"/>
      <c r="M200" s="32"/>
      <c r="N200" s="32"/>
      <c r="O200" s="32"/>
      <c r="P200" s="32"/>
      <c r="Q200" s="32"/>
      <c r="R200" s="32"/>
    </row>
    <row r="201" spans="1:18" s="56" customFormat="1" ht="15" customHeight="1">
      <c r="A201" s="32"/>
      <c r="B201" s="32"/>
      <c r="C201" s="32"/>
      <c r="D201" s="32"/>
      <c r="E201" s="32"/>
      <c r="F201" s="32"/>
      <c r="G201" s="32"/>
      <c r="H201" s="32"/>
      <c r="I201" s="32"/>
      <c r="J201" s="32"/>
      <c r="K201" s="32"/>
      <c r="L201" s="32"/>
      <c r="M201" s="32"/>
      <c r="N201" s="32"/>
      <c r="O201" s="32"/>
      <c r="P201" s="32"/>
      <c r="Q201" s="32"/>
      <c r="R201" s="32"/>
    </row>
    <row r="202" spans="1:18" s="56" customFormat="1" ht="15" customHeight="1">
      <c r="A202" s="32"/>
      <c r="B202" s="32"/>
      <c r="C202" s="32"/>
      <c r="D202" s="32"/>
      <c r="E202" s="32"/>
      <c r="F202" s="32"/>
      <c r="G202" s="32"/>
      <c r="H202" s="32"/>
      <c r="I202" s="32"/>
      <c r="J202" s="32"/>
      <c r="K202" s="32"/>
      <c r="L202" s="32"/>
      <c r="M202" s="32"/>
      <c r="N202" s="32"/>
      <c r="O202" s="32"/>
      <c r="P202" s="32"/>
      <c r="Q202" s="32"/>
      <c r="R202" s="32"/>
    </row>
    <row r="203" spans="1:18" s="56" customFormat="1" ht="15" customHeight="1">
      <c r="A203" s="32"/>
      <c r="B203" s="32"/>
      <c r="C203" s="32"/>
      <c r="D203" s="32"/>
      <c r="E203" s="32"/>
      <c r="F203" s="32"/>
      <c r="G203" s="32"/>
      <c r="H203" s="32"/>
      <c r="I203" s="32"/>
      <c r="J203" s="32"/>
      <c r="K203" s="32"/>
      <c r="L203" s="32"/>
      <c r="M203" s="32"/>
      <c r="N203" s="32"/>
      <c r="O203" s="32"/>
      <c r="P203" s="32"/>
      <c r="Q203" s="32"/>
      <c r="R203" s="32"/>
    </row>
    <row r="204" spans="1:18" s="56" customFormat="1" ht="15" customHeight="1">
      <c r="A204" s="32"/>
      <c r="B204" s="32"/>
      <c r="C204" s="32"/>
      <c r="D204" s="32"/>
      <c r="E204" s="32"/>
      <c r="F204" s="32"/>
      <c r="G204" s="32"/>
      <c r="H204" s="32"/>
      <c r="I204" s="32"/>
      <c r="J204" s="32"/>
      <c r="K204" s="32"/>
      <c r="L204" s="32"/>
      <c r="M204" s="32"/>
      <c r="N204" s="32"/>
      <c r="O204" s="32"/>
      <c r="P204" s="32"/>
      <c r="Q204" s="32"/>
      <c r="R204" s="32"/>
    </row>
    <row r="205" spans="1:18" s="56" customFormat="1" ht="15" customHeight="1">
      <c r="A205" s="32"/>
      <c r="B205" s="32"/>
      <c r="C205" s="32"/>
      <c r="D205" s="32"/>
      <c r="E205" s="32"/>
      <c r="F205" s="32"/>
      <c r="G205" s="32"/>
      <c r="H205" s="32"/>
      <c r="I205" s="32"/>
      <c r="J205" s="32"/>
      <c r="K205" s="32"/>
      <c r="L205" s="32"/>
      <c r="M205" s="32"/>
      <c r="N205" s="32"/>
      <c r="O205" s="32"/>
      <c r="P205" s="32"/>
      <c r="Q205" s="32"/>
      <c r="R205" s="32"/>
    </row>
    <row r="206" spans="1:18" s="56" customFormat="1" ht="15" customHeight="1">
      <c r="A206" s="32"/>
      <c r="B206" s="32"/>
      <c r="C206" s="32"/>
      <c r="D206" s="32"/>
      <c r="E206" s="32"/>
      <c r="F206" s="32"/>
      <c r="G206" s="32"/>
      <c r="H206" s="32"/>
      <c r="I206" s="32"/>
      <c r="J206" s="32"/>
      <c r="K206" s="32"/>
      <c r="L206" s="32"/>
      <c r="M206" s="32"/>
      <c r="N206" s="32"/>
      <c r="O206" s="32"/>
      <c r="P206" s="32"/>
      <c r="Q206" s="32"/>
      <c r="R206" s="32"/>
    </row>
    <row r="207" spans="1:18" s="56" customFormat="1" ht="15" customHeight="1">
      <c r="A207" s="32"/>
      <c r="B207" s="32"/>
      <c r="C207" s="32"/>
      <c r="D207" s="32"/>
      <c r="E207" s="32"/>
      <c r="F207" s="32"/>
      <c r="G207" s="32"/>
      <c r="H207" s="32"/>
      <c r="I207" s="32"/>
      <c r="J207" s="32"/>
      <c r="K207" s="32"/>
      <c r="L207" s="32"/>
      <c r="M207" s="32"/>
      <c r="N207" s="32"/>
      <c r="O207" s="32"/>
      <c r="P207" s="32"/>
      <c r="Q207" s="32"/>
      <c r="R207" s="32"/>
    </row>
    <row r="208" spans="1:18" s="56" customFormat="1" ht="15" customHeight="1">
      <c r="A208" s="32"/>
      <c r="B208" s="32"/>
      <c r="C208" s="32"/>
      <c r="D208" s="32"/>
      <c r="E208" s="32"/>
      <c r="F208" s="32"/>
      <c r="G208" s="32"/>
      <c r="H208" s="32"/>
      <c r="I208" s="32"/>
      <c r="J208" s="32"/>
      <c r="K208" s="32"/>
      <c r="L208" s="32"/>
      <c r="M208" s="32"/>
      <c r="N208" s="32"/>
      <c r="O208" s="32"/>
      <c r="P208" s="32"/>
      <c r="Q208" s="32"/>
      <c r="R208" s="32"/>
    </row>
    <row r="209" spans="1:18" s="56" customFormat="1" ht="15" customHeight="1">
      <c r="A209" s="32"/>
      <c r="B209" s="32"/>
      <c r="C209" s="32"/>
      <c r="D209" s="32"/>
      <c r="E209" s="32"/>
      <c r="F209" s="32"/>
      <c r="G209" s="32"/>
      <c r="H209" s="32"/>
      <c r="I209" s="32"/>
      <c r="J209" s="32"/>
      <c r="K209" s="32"/>
      <c r="L209" s="32"/>
      <c r="M209" s="32"/>
      <c r="N209" s="32"/>
      <c r="O209" s="32"/>
      <c r="P209" s="32"/>
      <c r="Q209" s="32"/>
      <c r="R209" s="32"/>
    </row>
    <row r="210" spans="1:18" s="56" customFormat="1" ht="15" customHeight="1">
      <c r="A210" s="32"/>
      <c r="B210" s="32"/>
      <c r="C210" s="32"/>
      <c r="D210" s="32"/>
      <c r="E210" s="32"/>
      <c r="F210" s="32"/>
      <c r="G210" s="32"/>
      <c r="H210" s="32"/>
      <c r="I210" s="32"/>
      <c r="J210" s="32"/>
      <c r="K210" s="32"/>
      <c r="L210" s="32"/>
      <c r="M210" s="32"/>
      <c r="N210" s="32"/>
      <c r="O210" s="32"/>
      <c r="P210" s="32"/>
      <c r="Q210" s="32"/>
      <c r="R210" s="32"/>
    </row>
    <row r="211" spans="1:18" s="56" customFormat="1" ht="15" customHeight="1">
      <c r="A211" s="32"/>
      <c r="B211" s="32"/>
      <c r="C211" s="32"/>
      <c r="D211" s="32"/>
      <c r="E211" s="32"/>
      <c r="F211" s="32"/>
      <c r="G211" s="32"/>
      <c r="H211" s="32"/>
      <c r="I211" s="32"/>
      <c r="J211" s="32"/>
      <c r="K211" s="32"/>
      <c r="L211" s="32"/>
      <c r="M211" s="32"/>
      <c r="N211" s="32"/>
      <c r="O211" s="32"/>
      <c r="P211" s="32"/>
      <c r="Q211" s="32"/>
      <c r="R211" s="32"/>
    </row>
    <row r="212" spans="1:18" s="56" customFormat="1" ht="15" customHeight="1">
      <c r="A212" s="32"/>
      <c r="B212" s="32"/>
      <c r="C212" s="32"/>
      <c r="D212" s="32"/>
      <c r="E212" s="32"/>
      <c r="F212" s="32"/>
      <c r="G212" s="32"/>
      <c r="H212" s="32"/>
      <c r="I212" s="32"/>
      <c r="J212" s="32"/>
      <c r="K212" s="32"/>
      <c r="L212" s="32"/>
      <c r="M212" s="32"/>
      <c r="N212" s="32"/>
      <c r="O212" s="32"/>
      <c r="P212" s="32"/>
      <c r="Q212" s="32"/>
      <c r="R212" s="32"/>
    </row>
    <row r="213" spans="1:18" s="56" customFormat="1" ht="15" customHeight="1">
      <c r="A213" s="32"/>
      <c r="B213" s="32"/>
      <c r="C213" s="32"/>
      <c r="D213" s="32"/>
      <c r="E213" s="32"/>
      <c r="F213" s="32"/>
      <c r="G213" s="32"/>
      <c r="H213" s="32"/>
      <c r="I213" s="32"/>
      <c r="J213" s="32"/>
      <c r="K213" s="32"/>
      <c r="L213" s="32"/>
      <c r="M213" s="32"/>
      <c r="N213" s="32"/>
      <c r="O213" s="32"/>
      <c r="P213" s="32"/>
      <c r="Q213" s="32"/>
      <c r="R213" s="32"/>
    </row>
    <row r="214" spans="1:18" s="56" customFormat="1" ht="15" customHeight="1">
      <c r="A214" s="32"/>
      <c r="B214" s="32"/>
      <c r="C214" s="32"/>
      <c r="D214" s="32"/>
      <c r="E214" s="32"/>
      <c r="F214" s="32"/>
      <c r="G214" s="32"/>
      <c r="H214" s="32"/>
      <c r="I214" s="32"/>
      <c r="J214" s="32"/>
      <c r="K214" s="32"/>
      <c r="L214" s="32"/>
      <c r="M214" s="32"/>
      <c r="N214" s="32"/>
      <c r="O214" s="32"/>
      <c r="P214" s="32"/>
      <c r="Q214" s="32"/>
      <c r="R214" s="32"/>
    </row>
    <row r="215" spans="1:18" s="56" customFormat="1" ht="15" customHeight="1">
      <c r="A215" s="32"/>
      <c r="B215" s="32"/>
      <c r="C215" s="32"/>
      <c r="D215" s="32"/>
      <c r="E215" s="32"/>
      <c r="F215" s="32"/>
      <c r="G215" s="32"/>
      <c r="H215" s="32"/>
      <c r="I215" s="32"/>
      <c r="J215" s="32"/>
      <c r="K215" s="32"/>
      <c r="L215" s="32"/>
      <c r="M215" s="32"/>
      <c r="N215" s="32"/>
      <c r="O215" s="32"/>
      <c r="P215" s="32"/>
      <c r="Q215" s="32"/>
      <c r="R215" s="32"/>
    </row>
    <row r="216" spans="1:18" s="56" customFormat="1" ht="15" customHeight="1">
      <c r="A216" s="32"/>
      <c r="B216" s="32"/>
      <c r="C216" s="32"/>
      <c r="D216" s="32"/>
      <c r="E216" s="32"/>
      <c r="F216" s="32"/>
      <c r="G216" s="32"/>
      <c r="H216" s="32"/>
      <c r="I216" s="32"/>
      <c r="J216" s="32"/>
      <c r="K216" s="32"/>
      <c r="L216" s="32"/>
      <c r="M216" s="32"/>
      <c r="N216" s="32"/>
      <c r="O216" s="32"/>
      <c r="P216" s="32"/>
      <c r="Q216" s="32"/>
      <c r="R216" s="32"/>
    </row>
    <row r="217" spans="1:18" s="56" customFormat="1" ht="15" customHeight="1">
      <c r="A217" s="32"/>
      <c r="B217" s="32"/>
      <c r="C217" s="32"/>
      <c r="D217" s="32"/>
      <c r="E217" s="32"/>
      <c r="F217" s="32"/>
      <c r="G217" s="32"/>
      <c r="H217" s="32"/>
      <c r="I217" s="32"/>
      <c r="J217" s="32"/>
      <c r="K217" s="32"/>
      <c r="L217" s="32"/>
      <c r="M217" s="32"/>
      <c r="N217" s="32"/>
      <c r="O217" s="32"/>
      <c r="P217" s="32"/>
      <c r="Q217" s="32"/>
      <c r="R217" s="32"/>
    </row>
    <row r="218" spans="1:18" s="56" customFormat="1" ht="15" customHeight="1">
      <c r="A218" s="32"/>
      <c r="B218" s="32"/>
      <c r="C218" s="32"/>
      <c r="D218" s="32"/>
      <c r="E218" s="32"/>
      <c r="F218" s="32"/>
      <c r="G218" s="32"/>
      <c r="H218" s="32"/>
      <c r="I218" s="32"/>
      <c r="J218" s="32"/>
      <c r="K218" s="32"/>
      <c r="L218" s="32"/>
      <c r="M218" s="32"/>
      <c r="N218" s="32"/>
      <c r="O218" s="32"/>
      <c r="P218" s="32"/>
      <c r="Q218" s="32"/>
      <c r="R218" s="32"/>
    </row>
    <row r="219" spans="1:18" s="56" customFormat="1" ht="15" customHeight="1">
      <c r="A219" s="32"/>
      <c r="B219" s="32"/>
      <c r="C219" s="32"/>
      <c r="D219" s="32"/>
      <c r="E219" s="32"/>
      <c r="F219" s="32"/>
      <c r="G219" s="32"/>
      <c r="H219" s="32"/>
      <c r="I219" s="32"/>
      <c r="J219" s="32"/>
      <c r="K219" s="32"/>
      <c r="L219" s="32"/>
      <c r="M219" s="32"/>
      <c r="N219" s="32"/>
      <c r="O219" s="32"/>
      <c r="P219" s="32"/>
      <c r="Q219" s="32"/>
      <c r="R219" s="32"/>
    </row>
    <row r="220" spans="1:18" s="56" customFormat="1" ht="15" customHeight="1">
      <c r="A220" s="32"/>
      <c r="B220" s="32"/>
      <c r="C220" s="32"/>
      <c r="D220" s="32"/>
      <c r="E220" s="32"/>
      <c r="F220" s="32"/>
      <c r="G220" s="32"/>
      <c r="H220" s="32"/>
      <c r="I220" s="32"/>
      <c r="J220" s="32"/>
      <c r="K220" s="32"/>
      <c r="L220" s="32"/>
      <c r="M220" s="32"/>
      <c r="N220" s="32"/>
      <c r="O220" s="32"/>
      <c r="P220" s="32"/>
      <c r="Q220" s="32"/>
      <c r="R220" s="32"/>
    </row>
    <row r="221" spans="1:18" s="56" customFormat="1" ht="15" customHeight="1">
      <c r="A221" s="32"/>
      <c r="B221" s="32"/>
      <c r="C221" s="32"/>
      <c r="D221" s="32"/>
      <c r="E221" s="32"/>
      <c r="F221" s="32"/>
      <c r="G221" s="32"/>
      <c r="H221" s="32"/>
      <c r="I221" s="32"/>
      <c r="J221" s="32"/>
      <c r="K221" s="32"/>
      <c r="L221" s="32"/>
      <c r="M221" s="32"/>
      <c r="N221" s="32"/>
      <c r="O221" s="32"/>
      <c r="P221" s="32"/>
      <c r="Q221" s="32"/>
      <c r="R221" s="32"/>
    </row>
    <row r="222" spans="1:18" s="56" customFormat="1" ht="15" customHeight="1">
      <c r="A222" s="32"/>
      <c r="B222" s="32"/>
      <c r="C222" s="32"/>
      <c r="D222" s="32"/>
      <c r="E222" s="32"/>
      <c r="F222" s="32"/>
      <c r="G222" s="32"/>
      <c r="H222" s="32"/>
      <c r="I222" s="32"/>
      <c r="J222" s="32"/>
      <c r="K222" s="32"/>
      <c r="L222" s="32"/>
      <c r="M222" s="32"/>
      <c r="N222" s="32"/>
      <c r="O222" s="32"/>
      <c r="P222" s="32"/>
      <c r="Q222" s="32"/>
      <c r="R222" s="32"/>
    </row>
    <row r="223" spans="1:18" s="56" customFormat="1" ht="15" customHeight="1">
      <c r="A223" s="32"/>
      <c r="B223" s="32"/>
      <c r="C223" s="32"/>
      <c r="D223" s="32"/>
      <c r="E223" s="32"/>
      <c r="F223" s="32"/>
      <c r="G223" s="32"/>
      <c r="H223" s="32"/>
      <c r="I223" s="32"/>
      <c r="J223" s="32"/>
      <c r="K223" s="32"/>
      <c r="L223" s="32"/>
      <c r="M223" s="32"/>
      <c r="N223" s="32"/>
      <c r="O223" s="32"/>
      <c r="P223" s="32"/>
      <c r="Q223" s="32"/>
      <c r="R223" s="32"/>
    </row>
    <row r="224" spans="1:18" s="56" customFormat="1" ht="15" customHeight="1">
      <c r="A224" s="32"/>
      <c r="B224" s="32"/>
      <c r="C224" s="32"/>
      <c r="D224" s="32"/>
      <c r="E224" s="32"/>
      <c r="F224" s="32"/>
      <c r="G224" s="32"/>
      <c r="H224" s="32"/>
      <c r="I224" s="32"/>
      <c r="J224" s="32"/>
      <c r="K224" s="32"/>
      <c r="L224" s="32"/>
      <c r="M224" s="32"/>
      <c r="N224" s="32"/>
      <c r="O224" s="32"/>
      <c r="P224" s="32"/>
      <c r="Q224" s="32"/>
      <c r="R224" s="32"/>
    </row>
    <row r="225" spans="1:18" s="56" customFormat="1" ht="15" customHeight="1">
      <c r="A225" s="32"/>
      <c r="B225" s="32"/>
      <c r="C225" s="32"/>
      <c r="D225" s="32"/>
      <c r="E225" s="32"/>
      <c r="F225" s="32"/>
      <c r="G225" s="32"/>
      <c r="H225" s="32"/>
      <c r="I225" s="32"/>
      <c r="J225" s="32"/>
      <c r="K225" s="32"/>
      <c r="L225" s="32"/>
      <c r="M225" s="32"/>
      <c r="N225" s="32"/>
      <c r="O225" s="32"/>
      <c r="P225" s="32"/>
      <c r="Q225" s="32"/>
      <c r="R225" s="32"/>
    </row>
    <row r="226" spans="1:18" s="56" customFormat="1" ht="15" customHeight="1">
      <c r="A226" s="32"/>
      <c r="B226" s="32"/>
      <c r="C226" s="32"/>
      <c r="D226" s="32"/>
      <c r="E226" s="32"/>
      <c r="F226" s="32"/>
      <c r="G226" s="32"/>
      <c r="H226" s="32"/>
      <c r="I226" s="32"/>
      <c r="J226" s="32"/>
      <c r="K226" s="32"/>
      <c r="L226" s="32"/>
      <c r="M226" s="32"/>
      <c r="N226" s="32"/>
      <c r="O226" s="32"/>
      <c r="P226" s="32"/>
      <c r="Q226" s="32"/>
      <c r="R226" s="32"/>
    </row>
    <row r="227" spans="1:18" s="56" customFormat="1" ht="15" customHeight="1">
      <c r="A227" s="32"/>
      <c r="B227" s="32"/>
      <c r="C227" s="32"/>
      <c r="D227" s="32"/>
      <c r="E227" s="32"/>
      <c r="F227" s="32"/>
      <c r="G227" s="32"/>
      <c r="H227" s="32"/>
      <c r="I227" s="32"/>
      <c r="J227" s="32"/>
      <c r="K227" s="32"/>
      <c r="L227" s="32"/>
      <c r="M227" s="32"/>
      <c r="N227" s="32"/>
      <c r="O227" s="32"/>
      <c r="P227" s="32"/>
      <c r="Q227" s="32"/>
      <c r="R227" s="32"/>
    </row>
    <row r="228" spans="1:18" s="56" customFormat="1" ht="15" customHeight="1">
      <c r="A228" s="32"/>
      <c r="B228" s="32"/>
      <c r="C228" s="32"/>
      <c r="D228" s="32"/>
      <c r="E228" s="32"/>
      <c r="F228" s="32"/>
      <c r="G228" s="32"/>
      <c r="H228" s="32"/>
      <c r="I228" s="32"/>
      <c r="J228" s="32"/>
      <c r="K228" s="32"/>
      <c r="L228" s="32"/>
      <c r="M228" s="32"/>
      <c r="N228" s="32"/>
      <c r="O228" s="32"/>
      <c r="P228" s="32"/>
      <c r="Q228" s="32"/>
      <c r="R228" s="32"/>
    </row>
    <row r="229" spans="1:18" s="56" customFormat="1" ht="15" customHeight="1">
      <c r="A229" s="32"/>
      <c r="B229" s="32"/>
      <c r="C229" s="32"/>
      <c r="D229" s="32"/>
      <c r="E229" s="32"/>
      <c r="F229" s="32"/>
      <c r="G229" s="32"/>
      <c r="H229" s="32"/>
      <c r="I229" s="32"/>
      <c r="J229" s="32"/>
      <c r="K229" s="32"/>
      <c r="L229" s="32"/>
      <c r="M229" s="32"/>
      <c r="N229" s="32"/>
      <c r="O229" s="32"/>
      <c r="P229" s="32"/>
      <c r="Q229" s="32"/>
      <c r="R229" s="32"/>
    </row>
    <row r="230" spans="1:18" s="56" customFormat="1" ht="15" customHeight="1">
      <c r="A230" s="32"/>
      <c r="B230" s="32"/>
      <c r="C230" s="32"/>
      <c r="D230" s="32"/>
      <c r="E230" s="32"/>
      <c r="F230" s="32"/>
      <c r="G230" s="32"/>
      <c r="H230" s="32"/>
      <c r="I230" s="32"/>
      <c r="J230" s="32"/>
      <c r="K230" s="32"/>
      <c r="L230" s="32"/>
      <c r="M230" s="32"/>
      <c r="N230" s="32"/>
      <c r="O230" s="32"/>
      <c r="P230" s="32"/>
      <c r="Q230" s="32"/>
      <c r="R230" s="32"/>
    </row>
    <row r="231" spans="1:18" s="56" customFormat="1" ht="15" customHeight="1">
      <c r="A231" s="32"/>
      <c r="B231" s="32"/>
      <c r="C231" s="32"/>
      <c r="D231" s="32"/>
      <c r="E231" s="32"/>
      <c r="F231" s="32"/>
      <c r="G231" s="32"/>
      <c r="H231" s="32"/>
      <c r="I231" s="32"/>
      <c r="J231" s="32"/>
      <c r="K231" s="32"/>
      <c r="L231" s="32"/>
      <c r="M231" s="32"/>
      <c r="N231" s="32"/>
      <c r="O231" s="32"/>
      <c r="P231" s="32"/>
      <c r="Q231" s="32"/>
      <c r="R231" s="32"/>
    </row>
    <row r="232" spans="1:18" s="56" customFormat="1" ht="15" customHeight="1">
      <c r="A232" s="32"/>
      <c r="B232" s="32"/>
      <c r="C232" s="32"/>
      <c r="D232" s="32"/>
      <c r="E232" s="32"/>
      <c r="F232" s="32"/>
      <c r="G232" s="32"/>
      <c r="H232" s="32"/>
      <c r="I232" s="32"/>
      <c r="J232" s="32"/>
      <c r="K232" s="32"/>
      <c r="L232" s="32"/>
      <c r="M232" s="32"/>
      <c r="N232" s="32"/>
      <c r="O232" s="32"/>
      <c r="P232" s="32"/>
      <c r="Q232" s="32"/>
      <c r="R232" s="32"/>
    </row>
    <row r="233" spans="1:18" s="56" customFormat="1" ht="15" customHeight="1">
      <c r="A233" s="32"/>
      <c r="B233" s="32"/>
      <c r="C233" s="32"/>
      <c r="D233" s="32"/>
      <c r="E233" s="32"/>
      <c r="F233" s="32"/>
      <c r="G233" s="32"/>
      <c r="H233" s="32"/>
      <c r="I233" s="32"/>
      <c r="J233" s="32"/>
      <c r="K233" s="32"/>
      <c r="L233" s="32"/>
      <c r="M233" s="32"/>
      <c r="N233" s="32"/>
      <c r="O233" s="32"/>
      <c r="P233" s="32"/>
      <c r="Q233" s="32"/>
      <c r="R233" s="32"/>
    </row>
    <row r="234" spans="1:18" s="56" customFormat="1" ht="15" customHeight="1">
      <c r="A234" s="32"/>
      <c r="B234" s="32"/>
      <c r="C234" s="32"/>
      <c r="D234" s="32"/>
      <c r="E234" s="32"/>
      <c r="F234" s="32"/>
      <c r="G234" s="32"/>
      <c r="H234" s="32"/>
      <c r="I234" s="32"/>
      <c r="J234" s="32"/>
      <c r="K234" s="32"/>
      <c r="L234" s="32"/>
      <c r="M234" s="32"/>
      <c r="N234" s="32"/>
      <c r="O234" s="32"/>
      <c r="P234" s="32"/>
      <c r="Q234" s="32"/>
      <c r="R234" s="32"/>
    </row>
    <row r="235" spans="1:18" s="56" customFormat="1" ht="15" customHeight="1">
      <c r="A235" s="32"/>
      <c r="B235" s="32"/>
      <c r="C235" s="32"/>
      <c r="D235" s="32"/>
      <c r="E235" s="32"/>
      <c r="F235" s="32"/>
      <c r="G235" s="32"/>
      <c r="H235" s="32"/>
      <c r="I235" s="32"/>
      <c r="J235" s="32"/>
      <c r="K235" s="32"/>
      <c r="L235" s="32"/>
      <c r="M235" s="32"/>
      <c r="N235" s="32"/>
      <c r="O235" s="32"/>
      <c r="P235" s="32"/>
      <c r="Q235" s="32"/>
      <c r="R235" s="32"/>
    </row>
    <row r="236" spans="1:18" s="56" customFormat="1" ht="15" customHeight="1">
      <c r="A236" s="32"/>
      <c r="B236" s="32"/>
      <c r="C236" s="32"/>
      <c r="D236" s="32"/>
      <c r="E236" s="32"/>
      <c r="F236" s="32"/>
      <c r="G236" s="32"/>
      <c r="H236" s="32"/>
      <c r="I236" s="32"/>
      <c r="J236" s="32"/>
      <c r="K236" s="32"/>
      <c r="L236" s="32"/>
      <c r="M236" s="32"/>
      <c r="N236" s="32"/>
      <c r="O236" s="32"/>
      <c r="P236" s="32"/>
      <c r="Q236" s="32"/>
      <c r="R236" s="32"/>
    </row>
    <row r="237" spans="1:18" s="56" customFormat="1" ht="15" customHeight="1">
      <c r="A237" s="32"/>
      <c r="B237" s="32"/>
      <c r="C237" s="32"/>
      <c r="D237" s="32"/>
      <c r="E237" s="32"/>
      <c r="F237" s="32"/>
      <c r="G237" s="32"/>
      <c r="H237" s="32"/>
      <c r="I237" s="32"/>
      <c r="J237" s="32"/>
      <c r="K237" s="32"/>
      <c r="L237" s="32"/>
      <c r="M237" s="32"/>
      <c r="N237" s="32"/>
      <c r="O237" s="32"/>
      <c r="P237" s="32"/>
      <c r="Q237" s="32"/>
      <c r="R237" s="32"/>
    </row>
    <row r="238" spans="1:18" s="56" customFormat="1" ht="15" customHeight="1">
      <c r="A238" s="32"/>
      <c r="B238" s="32"/>
      <c r="C238" s="32"/>
      <c r="D238" s="32"/>
      <c r="E238" s="32"/>
      <c r="F238" s="32"/>
      <c r="G238" s="32"/>
      <c r="H238" s="32"/>
      <c r="I238" s="32"/>
      <c r="J238" s="32"/>
      <c r="K238" s="32"/>
      <c r="L238" s="32"/>
      <c r="M238" s="32"/>
      <c r="N238" s="32"/>
      <c r="O238" s="32"/>
      <c r="P238" s="32"/>
      <c r="Q238" s="32"/>
      <c r="R238" s="32"/>
    </row>
    <row r="239" spans="1:18" s="56" customFormat="1" ht="15" customHeight="1">
      <c r="A239" s="32"/>
      <c r="B239" s="32"/>
      <c r="C239" s="32"/>
      <c r="D239" s="32"/>
      <c r="E239" s="32"/>
      <c r="F239" s="32"/>
      <c r="G239" s="32"/>
      <c r="H239" s="32"/>
      <c r="I239" s="32"/>
      <c r="J239" s="32"/>
      <c r="K239" s="32"/>
      <c r="L239" s="32"/>
      <c r="M239" s="32"/>
      <c r="N239" s="32"/>
      <c r="O239" s="32"/>
      <c r="P239" s="32"/>
      <c r="Q239" s="32"/>
      <c r="R239" s="32"/>
    </row>
    <row r="240" spans="1:18" s="56" customFormat="1" ht="15" customHeight="1">
      <c r="A240" s="32"/>
      <c r="B240" s="32"/>
      <c r="C240" s="32"/>
      <c r="D240" s="32"/>
      <c r="E240" s="32"/>
      <c r="F240" s="32"/>
      <c r="G240" s="32"/>
      <c r="H240" s="32"/>
      <c r="I240" s="32"/>
      <c r="J240" s="32"/>
      <c r="K240" s="32"/>
      <c r="L240" s="32"/>
      <c r="M240" s="32"/>
      <c r="N240" s="32"/>
      <c r="O240" s="32"/>
      <c r="P240" s="32"/>
      <c r="Q240" s="32"/>
      <c r="R240" s="32"/>
    </row>
    <row r="241" spans="1:18" s="56" customFormat="1" ht="15" customHeight="1">
      <c r="A241" s="32"/>
      <c r="B241" s="32"/>
      <c r="C241" s="32"/>
      <c r="D241" s="32"/>
      <c r="E241" s="32"/>
      <c r="F241" s="32"/>
      <c r="G241" s="32"/>
      <c r="H241" s="32"/>
      <c r="I241" s="32"/>
      <c r="J241" s="32"/>
      <c r="K241" s="32"/>
      <c r="L241" s="32"/>
      <c r="M241" s="32"/>
      <c r="N241" s="32"/>
      <c r="O241" s="32"/>
      <c r="P241" s="32"/>
      <c r="Q241" s="32"/>
      <c r="R241" s="32"/>
    </row>
    <row r="242" spans="1:18" s="56" customFormat="1" ht="15" customHeight="1">
      <c r="A242" s="32"/>
      <c r="B242" s="32"/>
      <c r="C242" s="32"/>
      <c r="D242" s="32"/>
      <c r="E242" s="32"/>
      <c r="F242" s="32"/>
      <c r="G242" s="32"/>
      <c r="H242" s="32"/>
      <c r="I242" s="32"/>
      <c r="J242" s="32"/>
      <c r="K242" s="32"/>
      <c r="L242" s="32"/>
      <c r="M242" s="32"/>
      <c r="N242" s="32"/>
      <c r="O242" s="32"/>
      <c r="P242" s="32"/>
      <c r="Q242" s="32"/>
      <c r="R242" s="32"/>
    </row>
    <row r="243" spans="1:18" s="56" customFormat="1" ht="15" customHeight="1">
      <c r="A243" s="32"/>
      <c r="B243" s="32"/>
      <c r="C243" s="32"/>
      <c r="D243" s="32"/>
      <c r="E243" s="32"/>
      <c r="F243" s="32"/>
      <c r="G243" s="32"/>
      <c r="H243" s="32"/>
      <c r="I243" s="32"/>
      <c r="J243" s="32"/>
      <c r="K243" s="32"/>
      <c r="L243" s="32"/>
      <c r="M243" s="32"/>
      <c r="N243" s="32"/>
      <c r="O243" s="32"/>
      <c r="P243" s="32"/>
      <c r="Q243" s="32"/>
      <c r="R243" s="32"/>
    </row>
    <row r="244" spans="1:18" s="56" customFormat="1" ht="15" customHeight="1">
      <c r="A244" s="32"/>
      <c r="B244" s="32"/>
      <c r="C244" s="32"/>
      <c r="D244" s="32"/>
      <c r="E244" s="32"/>
      <c r="F244" s="32"/>
      <c r="G244" s="32"/>
      <c r="H244" s="32"/>
      <c r="I244" s="32"/>
      <c r="J244" s="32"/>
      <c r="K244" s="32"/>
      <c r="L244" s="32"/>
      <c r="M244" s="32"/>
      <c r="N244" s="32"/>
      <c r="O244" s="32"/>
      <c r="P244" s="32"/>
      <c r="Q244" s="32"/>
      <c r="R244" s="32"/>
    </row>
    <row r="245" spans="1:18" s="56" customFormat="1" ht="15" customHeight="1">
      <c r="A245" s="32"/>
      <c r="B245" s="32"/>
      <c r="C245" s="32"/>
      <c r="D245" s="32"/>
      <c r="E245" s="32"/>
      <c r="F245" s="32"/>
      <c r="G245" s="32"/>
      <c r="H245" s="32"/>
      <c r="I245" s="32"/>
      <c r="J245" s="32"/>
      <c r="K245" s="32"/>
      <c r="L245" s="32"/>
      <c r="M245" s="32"/>
      <c r="N245" s="32"/>
      <c r="O245" s="32"/>
      <c r="P245" s="32"/>
      <c r="Q245" s="32"/>
      <c r="R245" s="32"/>
    </row>
    <row r="246" spans="1:18" s="56" customFormat="1" ht="15" customHeight="1">
      <c r="A246" s="32"/>
      <c r="B246" s="32"/>
      <c r="C246" s="32"/>
      <c r="D246" s="32"/>
      <c r="E246" s="32"/>
      <c r="F246" s="32"/>
      <c r="G246" s="32"/>
      <c r="H246" s="32"/>
      <c r="I246" s="32"/>
      <c r="J246" s="32"/>
      <c r="K246" s="32"/>
      <c r="L246" s="32"/>
      <c r="M246" s="32"/>
      <c r="N246" s="32"/>
      <c r="O246" s="32"/>
      <c r="P246" s="32"/>
      <c r="Q246" s="32"/>
      <c r="R246" s="32"/>
    </row>
    <row r="247" spans="1:18" s="56" customFormat="1" ht="15" customHeight="1">
      <c r="A247" s="32"/>
      <c r="B247" s="32"/>
      <c r="C247" s="32"/>
      <c r="D247" s="32"/>
      <c r="E247" s="32"/>
      <c r="F247" s="32"/>
      <c r="G247" s="32"/>
      <c r="H247" s="32"/>
      <c r="I247" s="32"/>
      <c r="J247" s="32"/>
      <c r="K247" s="32"/>
      <c r="L247" s="32"/>
      <c r="M247" s="32"/>
      <c r="N247" s="32"/>
      <c r="O247" s="32"/>
      <c r="P247" s="32"/>
      <c r="Q247" s="32"/>
      <c r="R247" s="32"/>
    </row>
    <row r="248" spans="1:18" s="56" customFormat="1" ht="15" customHeight="1">
      <c r="A248" s="32"/>
      <c r="B248" s="32"/>
      <c r="C248" s="32"/>
      <c r="D248" s="32"/>
      <c r="E248" s="32"/>
      <c r="F248" s="32"/>
      <c r="G248" s="32"/>
      <c r="H248" s="32"/>
      <c r="I248" s="32"/>
      <c r="J248" s="32"/>
      <c r="K248" s="32"/>
      <c r="L248" s="32"/>
      <c r="M248" s="32"/>
      <c r="N248" s="32"/>
      <c r="O248" s="32"/>
      <c r="P248" s="32"/>
      <c r="Q248" s="32"/>
      <c r="R248" s="32"/>
    </row>
    <row r="249" spans="1:18" s="56" customFormat="1" ht="15" customHeight="1">
      <c r="A249" s="32"/>
      <c r="B249" s="32"/>
      <c r="C249" s="32"/>
      <c r="D249" s="32"/>
      <c r="E249" s="32"/>
      <c r="F249" s="32"/>
      <c r="G249" s="32"/>
      <c r="H249" s="32"/>
      <c r="I249" s="32"/>
      <c r="J249" s="32"/>
      <c r="K249" s="32"/>
      <c r="L249" s="32"/>
      <c r="M249" s="32"/>
      <c r="N249" s="32"/>
      <c r="O249" s="32"/>
      <c r="P249" s="32"/>
      <c r="Q249" s="32"/>
      <c r="R249" s="32"/>
    </row>
    <row r="250" spans="1:18" s="56" customFormat="1" ht="15" customHeight="1">
      <c r="A250" s="32"/>
      <c r="B250" s="32"/>
      <c r="C250" s="32"/>
      <c r="D250" s="32"/>
      <c r="E250" s="32"/>
      <c r="F250" s="32"/>
      <c r="G250" s="32"/>
      <c r="H250" s="32"/>
      <c r="I250" s="32"/>
      <c r="J250" s="32"/>
      <c r="K250" s="32"/>
      <c r="L250" s="32"/>
      <c r="M250" s="32"/>
      <c r="N250" s="32"/>
      <c r="O250" s="32"/>
      <c r="P250" s="32"/>
      <c r="Q250" s="32"/>
      <c r="R250" s="32"/>
    </row>
    <row r="251" spans="1:18" s="56" customFormat="1" ht="15" customHeight="1">
      <c r="A251" s="32"/>
      <c r="B251" s="32"/>
      <c r="C251" s="32"/>
      <c r="D251" s="32"/>
      <c r="E251" s="32"/>
      <c r="F251" s="32"/>
      <c r="G251" s="32"/>
      <c r="H251" s="32"/>
      <c r="I251" s="32"/>
      <c r="J251" s="32"/>
      <c r="K251" s="32"/>
      <c r="L251" s="32"/>
      <c r="M251" s="32"/>
      <c r="N251" s="32"/>
      <c r="O251" s="32"/>
      <c r="P251" s="32"/>
      <c r="Q251" s="32"/>
      <c r="R251" s="32"/>
    </row>
    <row r="252" spans="1:18" s="56" customFormat="1" ht="15" customHeight="1">
      <c r="A252" s="32"/>
      <c r="B252" s="32"/>
      <c r="C252" s="32"/>
      <c r="D252" s="32"/>
      <c r="E252" s="32"/>
      <c r="F252" s="32"/>
      <c r="G252" s="32"/>
      <c r="H252" s="32"/>
      <c r="I252" s="32"/>
      <c r="J252" s="32"/>
      <c r="K252" s="32"/>
      <c r="L252" s="32"/>
      <c r="M252" s="32"/>
      <c r="N252" s="32"/>
      <c r="O252" s="32"/>
      <c r="P252" s="32"/>
      <c r="Q252" s="32"/>
      <c r="R252" s="32"/>
    </row>
    <row r="253" spans="1:18" s="56" customFormat="1" ht="15" customHeight="1">
      <c r="A253" s="32"/>
      <c r="B253" s="32"/>
      <c r="C253" s="32"/>
      <c r="D253" s="32"/>
      <c r="E253" s="32"/>
      <c r="F253" s="32"/>
      <c r="G253" s="32"/>
      <c r="H253" s="32"/>
      <c r="I253" s="32"/>
      <c r="J253" s="32"/>
      <c r="K253" s="32"/>
      <c r="L253" s="32"/>
      <c r="M253" s="32"/>
      <c r="N253" s="32"/>
      <c r="O253" s="32"/>
      <c r="P253" s="32"/>
      <c r="Q253" s="32"/>
      <c r="R253" s="32"/>
    </row>
    <row r="254" spans="1:18" s="56" customFormat="1" ht="15" customHeight="1">
      <c r="A254" s="32"/>
      <c r="B254" s="32"/>
      <c r="C254" s="32"/>
      <c r="D254" s="32"/>
      <c r="E254" s="32"/>
      <c r="F254" s="32"/>
      <c r="G254" s="32"/>
      <c r="H254" s="32"/>
      <c r="I254" s="32"/>
      <c r="J254" s="32"/>
      <c r="K254" s="32"/>
      <c r="L254" s="32"/>
      <c r="M254" s="32"/>
      <c r="N254" s="32"/>
      <c r="O254" s="32"/>
      <c r="P254" s="32"/>
      <c r="Q254" s="32"/>
      <c r="R254" s="32"/>
    </row>
    <row r="255" spans="1:18" s="56" customFormat="1" ht="15" customHeight="1">
      <c r="A255" s="32"/>
      <c r="B255" s="32"/>
      <c r="C255" s="32"/>
      <c r="D255" s="32"/>
      <c r="E255" s="32"/>
      <c r="F255" s="32"/>
      <c r="G255" s="32"/>
      <c r="H255" s="32"/>
      <c r="I255" s="32"/>
      <c r="J255" s="32"/>
      <c r="K255" s="32"/>
      <c r="L255" s="32"/>
      <c r="M255" s="32"/>
      <c r="N255" s="32"/>
      <c r="O255" s="32"/>
      <c r="P255" s="32"/>
      <c r="Q255" s="32"/>
      <c r="R255" s="32"/>
    </row>
    <row r="256" spans="1:18" s="56" customFormat="1" ht="15" customHeight="1">
      <c r="A256" s="32"/>
      <c r="B256" s="32"/>
      <c r="C256" s="32"/>
      <c r="D256" s="32"/>
      <c r="E256" s="32"/>
      <c r="F256" s="32"/>
      <c r="G256" s="32"/>
      <c r="H256" s="32"/>
      <c r="I256" s="32"/>
      <c r="J256" s="32"/>
      <c r="K256" s="32"/>
      <c r="L256" s="32"/>
      <c r="M256" s="32"/>
      <c r="N256" s="32"/>
      <c r="O256" s="32"/>
      <c r="P256" s="32"/>
      <c r="Q256" s="32"/>
      <c r="R256" s="32"/>
    </row>
    <row r="257" spans="1:18" s="56" customFormat="1" ht="15" customHeight="1">
      <c r="A257" s="32"/>
      <c r="B257" s="32"/>
      <c r="C257" s="32"/>
      <c r="D257" s="32"/>
      <c r="E257" s="32"/>
      <c r="F257" s="32"/>
      <c r="G257" s="32"/>
      <c r="H257" s="32"/>
      <c r="I257" s="32"/>
      <c r="J257" s="32"/>
      <c r="K257" s="32"/>
      <c r="L257" s="32"/>
      <c r="M257" s="32"/>
      <c r="N257" s="32"/>
      <c r="O257" s="32"/>
      <c r="P257" s="32"/>
      <c r="Q257" s="32"/>
      <c r="R257" s="32"/>
    </row>
    <row r="258" spans="1:18" s="56" customFormat="1" ht="15" customHeight="1">
      <c r="A258" s="32"/>
      <c r="B258" s="32"/>
      <c r="C258" s="32"/>
      <c r="D258" s="32"/>
      <c r="E258" s="32"/>
      <c r="F258" s="32"/>
      <c r="G258" s="32"/>
      <c r="H258" s="32"/>
      <c r="I258" s="32"/>
      <c r="J258" s="32"/>
      <c r="K258" s="32"/>
      <c r="L258" s="32"/>
      <c r="M258" s="32"/>
      <c r="N258" s="32"/>
      <c r="O258" s="32"/>
      <c r="P258" s="32"/>
      <c r="Q258" s="32"/>
      <c r="R258" s="32"/>
    </row>
    <row r="259" spans="1:18" s="56" customFormat="1" ht="15" customHeight="1">
      <c r="A259" s="32"/>
      <c r="B259" s="32"/>
      <c r="C259" s="32"/>
      <c r="D259" s="32"/>
      <c r="E259" s="32"/>
      <c r="F259" s="32"/>
      <c r="G259" s="32"/>
      <c r="H259" s="32"/>
      <c r="I259" s="32"/>
      <c r="J259" s="32"/>
      <c r="K259" s="32"/>
      <c r="L259" s="32"/>
      <c r="M259" s="32"/>
      <c r="N259" s="32"/>
      <c r="O259" s="32"/>
      <c r="P259" s="32"/>
      <c r="Q259" s="32"/>
      <c r="R259" s="32"/>
    </row>
    <row r="260" spans="1:18" s="56" customFormat="1" ht="15" customHeight="1">
      <c r="A260" s="32"/>
      <c r="B260" s="32"/>
      <c r="C260" s="32"/>
      <c r="D260" s="32"/>
      <c r="E260" s="32"/>
      <c r="F260" s="32"/>
      <c r="G260" s="32"/>
      <c r="H260" s="32"/>
      <c r="I260" s="32"/>
      <c r="J260" s="32"/>
      <c r="K260" s="32"/>
      <c r="L260" s="32"/>
      <c r="M260" s="32"/>
      <c r="N260" s="32"/>
      <c r="O260" s="32"/>
      <c r="P260" s="32"/>
      <c r="Q260" s="32"/>
      <c r="R260" s="32"/>
    </row>
    <row r="261" spans="1:18" s="56" customFormat="1" ht="15" customHeight="1">
      <c r="A261" s="32"/>
      <c r="B261" s="32"/>
      <c r="C261" s="32"/>
      <c r="D261" s="32"/>
      <c r="E261" s="32"/>
      <c r="F261" s="32"/>
      <c r="G261" s="32"/>
      <c r="H261" s="32"/>
      <c r="I261" s="32"/>
      <c r="J261" s="32"/>
      <c r="K261" s="32"/>
      <c r="L261" s="32"/>
      <c r="M261" s="32"/>
      <c r="N261" s="32"/>
      <c r="O261" s="32"/>
      <c r="P261" s="32"/>
      <c r="Q261" s="32"/>
      <c r="R261" s="32"/>
    </row>
    <row r="262" spans="1:18" s="56" customFormat="1" ht="15" customHeight="1">
      <c r="A262" s="32"/>
      <c r="B262" s="32"/>
      <c r="C262" s="32"/>
      <c r="D262" s="32"/>
      <c r="E262" s="32"/>
      <c r="F262" s="32"/>
      <c r="G262" s="32"/>
      <c r="H262" s="32"/>
      <c r="I262" s="32"/>
      <c r="J262" s="32"/>
      <c r="K262" s="32"/>
      <c r="L262" s="32"/>
      <c r="M262" s="32"/>
      <c r="N262" s="32"/>
      <c r="O262" s="32"/>
      <c r="P262" s="32"/>
      <c r="Q262" s="32"/>
      <c r="R262" s="32"/>
    </row>
    <row r="263" spans="1:18" s="56" customFormat="1" ht="15" customHeight="1">
      <c r="A263" s="32"/>
      <c r="B263" s="32"/>
      <c r="C263" s="32"/>
      <c r="D263" s="32"/>
      <c r="E263" s="32"/>
      <c r="F263" s="32"/>
      <c r="G263" s="32"/>
      <c r="H263" s="32"/>
      <c r="I263" s="32"/>
      <c r="J263" s="32"/>
      <c r="K263" s="32"/>
      <c r="L263" s="32"/>
      <c r="M263" s="32"/>
      <c r="N263" s="32"/>
      <c r="O263" s="32"/>
      <c r="P263" s="32"/>
      <c r="Q263" s="32"/>
      <c r="R263" s="32"/>
    </row>
    <row r="264" spans="1:18" s="56" customFormat="1" ht="15" customHeight="1">
      <c r="A264" s="32"/>
      <c r="B264" s="32"/>
      <c r="C264" s="32"/>
      <c r="D264" s="32"/>
      <c r="E264" s="32"/>
      <c r="F264" s="32"/>
      <c r="G264" s="32"/>
      <c r="H264" s="32"/>
      <c r="I264" s="32"/>
      <c r="J264" s="32"/>
      <c r="K264" s="32"/>
      <c r="L264" s="32"/>
      <c r="M264" s="32"/>
      <c r="N264" s="32"/>
      <c r="O264" s="32"/>
      <c r="P264" s="32"/>
      <c r="Q264" s="32"/>
      <c r="R264" s="32"/>
    </row>
    <row r="265" spans="1:18" s="56" customFormat="1" ht="15" customHeight="1">
      <c r="A265" s="32"/>
      <c r="B265" s="32"/>
      <c r="C265" s="32"/>
      <c r="D265" s="32"/>
      <c r="E265" s="32"/>
      <c r="F265" s="32"/>
      <c r="G265" s="32"/>
      <c r="H265" s="32"/>
      <c r="I265" s="32"/>
      <c r="J265" s="32"/>
      <c r="K265" s="32"/>
      <c r="L265" s="32"/>
      <c r="M265" s="32"/>
      <c r="N265" s="32"/>
      <c r="O265" s="32"/>
      <c r="P265" s="32"/>
      <c r="Q265" s="32"/>
      <c r="R265" s="32"/>
    </row>
    <row r="266" spans="1:18" s="56" customFormat="1" ht="15" customHeight="1">
      <c r="A266" s="32"/>
      <c r="B266" s="32"/>
      <c r="C266" s="32"/>
      <c r="D266" s="32"/>
      <c r="E266" s="32"/>
      <c r="F266" s="32"/>
      <c r="G266" s="32"/>
      <c r="H266" s="32"/>
      <c r="I266" s="32"/>
      <c r="J266" s="32"/>
      <c r="K266" s="32"/>
      <c r="L266" s="32"/>
      <c r="M266" s="32"/>
      <c r="N266" s="32"/>
      <c r="O266" s="32"/>
      <c r="P266" s="32"/>
      <c r="Q266" s="32"/>
      <c r="R266" s="32"/>
    </row>
    <row r="267" spans="1:18" s="56" customFormat="1" ht="15" customHeight="1">
      <c r="A267" s="32"/>
      <c r="B267" s="32"/>
      <c r="C267" s="32"/>
      <c r="D267" s="32"/>
      <c r="E267" s="32"/>
      <c r="F267" s="32"/>
      <c r="G267" s="32"/>
      <c r="H267" s="32"/>
      <c r="I267" s="32"/>
      <c r="J267" s="32"/>
      <c r="K267" s="32"/>
      <c r="L267" s="32"/>
      <c r="M267" s="32"/>
      <c r="N267" s="32"/>
      <c r="O267" s="32"/>
      <c r="P267" s="32"/>
      <c r="Q267" s="32"/>
      <c r="R267" s="32"/>
    </row>
    <row r="268" spans="1:18" s="56" customFormat="1" ht="15" customHeight="1">
      <c r="A268" s="32"/>
      <c r="B268" s="32"/>
      <c r="C268" s="32"/>
      <c r="D268" s="32"/>
      <c r="E268" s="32"/>
      <c r="F268" s="32"/>
      <c r="G268" s="32"/>
      <c r="H268" s="32"/>
      <c r="I268" s="32"/>
      <c r="J268" s="32"/>
      <c r="K268" s="32"/>
      <c r="L268" s="32"/>
      <c r="M268" s="32"/>
      <c r="N268" s="32"/>
      <c r="O268" s="32"/>
      <c r="P268" s="32"/>
      <c r="Q268" s="32"/>
      <c r="R268" s="32"/>
    </row>
    <row r="269" spans="1:18" s="56" customFormat="1" ht="15" customHeight="1">
      <c r="A269" s="32"/>
      <c r="B269" s="32"/>
      <c r="C269" s="32"/>
      <c r="D269" s="32"/>
      <c r="E269" s="32"/>
      <c r="F269" s="32"/>
      <c r="G269" s="32"/>
      <c r="H269" s="32"/>
      <c r="I269" s="32"/>
      <c r="J269" s="32"/>
      <c r="K269" s="32"/>
      <c r="L269" s="32"/>
      <c r="M269" s="32"/>
      <c r="N269" s="32"/>
      <c r="O269" s="32"/>
      <c r="P269" s="32"/>
      <c r="Q269" s="32"/>
      <c r="R269" s="32"/>
    </row>
    <row r="270" spans="1:18" s="56" customFormat="1" ht="15" customHeight="1">
      <c r="A270" s="32"/>
      <c r="B270" s="32"/>
      <c r="C270" s="32"/>
      <c r="D270" s="32"/>
      <c r="E270" s="32"/>
      <c r="F270" s="32"/>
      <c r="G270" s="32"/>
      <c r="H270" s="32"/>
      <c r="I270" s="32"/>
      <c r="J270" s="32"/>
      <c r="K270" s="32"/>
      <c r="L270" s="32"/>
      <c r="M270" s="32"/>
      <c r="N270" s="32"/>
      <c r="O270" s="32"/>
      <c r="P270" s="32"/>
      <c r="Q270" s="32"/>
      <c r="R270" s="32"/>
    </row>
    <row r="271" spans="1:18" s="56" customFormat="1" ht="15" customHeight="1">
      <c r="A271" s="32"/>
      <c r="B271" s="32"/>
      <c r="C271" s="32"/>
      <c r="D271" s="32"/>
      <c r="E271" s="32"/>
      <c r="F271" s="32"/>
      <c r="G271" s="32"/>
      <c r="H271" s="32"/>
      <c r="I271" s="32"/>
      <c r="J271" s="32"/>
      <c r="K271" s="32"/>
      <c r="L271" s="32"/>
      <c r="M271" s="32"/>
      <c r="N271" s="32"/>
      <c r="O271" s="32"/>
      <c r="P271" s="32"/>
      <c r="Q271" s="32"/>
      <c r="R271" s="32"/>
    </row>
    <row r="272" spans="1:18" s="56" customFormat="1" ht="15" customHeight="1">
      <c r="A272" s="32"/>
      <c r="B272" s="32"/>
      <c r="C272" s="32"/>
      <c r="D272" s="32"/>
      <c r="E272" s="32"/>
      <c r="F272" s="32"/>
      <c r="G272" s="32"/>
      <c r="H272" s="32"/>
      <c r="I272" s="32"/>
      <c r="J272" s="32"/>
      <c r="K272" s="32"/>
      <c r="L272" s="32"/>
      <c r="M272" s="32"/>
      <c r="N272" s="32"/>
      <c r="O272" s="32"/>
      <c r="P272" s="32"/>
      <c r="Q272" s="32"/>
      <c r="R272" s="32"/>
    </row>
    <row r="273" spans="1:18" s="56" customFormat="1" ht="15" customHeight="1">
      <c r="A273" s="32"/>
      <c r="B273" s="32"/>
      <c r="C273" s="32"/>
      <c r="D273" s="32"/>
      <c r="E273" s="32"/>
      <c r="F273" s="32"/>
      <c r="G273" s="32"/>
      <c r="H273" s="32"/>
      <c r="I273" s="32"/>
      <c r="J273" s="32"/>
      <c r="K273" s="32"/>
      <c r="L273" s="32"/>
      <c r="M273" s="32"/>
      <c r="N273" s="32"/>
      <c r="O273" s="32"/>
      <c r="P273" s="32"/>
      <c r="Q273" s="32"/>
      <c r="R273" s="32"/>
    </row>
    <row r="274" spans="1:18" s="56" customFormat="1" ht="15" customHeight="1">
      <c r="A274" s="32"/>
      <c r="B274" s="32"/>
      <c r="C274" s="32"/>
      <c r="D274" s="32"/>
      <c r="E274" s="32"/>
      <c r="F274" s="32"/>
      <c r="G274" s="32"/>
      <c r="H274" s="32"/>
      <c r="I274" s="32"/>
      <c r="J274" s="32"/>
      <c r="K274" s="32"/>
      <c r="L274" s="32"/>
      <c r="M274" s="32"/>
      <c r="N274" s="32"/>
      <c r="O274" s="32"/>
      <c r="P274" s="32"/>
      <c r="Q274" s="32"/>
      <c r="R274" s="32"/>
    </row>
    <row r="275" spans="1:18" s="56" customFormat="1" ht="15" customHeight="1">
      <c r="A275" s="32"/>
      <c r="B275" s="32"/>
      <c r="C275" s="32"/>
      <c r="D275" s="32"/>
      <c r="E275" s="32"/>
      <c r="F275" s="32"/>
      <c r="G275" s="32"/>
      <c r="H275" s="32"/>
      <c r="I275" s="32"/>
      <c r="J275" s="32"/>
      <c r="K275" s="32"/>
      <c r="L275" s="32"/>
      <c r="M275" s="32"/>
      <c r="N275" s="32"/>
      <c r="O275" s="32"/>
      <c r="P275" s="32"/>
      <c r="Q275" s="32"/>
      <c r="R275" s="32"/>
    </row>
    <row r="276" spans="1:18" s="56" customFormat="1" ht="15" customHeight="1">
      <c r="A276" s="32"/>
      <c r="B276" s="32"/>
      <c r="C276" s="32"/>
      <c r="D276" s="32"/>
      <c r="E276" s="32"/>
      <c r="F276" s="32"/>
      <c r="G276" s="32"/>
      <c r="H276" s="32"/>
      <c r="I276" s="32"/>
      <c r="J276" s="32"/>
      <c r="K276" s="32"/>
      <c r="L276" s="32"/>
      <c r="M276" s="32"/>
      <c r="N276" s="32"/>
      <c r="O276" s="32"/>
      <c r="P276" s="32"/>
      <c r="Q276" s="32"/>
      <c r="R276" s="32"/>
    </row>
    <row r="277" spans="1:18" s="56" customFormat="1" ht="15" customHeight="1">
      <c r="A277" s="32"/>
      <c r="B277" s="32"/>
      <c r="C277" s="32"/>
      <c r="D277" s="32"/>
      <c r="E277" s="32"/>
      <c r="F277" s="32"/>
      <c r="G277" s="32"/>
      <c r="H277" s="32"/>
      <c r="I277" s="32"/>
      <c r="J277" s="32"/>
      <c r="K277" s="32"/>
      <c r="L277" s="32"/>
      <c r="M277" s="32"/>
      <c r="N277" s="32"/>
      <c r="O277" s="32"/>
      <c r="P277" s="32"/>
      <c r="Q277" s="32"/>
      <c r="R277" s="32"/>
    </row>
    <row r="278" spans="1:18" s="56" customFormat="1" ht="15" customHeight="1">
      <c r="A278" s="32"/>
      <c r="B278" s="32"/>
      <c r="C278" s="32"/>
      <c r="D278" s="32"/>
      <c r="E278" s="32"/>
      <c r="F278" s="32"/>
      <c r="G278" s="32"/>
      <c r="H278" s="32"/>
      <c r="I278" s="32"/>
      <c r="J278" s="32"/>
      <c r="K278" s="32"/>
      <c r="L278" s="32"/>
      <c r="M278" s="32"/>
      <c r="N278" s="32"/>
      <c r="O278" s="32"/>
      <c r="P278" s="32"/>
      <c r="Q278" s="32"/>
      <c r="R278" s="32"/>
    </row>
    <row r="279" spans="1:18" s="56" customFormat="1" ht="15" customHeight="1">
      <c r="A279" s="32"/>
      <c r="B279" s="32"/>
      <c r="C279" s="32"/>
      <c r="D279" s="32"/>
      <c r="E279" s="32"/>
      <c r="F279" s="32"/>
      <c r="G279" s="32"/>
      <c r="H279" s="32"/>
      <c r="I279" s="32"/>
      <c r="J279" s="32"/>
      <c r="K279" s="32"/>
      <c r="L279" s="32"/>
      <c r="M279" s="32"/>
      <c r="N279" s="32"/>
      <c r="O279" s="32"/>
      <c r="P279" s="32"/>
      <c r="Q279" s="32"/>
      <c r="R279" s="32"/>
    </row>
    <row r="280" spans="1:18" s="56" customFormat="1" ht="15" customHeight="1">
      <c r="A280" s="32"/>
      <c r="B280" s="32"/>
      <c r="C280" s="32"/>
      <c r="D280" s="32"/>
      <c r="E280" s="32"/>
      <c r="F280" s="32"/>
      <c r="G280" s="32"/>
      <c r="H280" s="32"/>
      <c r="I280" s="32"/>
      <c r="J280" s="32"/>
      <c r="K280" s="32"/>
      <c r="L280" s="32"/>
      <c r="M280" s="32"/>
      <c r="N280" s="32"/>
      <c r="O280" s="32"/>
      <c r="P280" s="32"/>
      <c r="Q280" s="32"/>
      <c r="R280" s="32"/>
    </row>
    <row r="281" spans="1:18" s="56" customFormat="1" ht="15" customHeight="1">
      <c r="A281" s="32"/>
      <c r="B281" s="32"/>
      <c r="C281" s="32"/>
      <c r="D281" s="32"/>
      <c r="E281" s="32"/>
      <c r="F281" s="32"/>
      <c r="G281" s="32"/>
      <c r="H281" s="32"/>
      <c r="I281" s="32"/>
      <c r="J281" s="32"/>
      <c r="K281" s="32"/>
      <c r="L281" s="32"/>
      <c r="M281" s="32"/>
      <c r="N281" s="32"/>
      <c r="O281" s="32"/>
      <c r="P281" s="32"/>
      <c r="Q281" s="32"/>
      <c r="R281" s="32"/>
    </row>
    <row r="282" spans="1:18" s="56" customFormat="1" ht="15" customHeight="1">
      <c r="A282" s="32"/>
      <c r="B282" s="32"/>
      <c r="C282" s="32"/>
      <c r="D282" s="32"/>
      <c r="E282" s="32"/>
      <c r="F282" s="32"/>
      <c r="G282" s="32"/>
      <c r="H282" s="32"/>
      <c r="I282" s="32"/>
      <c r="J282" s="32"/>
      <c r="K282" s="32"/>
      <c r="L282" s="32"/>
      <c r="M282" s="32"/>
      <c r="N282" s="32"/>
      <c r="O282" s="32"/>
      <c r="P282" s="32"/>
      <c r="Q282" s="32"/>
      <c r="R282" s="32"/>
    </row>
    <row r="283" spans="1:18" s="56" customFormat="1" ht="15" customHeight="1">
      <c r="A283" s="32"/>
      <c r="B283" s="32"/>
      <c r="C283" s="32"/>
      <c r="D283" s="32"/>
      <c r="E283" s="32"/>
      <c r="F283" s="32"/>
      <c r="G283" s="32"/>
      <c r="H283" s="32"/>
      <c r="I283" s="32"/>
      <c r="J283" s="32"/>
      <c r="K283" s="32"/>
      <c r="L283" s="32"/>
      <c r="M283" s="32"/>
      <c r="N283" s="32"/>
      <c r="O283" s="32"/>
      <c r="P283" s="32"/>
      <c r="Q283" s="32"/>
      <c r="R283" s="32"/>
    </row>
    <row r="284" spans="1:18" s="56" customFormat="1" ht="15" customHeight="1">
      <c r="A284" s="32"/>
      <c r="B284" s="32"/>
      <c r="C284" s="32"/>
      <c r="D284" s="32"/>
      <c r="E284" s="32"/>
      <c r="F284" s="32"/>
      <c r="G284" s="32"/>
      <c r="H284" s="32"/>
      <c r="I284" s="32"/>
      <c r="J284" s="32"/>
      <c r="K284" s="32"/>
      <c r="L284" s="32"/>
      <c r="M284" s="32"/>
      <c r="N284" s="32"/>
      <c r="O284" s="32"/>
      <c r="P284" s="32"/>
      <c r="Q284" s="32"/>
      <c r="R284" s="32"/>
    </row>
    <row r="285" spans="1:18" s="56" customFormat="1" ht="15" customHeight="1">
      <c r="A285" s="32"/>
      <c r="B285" s="32"/>
      <c r="C285" s="32"/>
      <c r="D285" s="32"/>
      <c r="E285" s="32"/>
      <c r="F285" s="32"/>
      <c r="G285" s="32"/>
      <c r="H285" s="32"/>
      <c r="I285" s="32"/>
      <c r="J285" s="32"/>
      <c r="K285" s="32"/>
      <c r="L285" s="32"/>
      <c r="M285" s="32"/>
      <c r="N285" s="32"/>
      <c r="O285" s="32"/>
      <c r="P285" s="32"/>
      <c r="Q285" s="32"/>
      <c r="R285" s="32"/>
    </row>
    <row r="286" spans="1:18" s="56" customFormat="1" ht="15" customHeight="1">
      <c r="A286" s="32"/>
      <c r="B286" s="32"/>
      <c r="C286" s="32"/>
      <c r="D286" s="32"/>
      <c r="E286" s="32"/>
      <c r="F286" s="32"/>
      <c r="G286" s="32"/>
      <c r="H286" s="32"/>
      <c r="I286" s="32"/>
      <c r="J286" s="32"/>
      <c r="K286" s="32"/>
      <c r="L286" s="32"/>
      <c r="M286" s="32"/>
      <c r="N286" s="32"/>
      <c r="O286" s="32"/>
      <c r="P286" s="32"/>
      <c r="Q286" s="32"/>
      <c r="R286" s="32"/>
    </row>
    <row r="287" spans="1:18" s="56" customFormat="1" ht="15" customHeight="1">
      <c r="A287" s="32"/>
      <c r="B287" s="32"/>
      <c r="C287" s="32"/>
      <c r="D287" s="32"/>
      <c r="E287" s="32"/>
      <c r="F287" s="32"/>
      <c r="G287" s="32"/>
      <c r="H287" s="32"/>
      <c r="I287" s="32"/>
      <c r="J287" s="32"/>
      <c r="K287" s="32"/>
      <c r="L287" s="32"/>
      <c r="M287" s="32"/>
      <c r="N287" s="32"/>
      <c r="O287" s="32"/>
      <c r="P287" s="32"/>
      <c r="Q287" s="32"/>
      <c r="R287" s="32"/>
    </row>
    <row r="288" spans="1:18" s="56" customFormat="1" ht="15" customHeight="1">
      <c r="A288" s="32"/>
      <c r="B288" s="32"/>
      <c r="C288" s="32"/>
      <c r="D288" s="32"/>
      <c r="E288" s="32"/>
      <c r="F288" s="32"/>
      <c r="G288" s="32"/>
      <c r="H288" s="32"/>
      <c r="I288" s="32"/>
      <c r="J288" s="32"/>
      <c r="K288" s="32"/>
      <c r="L288" s="32"/>
      <c r="M288" s="32"/>
      <c r="N288" s="32"/>
      <c r="O288" s="32"/>
      <c r="P288" s="32"/>
      <c r="Q288" s="32"/>
      <c r="R288" s="32"/>
    </row>
    <row r="289" spans="1:18" s="56" customFormat="1" ht="15" customHeight="1">
      <c r="A289" s="32"/>
      <c r="B289" s="32"/>
      <c r="C289" s="32"/>
      <c r="D289" s="32"/>
      <c r="E289" s="32"/>
      <c r="F289" s="32"/>
      <c r="G289" s="32"/>
      <c r="H289" s="32"/>
      <c r="I289" s="32"/>
      <c r="J289" s="32"/>
      <c r="K289" s="32"/>
      <c r="L289" s="32"/>
      <c r="M289" s="32"/>
      <c r="N289" s="32"/>
      <c r="O289" s="32"/>
      <c r="P289" s="32"/>
      <c r="Q289" s="32"/>
      <c r="R289" s="32"/>
    </row>
    <row r="290" spans="1:18" s="56" customFormat="1" ht="15" customHeight="1">
      <c r="A290" s="32"/>
      <c r="B290" s="32"/>
      <c r="C290" s="32"/>
      <c r="D290" s="32"/>
      <c r="E290" s="32"/>
      <c r="F290" s="32"/>
      <c r="G290" s="32"/>
      <c r="H290" s="32"/>
      <c r="I290" s="32"/>
      <c r="J290" s="32"/>
      <c r="K290" s="32"/>
      <c r="L290" s="32"/>
      <c r="M290" s="32"/>
      <c r="N290" s="32"/>
      <c r="O290" s="32"/>
      <c r="P290" s="32"/>
      <c r="Q290" s="32"/>
      <c r="R290" s="32"/>
    </row>
    <row r="291" spans="1:18" s="56" customFormat="1" ht="15" customHeight="1">
      <c r="A291" s="32"/>
      <c r="B291" s="32"/>
      <c r="C291" s="32"/>
      <c r="D291" s="32"/>
      <c r="E291" s="32"/>
      <c r="F291" s="32"/>
      <c r="G291" s="32"/>
      <c r="H291" s="32"/>
      <c r="I291" s="32"/>
      <c r="J291" s="32"/>
      <c r="K291" s="32"/>
      <c r="L291" s="32"/>
      <c r="M291" s="32"/>
      <c r="N291" s="32"/>
      <c r="O291" s="32"/>
      <c r="P291" s="32"/>
      <c r="Q291" s="32"/>
      <c r="R291" s="32"/>
    </row>
    <row r="292" spans="1:18" s="56" customFormat="1" ht="15" customHeight="1">
      <c r="A292" s="32"/>
      <c r="B292" s="32"/>
      <c r="C292" s="32"/>
      <c r="D292" s="32"/>
      <c r="E292" s="32"/>
      <c r="F292" s="32"/>
      <c r="G292" s="32"/>
      <c r="H292" s="32"/>
      <c r="I292" s="32"/>
      <c r="J292" s="32"/>
      <c r="K292" s="32"/>
      <c r="L292" s="32"/>
      <c r="M292" s="32"/>
      <c r="N292" s="32"/>
      <c r="O292" s="32"/>
      <c r="P292" s="32"/>
      <c r="Q292" s="32"/>
      <c r="R292" s="32"/>
    </row>
    <row r="293" spans="1:18" s="56" customFormat="1" ht="15" customHeight="1">
      <c r="A293" s="32"/>
      <c r="B293" s="32"/>
      <c r="C293" s="32"/>
      <c r="D293" s="32"/>
      <c r="E293" s="32"/>
      <c r="F293" s="32"/>
      <c r="G293" s="32"/>
      <c r="H293" s="32"/>
      <c r="I293" s="32"/>
      <c r="J293" s="32"/>
      <c r="K293" s="32"/>
      <c r="L293" s="32"/>
      <c r="M293" s="32"/>
      <c r="N293" s="32"/>
      <c r="O293" s="32"/>
      <c r="P293" s="32"/>
      <c r="Q293" s="32"/>
      <c r="R293" s="32"/>
    </row>
    <row r="294" spans="1:18" s="56" customFormat="1" ht="15" customHeight="1">
      <c r="A294" s="32"/>
      <c r="B294" s="32"/>
      <c r="C294" s="32"/>
      <c r="D294" s="32"/>
      <c r="E294" s="32"/>
      <c r="F294" s="32"/>
      <c r="G294" s="32"/>
      <c r="H294" s="32"/>
      <c r="I294" s="32"/>
      <c r="J294" s="32"/>
      <c r="K294" s="32"/>
      <c r="L294" s="32"/>
      <c r="M294" s="32"/>
      <c r="N294" s="32"/>
      <c r="O294" s="32"/>
      <c r="P294" s="32"/>
      <c r="Q294" s="32"/>
      <c r="R294" s="32"/>
    </row>
    <row r="295" spans="1:18" s="56" customFormat="1" ht="15" customHeight="1">
      <c r="A295" s="32"/>
      <c r="B295" s="32"/>
      <c r="C295" s="32"/>
      <c r="D295" s="32"/>
      <c r="E295" s="32"/>
      <c r="F295" s="32"/>
      <c r="G295" s="32"/>
      <c r="H295" s="32"/>
      <c r="I295" s="32"/>
      <c r="J295" s="32"/>
      <c r="K295" s="32"/>
      <c r="L295" s="32"/>
      <c r="M295" s="32"/>
      <c r="N295" s="32"/>
      <c r="O295" s="32"/>
      <c r="P295" s="32"/>
      <c r="Q295" s="32"/>
      <c r="R295" s="32"/>
    </row>
    <row r="296" spans="1:18" s="56" customFormat="1" ht="15" customHeight="1">
      <c r="A296" s="32"/>
      <c r="B296" s="32"/>
      <c r="C296" s="32"/>
      <c r="D296" s="32"/>
      <c r="E296" s="32"/>
      <c r="F296" s="32"/>
      <c r="G296" s="32"/>
      <c r="H296" s="32"/>
      <c r="I296" s="32"/>
      <c r="J296" s="32"/>
      <c r="K296" s="32"/>
      <c r="L296" s="32"/>
      <c r="M296" s="32"/>
      <c r="N296" s="32"/>
      <c r="O296" s="32"/>
      <c r="P296" s="32"/>
      <c r="Q296" s="32"/>
      <c r="R296" s="32"/>
    </row>
    <row r="297" spans="1:18" s="56" customFormat="1" ht="15" customHeight="1">
      <c r="A297" s="32"/>
      <c r="B297" s="32"/>
      <c r="C297" s="32"/>
      <c r="D297" s="32"/>
      <c r="E297" s="32"/>
      <c r="F297" s="32"/>
      <c r="G297" s="32"/>
      <c r="H297" s="32"/>
      <c r="I297" s="32"/>
      <c r="J297" s="32"/>
      <c r="K297" s="32"/>
      <c r="L297" s="32"/>
      <c r="M297" s="32"/>
      <c r="N297" s="32"/>
      <c r="O297" s="32"/>
      <c r="P297" s="32"/>
      <c r="Q297" s="32"/>
      <c r="R297" s="32"/>
    </row>
    <row r="298" spans="1:18" s="56" customFormat="1" ht="15" customHeight="1">
      <c r="A298" s="32"/>
      <c r="B298" s="32"/>
      <c r="C298" s="32"/>
      <c r="D298" s="32"/>
      <c r="E298" s="32"/>
      <c r="F298" s="32"/>
      <c r="G298" s="32"/>
      <c r="H298" s="32"/>
      <c r="I298" s="32"/>
      <c r="J298" s="32"/>
      <c r="K298" s="32"/>
      <c r="L298" s="32"/>
      <c r="M298" s="32"/>
      <c r="N298" s="32"/>
      <c r="O298" s="32"/>
      <c r="P298" s="32"/>
      <c r="Q298" s="32"/>
      <c r="R298" s="32"/>
    </row>
    <row r="299" spans="1:18" s="56" customFormat="1" ht="15" customHeight="1">
      <c r="A299" s="32"/>
      <c r="B299" s="32"/>
      <c r="C299" s="32"/>
      <c r="D299" s="32"/>
      <c r="E299" s="32"/>
      <c r="F299" s="32"/>
      <c r="G299" s="32"/>
      <c r="H299" s="32"/>
      <c r="I299" s="32"/>
      <c r="J299" s="32"/>
      <c r="K299" s="32"/>
      <c r="L299" s="32"/>
      <c r="M299" s="32"/>
      <c r="N299" s="32"/>
      <c r="O299" s="32"/>
      <c r="P299" s="32"/>
      <c r="Q299" s="32"/>
      <c r="R299" s="32"/>
    </row>
    <row r="300" spans="1:18" s="56" customFormat="1" ht="15" customHeight="1">
      <c r="A300" s="32"/>
      <c r="B300" s="32"/>
      <c r="C300" s="32"/>
      <c r="D300" s="32"/>
      <c r="E300" s="32"/>
      <c r="F300" s="32"/>
      <c r="G300" s="32"/>
      <c r="H300" s="32"/>
      <c r="I300" s="32"/>
      <c r="J300" s="32"/>
      <c r="K300" s="32"/>
      <c r="L300" s="32"/>
      <c r="M300" s="32"/>
      <c r="N300" s="32"/>
      <c r="O300" s="32"/>
      <c r="P300" s="32"/>
      <c r="Q300" s="32"/>
      <c r="R300" s="32"/>
    </row>
    <row r="301" spans="1:18" s="56" customFormat="1" ht="15" customHeight="1">
      <c r="A301" s="32"/>
      <c r="B301" s="32"/>
      <c r="C301" s="32"/>
      <c r="D301" s="32"/>
      <c r="E301" s="32"/>
      <c r="F301" s="32"/>
      <c r="G301" s="32"/>
      <c r="H301" s="32"/>
      <c r="I301" s="32"/>
      <c r="J301" s="32"/>
      <c r="K301" s="32"/>
      <c r="L301" s="32"/>
      <c r="M301" s="32"/>
      <c r="N301" s="32"/>
      <c r="O301" s="32"/>
      <c r="P301" s="32"/>
      <c r="Q301" s="32"/>
      <c r="R301" s="32"/>
    </row>
    <row r="302" spans="1:18" s="56" customFormat="1" ht="15" customHeight="1">
      <c r="A302" s="32"/>
      <c r="B302" s="32"/>
      <c r="C302" s="32"/>
      <c r="D302" s="32"/>
      <c r="E302" s="32"/>
      <c r="F302" s="32"/>
      <c r="G302" s="32"/>
      <c r="H302" s="32"/>
      <c r="I302" s="32"/>
      <c r="J302" s="32"/>
      <c r="K302" s="32"/>
      <c r="L302" s="32"/>
      <c r="M302" s="32"/>
      <c r="N302" s="32"/>
      <c r="O302" s="32"/>
      <c r="P302" s="32"/>
      <c r="Q302" s="32"/>
      <c r="R302" s="32"/>
    </row>
    <row r="303" spans="1:18" s="56" customFormat="1" ht="15" customHeight="1">
      <c r="A303" s="32"/>
      <c r="B303" s="32"/>
      <c r="C303" s="32"/>
      <c r="D303" s="32"/>
      <c r="E303" s="32"/>
      <c r="F303" s="32"/>
      <c r="G303" s="32"/>
      <c r="H303" s="32"/>
      <c r="I303" s="32"/>
      <c r="J303" s="32"/>
      <c r="K303" s="32"/>
      <c r="L303" s="32"/>
      <c r="M303" s="32"/>
      <c r="N303" s="32"/>
      <c r="O303" s="32"/>
      <c r="P303" s="32"/>
      <c r="Q303" s="32"/>
      <c r="R303" s="32"/>
    </row>
    <row r="304" spans="1:18" s="56" customFormat="1" ht="15" customHeight="1">
      <c r="A304" s="32"/>
      <c r="B304" s="32"/>
      <c r="C304" s="32"/>
      <c r="D304" s="32"/>
      <c r="E304" s="32"/>
      <c r="F304" s="32"/>
      <c r="G304" s="32"/>
      <c r="H304" s="32"/>
      <c r="I304" s="32"/>
      <c r="J304" s="32"/>
      <c r="K304" s="32"/>
      <c r="L304" s="32"/>
      <c r="M304" s="32"/>
      <c r="N304" s="32"/>
      <c r="O304" s="32"/>
      <c r="P304" s="32"/>
      <c r="Q304" s="32"/>
      <c r="R304" s="32"/>
    </row>
    <row r="305" spans="1:18" s="56" customFormat="1" ht="15" customHeight="1">
      <c r="A305" s="32"/>
      <c r="B305" s="32"/>
      <c r="C305" s="32"/>
      <c r="D305" s="32"/>
      <c r="E305" s="32"/>
      <c r="F305" s="32"/>
      <c r="G305" s="32"/>
      <c r="H305" s="32"/>
      <c r="I305" s="32"/>
      <c r="J305" s="32"/>
      <c r="K305" s="32"/>
      <c r="L305" s="32"/>
      <c r="M305" s="32"/>
      <c r="N305" s="32"/>
      <c r="O305" s="32"/>
      <c r="P305" s="32"/>
      <c r="Q305" s="32"/>
      <c r="R305" s="32"/>
    </row>
    <row r="306" spans="1:18" s="56" customFormat="1" ht="15" customHeight="1">
      <c r="A306" s="32"/>
      <c r="B306" s="32"/>
      <c r="C306" s="32"/>
      <c r="D306" s="32"/>
      <c r="E306" s="32"/>
      <c r="F306" s="32"/>
      <c r="G306" s="32"/>
      <c r="H306" s="32"/>
      <c r="I306" s="32"/>
      <c r="J306" s="32"/>
      <c r="K306" s="32"/>
      <c r="L306" s="32"/>
      <c r="M306" s="32"/>
      <c r="N306" s="32"/>
      <c r="O306" s="32"/>
      <c r="P306" s="32"/>
      <c r="Q306" s="32"/>
      <c r="R306" s="32"/>
    </row>
    <row r="307" spans="1:18" s="56" customFormat="1" ht="15" customHeight="1">
      <c r="A307" s="32"/>
      <c r="B307" s="32"/>
      <c r="C307" s="32"/>
      <c r="D307" s="32"/>
      <c r="E307" s="32"/>
      <c r="F307" s="32"/>
      <c r="G307" s="32"/>
      <c r="H307" s="32"/>
      <c r="I307" s="32"/>
      <c r="J307" s="32"/>
      <c r="K307" s="32"/>
      <c r="L307" s="32"/>
      <c r="M307" s="32"/>
      <c r="N307" s="32"/>
      <c r="O307" s="32"/>
      <c r="P307" s="32"/>
      <c r="Q307" s="32"/>
      <c r="R307" s="32"/>
    </row>
    <row r="308" spans="1:18" s="56" customFormat="1" ht="15" customHeight="1">
      <c r="A308" s="32"/>
      <c r="B308" s="32"/>
      <c r="C308" s="32"/>
      <c r="D308" s="32"/>
      <c r="E308" s="32"/>
      <c r="F308" s="32"/>
      <c r="G308" s="32"/>
      <c r="H308" s="32"/>
      <c r="I308" s="32"/>
      <c r="J308" s="32"/>
      <c r="K308" s="32"/>
      <c r="L308" s="32"/>
      <c r="M308" s="32"/>
      <c r="N308" s="32"/>
      <c r="O308" s="32"/>
      <c r="P308" s="32"/>
      <c r="Q308" s="32"/>
      <c r="R308" s="32"/>
    </row>
    <row r="309" spans="1:18" s="56" customFormat="1" ht="15" customHeight="1">
      <c r="A309" s="32"/>
      <c r="B309" s="32"/>
      <c r="C309" s="32"/>
      <c r="D309" s="32"/>
      <c r="E309" s="32"/>
      <c r="F309" s="32"/>
      <c r="G309" s="32"/>
      <c r="H309" s="32"/>
      <c r="I309" s="32"/>
      <c r="J309" s="32"/>
      <c r="K309" s="32"/>
      <c r="L309" s="32"/>
      <c r="M309" s="32"/>
      <c r="N309" s="32"/>
      <c r="O309" s="32"/>
      <c r="P309" s="32"/>
      <c r="Q309" s="32"/>
      <c r="R309" s="32"/>
    </row>
    <row r="310" spans="1:18" s="56" customFormat="1" ht="15" customHeight="1">
      <c r="A310" s="32"/>
      <c r="B310" s="32"/>
      <c r="C310" s="32"/>
      <c r="D310" s="32"/>
      <c r="E310" s="32"/>
      <c r="F310" s="32"/>
      <c r="G310" s="32"/>
      <c r="H310" s="32"/>
      <c r="I310" s="32"/>
      <c r="J310" s="32"/>
      <c r="K310" s="32"/>
      <c r="L310" s="32"/>
      <c r="M310" s="32"/>
      <c r="N310" s="32"/>
      <c r="O310" s="32"/>
      <c r="P310" s="32"/>
      <c r="Q310" s="32"/>
      <c r="R310" s="32"/>
    </row>
    <row r="311" spans="1:18" s="56" customFormat="1" ht="15" customHeight="1">
      <c r="A311" s="32"/>
      <c r="B311" s="32"/>
      <c r="C311" s="32"/>
      <c r="D311" s="32"/>
      <c r="E311" s="32"/>
      <c r="F311" s="32"/>
      <c r="G311" s="32"/>
      <c r="H311" s="32"/>
      <c r="I311" s="32"/>
      <c r="J311" s="32"/>
      <c r="K311" s="32"/>
      <c r="L311" s="32"/>
      <c r="M311" s="32"/>
      <c r="N311" s="32"/>
      <c r="O311" s="32"/>
      <c r="P311" s="32"/>
      <c r="Q311" s="32"/>
      <c r="R311" s="32"/>
    </row>
    <row r="312" spans="1:18" s="56" customFormat="1" ht="15" customHeight="1">
      <c r="A312" s="32"/>
      <c r="B312" s="32"/>
      <c r="C312" s="32"/>
      <c r="D312" s="32"/>
      <c r="E312" s="32"/>
      <c r="F312" s="32"/>
      <c r="G312" s="32"/>
      <c r="H312" s="32"/>
      <c r="I312" s="32"/>
      <c r="J312" s="32"/>
      <c r="K312" s="32"/>
      <c r="L312" s="32"/>
      <c r="M312" s="32"/>
      <c r="N312" s="32"/>
      <c r="O312" s="32"/>
      <c r="P312" s="32"/>
      <c r="Q312" s="32"/>
      <c r="R312" s="32"/>
    </row>
    <row r="313" spans="1:18" s="56" customFormat="1" ht="15" customHeight="1">
      <c r="A313" s="32"/>
      <c r="B313" s="32"/>
      <c r="C313" s="32"/>
      <c r="D313" s="32"/>
      <c r="E313" s="32"/>
      <c r="F313" s="32"/>
      <c r="G313" s="32"/>
      <c r="H313" s="32"/>
      <c r="I313" s="32"/>
      <c r="J313" s="32"/>
      <c r="K313" s="32"/>
      <c r="L313" s="32"/>
      <c r="M313" s="32"/>
      <c r="N313" s="32"/>
      <c r="O313" s="32"/>
      <c r="P313" s="32"/>
      <c r="Q313" s="32"/>
      <c r="R313" s="32"/>
    </row>
    <row r="314" spans="1:18" s="56" customFormat="1" ht="15" customHeight="1">
      <c r="A314" s="32"/>
      <c r="B314" s="32"/>
      <c r="C314" s="32"/>
      <c r="D314" s="32"/>
      <c r="E314" s="32"/>
      <c r="F314" s="32"/>
      <c r="G314" s="32"/>
      <c r="H314" s="32"/>
      <c r="I314" s="32"/>
      <c r="J314" s="32"/>
      <c r="K314" s="32"/>
      <c r="L314" s="32"/>
      <c r="M314" s="32"/>
      <c r="N314" s="32"/>
      <c r="O314" s="32"/>
      <c r="P314" s="32"/>
      <c r="Q314" s="32"/>
      <c r="R314" s="32"/>
    </row>
    <row r="315" spans="1:18" s="56" customFormat="1" ht="15" customHeight="1">
      <c r="A315" s="32"/>
      <c r="B315" s="32"/>
      <c r="C315" s="32"/>
      <c r="D315" s="32"/>
      <c r="E315" s="32"/>
      <c r="F315" s="32"/>
      <c r="G315" s="32"/>
      <c r="H315" s="32"/>
      <c r="I315" s="32"/>
      <c r="J315" s="32"/>
      <c r="K315" s="32"/>
      <c r="L315" s="32"/>
      <c r="M315" s="32"/>
      <c r="N315" s="32"/>
      <c r="O315" s="32"/>
      <c r="P315" s="32"/>
      <c r="Q315" s="32"/>
      <c r="R315" s="32"/>
    </row>
    <row r="316" spans="1:18" s="56" customFormat="1" ht="15" customHeight="1">
      <c r="A316" s="32"/>
      <c r="B316" s="32"/>
      <c r="C316" s="32"/>
      <c r="D316" s="32"/>
      <c r="E316" s="32"/>
      <c r="F316" s="32"/>
      <c r="G316" s="32"/>
      <c r="H316" s="32"/>
      <c r="I316" s="32"/>
      <c r="J316" s="32"/>
      <c r="K316" s="32"/>
      <c r="L316" s="32"/>
      <c r="M316" s="32"/>
      <c r="N316" s="32"/>
      <c r="O316" s="32"/>
      <c r="P316" s="32"/>
      <c r="Q316" s="32"/>
      <c r="R316" s="32"/>
    </row>
    <row r="317" spans="1:18" s="56" customFormat="1" ht="15" customHeight="1">
      <c r="A317" s="32"/>
      <c r="B317" s="32"/>
      <c r="C317" s="32"/>
      <c r="D317" s="32"/>
      <c r="E317" s="32"/>
      <c r="F317" s="32"/>
      <c r="G317" s="32"/>
      <c r="H317" s="32"/>
      <c r="I317" s="32"/>
      <c r="J317" s="32"/>
      <c r="K317" s="32"/>
      <c r="L317" s="32"/>
      <c r="M317" s="32"/>
      <c r="N317" s="32"/>
      <c r="O317" s="32"/>
      <c r="P317" s="32"/>
      <c r="Q317" s="32"/>
      <c r="R317" s="32"/>
    </row>
    <row r="318" spans="1:18" s="56" customFormat="1" ht="15" customHeight="1">
      <c r="A318" s="32"/>
      <c r="B318" s="32"/>
      <c r="C318" s="32"/>
      <c r="D318" s="32"/>
      <c r="E318" s="32"/>
      <c r="F318" s="32"/>
      <c r="G318" s="32"/>
      <c r="H318" s="32"/>
      <c r="I318" s="32"/>
      <c r="J318" s="32"/>
      <c r="K318" s="32"/>
      <c r="L318" s="32"/>
      <c r="M318" s="32"/>
      <c r="N318" s="32"/>
      <c r="O318" s="32"/>
      <c r="P318" s="32"/>
      <c r="Q318" s="32"/>
      <c r="R318" s="32"/>
    </row>
    <row r="319" spans="1:18" s="56" customFormat="1" ht="15" customHeight="1">
      <c r="A319" s="32"/>
      <c r="B319" s="32"/>
      <c r="C319" s="32"/>
      <c r="D319" s="32"/>
      <c r="E319" s="32"/>
      <c r="F319" s="32"/>
      <c r="G319" s="32"/>
      <c r="H319" s="32"/>
      <c r="I319" s="32"/>
      <c r="J319" s="32"/>
      <c r="K319" s="32"/>
      <c r="L319" s="32"/>
      <c r="M319" s="32"/>
      <c r="N319" s="32"/>
      <c r="O319" s="32"/>
      <c r="P319" s="32"/>
      <c r="Q319" s="32"/>
      <c r="R319" s="32"/>
    </row>
    <row r="320" spans="1:18" s="56" customFormat="1" ht="15" customHeight="1">
      <c r="A320" s="32"/>
      <c r="B320" s="32"/>
      <c r="C320" s="32"/>
      <c r="D320" s="32"/>
      <c r="E320" s="32"/>
      <c r="F320" s="32"/>
      <c r="G320" s="32"/>
      <c r="H320" s="32"/>
      <c r="I320" s="32"/>
      <c r="J320" s="32"/>
      <c r="K320" s="32"/>
      <c r="L320" s="32"/>
      <c r="M320" s="32"/>
      <c r="N320" s="32"/>
      <c r="O320" s="32"/>
      <c r="P320" s="32"/>
      <c r="Q320" s="32"/>
      <c r="R320" s="32"/>
    </row>
    <row r="321" spans="1:18" s="56" customFormat="1" ht="15" customHeight="1">
      <c r="A321" s="32"/>
      <c r="B321" s="32"/>
      <c r="C321" s="32"/>
      <c r="D321" s="32"/>
      <c r="E321" s="32"/>
      <c r="F321" s="32"/>
      <c r="G321" s="32"/>
      <c r="H321" s="32"/>
      <c r="I321" s="32"/>
      <c r="J321" s="32"/>
      <c r="K321" s="32"/>
      <c r="L321" s="32"/>
      <c r="M321" s="32"/>
      <c r="N321" s="32"/>
      <c r="O321" s="32"/>
      <c r="P321" s="32"/>
      <c r="Q321" s="32"/>
      <c r="R321" s="32"/>
    </row>
    <row r="322" spans="1:18" s="56" customFormat="1" ht="15" customHeight="1">
      <c r="A322" s="32"/>
      <c r="B322" s="32"/>
      <c r="C322" s="32"/>
      <c r="D322" s="32"/>
      <c r="E322" s="32"/>
      <c r="F322" s="32"/>
      <c r="G322" s="32"/>
      <c r="H322" s="32"/>
      <c r="I322" s="32"/>
      <c r="J322" s="32"/>
      <c r="K322" s="32"/>
      <c r="L322" s="32"/>
      <c r="M322" s="32"/>
      <c r="N322" s="32"/>
      <c r="O322" s="32"/>
      <c r="P322" s="32"/>
      <c r="Q322" s="32"/>
      <c r="R322" s="32"/>
    </row>
    <row r="323" spans="1:18" s="56" customFormat="1" ht="15" customHeight="1">
      <c r="A323" s="32"/>
      <c r="B323" s="32"/>
      <c r="C323" s="32"/>
      <c r="D323" s="32"/>
      <c r="E323" s="32"/>
      <c r="F323" s="32"/>
      <c r="G323" s="32"/>
      <c r="H323" s="32"/>
      <c r="I323" s="32"/>
      <c r="J323" s="32"/>
      <c r="K323" s="32"/>
      <c r="L323" s="32"/>
      <c r="M323" s="32"/>
      <c r="N323" s="32"/>
      <c r="O323" s="32"/>
      <c r="P323" s="32"/>
      <c r="Q323" s="32"/>
      <c r="R323" s="32"/>
    </row>
    <row r="324" spans="1:18" s="56" customFormat="1" ht="15" customHeight="1">
      <c r="A324" s="32"/>
      <c r="B324" s="32"/>
      <c r="C324" s="32"/>
      <c r="D324" s="32"/>
      <c r="E324" s="32"/>
      <c r="F324" s="32"/>
      <c r="G324" s="32"/>
      <c r="H324" s="32"/>
      <c r="I324" s="32"/>
      <c r="J324" s="32"/>
      <c r="K324" s="32"/>
      <c r="L324" s="32"/>
      <c r="M324" s="32"/>
      <c r="N324" s="32"/>
      <c r="O324" s="32"/>
      <c r="P324" s="32"/>
      <c r="Q324" s="32"/>
      <c r="R324" s="32"/>
    </row>
    <row r="325" spans="1:18" s="56" customFormat="1" ht="15" customHeight="1">
      <c r="A325" s="32"/>
      <c r="B325" s="32"/>
      <c r="C325" s="32"/>
      <c r="D325" s="32"/>
      <c r="E325" s="32"/>
      <c r="F325" s="32"/>
      <c r="G325" s="32"/>
      <c r="H325" s="32"/>
      <c r="I325" s="32"/>
      <c r="J325" s="32"/>
      <c r="K325" s="32"/>
      <c r="L325" s="32"/>
      <c r="M325" s="32"/>
      <c r="N325" s="32"/>
      <c r="O325" s="32"/>
      <c r="P325" s="32"/>
      <c r="Q325" s="32"/>
      <c r="R325" s="32"/>
    </row>
    <row r="326" spans="1:18" s="56" customFormat="1" ht="15" customHeight="1">
      <c r="A326" s="32"/>
      <c r="B326" s="32"/>
      <c r="C326" s="32"/>
      <c r="D326" s="32"/>
      <c r="E326" s="32"/>
      <c r="F326" s="32"/>
      <c r="G326" s="32"/>
      <c r="H326" s="32"/>
      <c r="I326" s="32"/>
      <c r="J326" s="32"/>
      <c r="K326" s="32"/>
      <c r="L326" s="32"/>
      <c r="M326" s="32"/>
      <c r="N326" s="32"/>
      <c r="O326" s="32"/>
      <c r="P326" s="32"/>
      <c r="Q326" s="32"/>
      <c r="R326" s="32"/>
    </row>
    <row r="327" spans="1:18" s="56" customFormat="1" ht="15" customHeight="1">
      <c r="A327" s="32"/>
      <c r="B327" s="32"/>
      <c r="C327" s="32"/>
      <c r="D327" s="32"/>
      <c r="E327" s="32"/>
      <c r="F327" s="32"/>
      <c r="G327" s="32"/>
      <c r="H327" s="32"/>
      <c r="I327" s="32"/>
      <c r="J327" s="32"/>
      <c r="K327" s="32"/>
      <c r="L327" s="32"/>
      <c r="M327" s="32"/>
      <c r="N327" s="32"/>
      <c r="O327" s="32"/>
      <c r="P327" s="32"/>
      <c r="Q327" s="32"/>
      <c r="R327" s="32"/>
    </row>
    <row r="328" spans="1:18" s="56" customFormat="1" ht="15" customHeight="1">
      <c r="A328" s="32"/>
      <c r="B328" s="32"/>
      <c r="C328" s="32"/>
      <c r="D328" s="32"/>
      <c r="E328" s="32"/>
      <c r="F328" s="32"/>
      <c r="G328" s="32"/>
      <c r="H328" s="32"/>
      <c r="I328" s="32"/>
      <c r="J328" s="32"/>
      <c r="K328" s="32"/>
      <c r="L328" s="32"/>
      <c r="M328" s="32"/>
      <c r="N328" s="32"/>
      <c r="O328" s="32"/>
      <c r="P328" s="32"/>
      <c r="Q328" s="32"/>
      <c r="R328" s="32"/>
    </row>
    <row r="329" spans="1:18" s="56" customFormat="1" ht="15" customHeight="1">
      <c r="A329" s="32"/>
      <c r="B329" s="32"/>
      <c r="C329" s="32"/>
      <c r="D329" s="32"/>
      <c r="E329" s="32"/>
      <c r="F329" s="32"/>
      <c r="G329" s="32"/>
      <c r="H329" s="32"/>
      <c r="I329" s="32"/>
      <c r="J329" s="32"/>
      <c r="K329" s="32"/>
      <c r="L329" s="32"/>
      <c r="M329" s="32"/>
      <c r="N329" s="32"/>
      <c r="O329" s="32"/>
      <c r="P329" s="32"/>
      <c r="Q329" s="32"/>
      <c r="R329" s="32"/>
    </row>
    <row r="330" spans="1:18" s="56" customFormat="1" ht="15" customHeight="1">
      <c r="A330" s="32"/>
      <c r="B330" s="32"/>
      <c r="C330" s="32"/>
      <c r="D330" s="32"/>
      <c r="E330" s="32"/>
      <c r="F330" s="32"/>
      <c r="G330" s="32"/>
      <c r="H330" s="32"/>
      <c r="I330" s="32"/>
      <c r="J330" s="32"/>
      <c r="K330" s="32"/>
      <c r="L330" s="32"/>
      <c r="M330" s="32"/>
      <c r="N330" s="32"/>
      <c r="O330" s="32"/>
      <c r="P330" s="32"/>
      <c r="Q330" s="32"/>
      <c r="R330" s="32"/>
    </row>
    <row r="331" spans="1:18" s="56" customFormat="1" ht="15" customHeight="1">
      <c r="A331" s="32"/>
      <c r="B331" s="32"/>
      <c r="C331" s="32"/>
      <c r="D331" s="32"/>
      <c r="E331" s="32"/>
      <c r="F331" s="32"/>
      <c r="G331" s="32"/>
      <c r="H331" s="32"/>
      <c r="I331" s="32"/>
      <c r="J331" s="32"/>
      <c r="K331" s="32"/>
      <c r="L331" s="32"/>
      <c r="M331" s="32"/>
      <c r="N331" s="32"/>
      <c r="O331" s="32"/>
      <c r="P331" s="32"/>
      <c r="Q331" s="32"/>
      <c r="R331" s="32"/>
    </row>
    <row r="332" spans="1:18" s="56" customFormat="1" ht="15" customHeight="1">
      <c r="A332" s="32"/>
      <c r="B332" s="32"/>
      <c r="C332" s="32"/>
      <c r="D332" s="32"/>
      <c r="E332" s="32"/>
      <c r="F332" s="32"/>
      <c r="G332" s="32"/>
      <c r="H332" s="32"/>
      <c r="I332" s="32"/>
      <c r="J332" s="32"/>
      <c r="K332" s="32"/>
      <c r="L332" s="32"/>
      <c r="M332" s="32"/>
      <c r="N332" s="32"/>
      <c r="O332" s="32"/>
      <c r="P332" s="32"/>
      <c r="Q332" s="32"/>
      <c r="R332" s="32"/>
    </row>
    <row r="333" spans="1:18" s="56" customFormat="1" ht="15" customHeight="1">
      <c r="A333" s="32"/>
      <c r="B333" s="32"/>
      <c r="C333" s="32"/>
      <c r="D333" s="32"/>
      <c r="E333" s="32"/>
      <c r="F333" s="32"/>
      <c r="G333" s="32"/>
      <c r="H333" s="32"/>
      <c r="I333" s="32"/>
      <c r="J333" s="32"/>
      <c r="K333" s="32"/>
      <c r="L333" s="32"/>
      <c r="M333" s="32"/>
      <c r="N333" s="32"/>
      <c r="O333" s="32"/>
      <c r="P333" s="32"/>
      <c r="Q333" s="32"/>
      <c r="R333" s="32"/>
    </row>
    <row r="334" spans="1:18" s="56" customFormat="1" ht="15" customHeight="1">
      <c r="A334" s="32"/>
      <c r="B334" s="32"/>
      <c r="C334" s="32"/>
      <c r="D334" s="32"/>
      <c r="E334" s="32"/>
      <c r="F334" s="32"/>
      <c r="G334" s="32"/>
      <c r="H334" s="32"/>
      <c r="I334" s="32"/>
      <c r="J334" s="32"/>
      <c r="K334" s="32"/>
      <c r="L334" s="32"/>
      <c r="M334" s="32"/>
      <c r="N334" s="32"/>
      <c r="O334" s="32"/>
      <c r="P334" s="32"/>
      <c r="Q334" s="32"/>
      <c r="R334" s="32"/>
    </row>
    <row r="335" spans="1:18" s="56" customFormat="1" ht="15" customHeight="1">
      <c r="A335" s="32"/>
      <c r="B335" s="32"/>
      <c r="C335" s="32"/>
      <c r="D335" s="32"/>
      <c r="E335" s="32"/>
      <c r="F335" s="32"/>
      <c r="G335" s="32"/>
      <c r="H335" s="32"/>
      <c r="I335" s="32"/>
      <c r="J335" s="32"/>
      <c r="K335" s="32"/>
      <c r="L335" s="32"/>
      <c r="M335" s="32"/>
      <c r="N335" s="32"/>
      <c r="O335" s="32"/>
      <c r="P335" s="32"/>
      <c r="Q335" s="32"/>
      <c r="R335" s="32"/>
    </row>
    <row r="336" spans="1:18" s="56" customFormat="1" ht="15" customHeight="1">
      <c r="A336" s="32"/>
      <c r="B336" s="32"/>
      <c r="C336" s="32"/>
      <c r="D336" s="32"/>
      <c r="E336" s="32"/>
      <c r="F336" s="32"/>
      <c r="G336" s="32"/>
      <c r="H336" s="32"/>
      <c r="I336" s="32"/>
      <c r="J336" s="32"/>
      <c r="K336" s="32"/>
      <c r="L336" s="32"/>
      <c r="M336" s="32"/>
      <c r="N336" s="32"/>
      <c r="O336" s="32"/>
      <c r="P336" s="32"/>
      <c r="Q336" s="32"/>
      <c r="R336" s="32"/>
    </row>
    <row r="337" spans="1:18" s="56" customFormat="1" ht="15" customHeight="1">
      <c r="A337" s="32"/>
      <c r="B337" s="32"/>
      <c r="C337" s="32"/>
      <c r="D337" s="32"/>
      <c r="E337" s="32"/>
      <c r="F337" s="32"/>
      <c r="G337" s="32"/>
      <c r="H337" s="32"/>
      <c r="I337" s="32"/>
      <c r="J337" s="32"/>
      <c r="K337" s="32"/>
      <c r="L337" s="32"/>
      <c r="M337" s="32"/>
      <c r="N337" s="32"/>
      <c r="O337" s="32"/>
      <c r="P337" s="32"/>
      <c r="Q337" s="32"/>
      <c r="R337" s="32"/>
    </row>
    <row r="338" spans="1:18" s="56" customFormat="1" ht="15" customHeight="1">
      <c r="A338" s="32"/>
      <c r="B338" s="32"/>
      <c r="C338" s="32"/>
      <c r="D338" s="32"/>
      <c r="E338" s="32"/>
      <c r="F338" s="32"/>
      <c r="G338" s="32"/>
      <c r="H338" s="32"/>
      <c r="I338" s="32"/>
      <c r="J338" s="32"/>
      <c r="K338" s="32"/>
      <c r="L338" s="32"/>
      <c r="M338" s="32"/>
      <c r="N338" s="32"/>
      <c r="O338" s="32"/>
      <c r="P338" s="32"/>
      <c r="Q338" s="32"/>
      <c r="R338" s="32"/>
    </row>
    <row r="339" spans="1:18" s="56" customFormat="1" ht="15" customHeight="1">
      <c r="A339" s="32"/>
      <c r="B339" s="32"/>
      <c r="C339" s="32"/>
      <c r="D339" s="32"/>
      <c r="E339" s="32"/>
      <c r="F339" s="32"/>
      <c r="G339" s="32"/>
      <c r="H339" s="32"/>
      <c r="I339" s="32"/>
      <c r="J339" s="32"/>
      <c r="K339" s="32"/>
      <c r="L339" s="32"/>
      <c r="M339" s="32"/>
      <c r="N339" s="32"/>
      <c r="O339" s="32"/>
      <c r="P339" s="32"/>
      <c r="Q339" s="32"/>
      <c r="R339" s="32"/>
    </row>
    <row r="340" spans="1:18" s="56" customFormat="1" ht="15" customHeight="1">
      <c r="A340" s="32"/>
      <c r="B340" s="32"/>
      <c r="C340" s="32"/>
      <c r="D340" s="32"/>
      <c r="E340" s="32"/>
      <c r="F340" s="32"/>
      <c r="G340" s="32"/>
      <c r="H340" s="32"/>
      <c r="I340" s="32"/>
      <c r="J340" s="32"/>
      <c r="K340" s="32"/>
      <c r="L340" s="32"/>
      <c r="M340" s="32"/>
      <c r="N340" s="32"/>
      <c r="O340" s="32"/>
      <c r="P340" s="32"/>
      <c r="Q340" s="32"/>
      <c r="R340" s="32"/>
    </row>
    <row r="341" spans="1:18" s="56" customFormat="1" ht="15" customHeight="1">
      <c r="A341" s="32"/>
      <c r="B341" s="32"/>
      <c r="C341" s="32"/>
      <c r="D341" s="32"/>
      <c r="E341" s="32"/>
      <c r="F341" s="32"/>
      <c r="G341" s="32"/>
      <c r="H341" s="32"/>
      <c r="I341" s="32"/>
      <c r="J341" s="32"/>
      <c r="K341" s="32"/>
      <c r="L341" s="32"/>
      <c r="M341" s="32"/>
      <c r="N341" s="32"/>
      <c r="O341" s="32"/>
      <c r="P341" s="32"/>
      <c r="Q341" s="32"/>
      <c r="R341" s="32"/>
    </row>
    <row r="342" spans="1:18" s="56" customFormat="1" ht="15" customHeight="1">
      <c r="A342" s="32"/>
      <c r="B342" s="32"/>
      <c r="C342" s="32"/>
      <c r="D342" s="32"/>
      <c r="E342" s="32"/>
      <c r="F342" s="32"/>
      <c r="G342" s="32"/>
      <c r="H342" s="32"/>
      <c r="I342" s="32"/>
      <c r="J342" s="32"/>
      <c r="K342" s="32"/>
      <c r="L342" s="32"/>
      <c r="M342" s="32"/>
      <c r="N342" s="32"/>
      <c r="O342" s="32"/>
      <c r="P342" s="32"/>
      <c r="Q342" s="32"/>
      <c r="R342" s="32"/>
    </row>
    <row r="343" spans="1:18" s="56" customFormat="1" ht="15" customHeight="1">
      <c r="A343" s="32"/>
      <c r="B343" s="32"/>
      <c r="C343" s="32"/>
      <c r="D343" s="32"/>
      <c r="E343" s="32"/>
      <c r="F343" s="32"/>
      <c r="G343" s="32"/>
      <c r="H343" s="32"/>
      <c r="I343" s="32"/>
      <c r="J343" s="32"/>
      <c r="K343" s="32"/>
      <c r="L343" s="32"/>
      <c r="M343" s="32"/>
      <c r="N343" s="32"/>
      <c r="O343" s="32"/>
      <c r="P343" s="32"/>
      <c r="Q343" s="32"/>
      <c r="R343" s="32"/>
    </row>
    <row r="344" spans="1:18" s="56" customFormat="1" ht="15" customHeight="1">
      <c r="A344" s="32"/>
      <c r="B344" s="32"/>
      <c r="C344" s="32"/>
      <c r="D344" s="32"/>
      <c r="E344" s="32"/>
      <c r="F344" s="32"/>
      <c r="G344" s="32"/>
      <c r="H344" s="32"/>
      <c r="I344" s="32"/>
      <c r="J344" s="32"/>
      <c r="K344" s="32"/>
      <c r="L344" s="32"/>
      <c r="M344" s="32"/>
      <c r="N344" s="32"/>
      <c r="O344" s="32"/>
      <c r="P344" s="32"/>
      <c r="Q344" s="32"/>
      <c r="R344" s="32"/>
    </row>
    <row r="345" spans="1:18" s="56" customFormat="1" ht="15" customHeight="1">
      <c r="A345" s="32"/>
      <c r="B345" s="32"/>
      <c r="C345" s="32"/>
      <c r="D345" s="32"/>
      <c r="E345" s="32"/>
      <c r="F345" s="32"/>
      <c r="G345" s="32"/>
      <c r="H345" s="32"/>
      <c r="I345" s="32"/>
      <c r="J345" s="32"/>
      <c r="K345" s="32"/>
      <c r="L345" s="32"/>
      <c r="M345" s="32"/>
      <c r="N345" s="32"/>
      <c r="O345" s="32"/>
      <c r="P345" s="32"/>
      <c r="Q345" s="32"/>
      <c r="R345" s="32"/>
    </row>
    <row r="346" spans="1:18" s="56" customFormat="1" ht="15" customHeight="1">
      <c r="A346" s="32"/>
      <c r="B346" s="32"/>
      <c r="C346" s="32"/>
      <c r="D346" s="32"/>
      <c r="E346" s="32"/>
      <c r="F346" s="32"/>
      <c r="G346" s="32"/>
      <c r="H346" s="32"/>
      <c r="I346" s="32"/>
      <c r="J346" s="32"/>
      <c r="K346" s="32"/>
      <c r="L346" s="32"/>
      <c r="M346" s="32"/>
      <c r="N346" s="32"/>
      <c r="O346" s="32"/>
      <c r="P346" s="32"/>
      <c r="Q346" s="32"/>
      <c r="R346" s="32"/>
    </row>
    <row r="347" spans="1:18" s="56" customFormat="1" ht="15" customHeight="1">
      <c r="A347" s="32"/>
      <c r="B347" s="32"/>
      <c r="C347" s="32"/>
      <c r="D347" s="32"/>
      <c r="E347" s="32"/>
      <c r="F347" s="32"/>
      <c r="G347" s="32"/>
      <c r="H347" s="32"/>
      <c r="I347" s="32"/>
      <c r="J347" s="32"/>
      <c r="K347" s="32"/>
      <c r="L347" s="32"/>
      <c r="M347" s="32"/>
      <c r="N347" s="32"/>
      <c r="O347" s="32"/>
      <c r="P347" s="32"/>
      <c r="Q347" s="32"/>
      <c r="R347" s="32"/>
    </row>
    <row r="348" spans="1:18" s="56" customFormat="1" ht="15" customHeight="1">
      <c r="A348" s="32"/>
      <c r="B348" s="32"/>
      <c r="C348" s="32"/>
      <c r="D348" s="32"/>
      <c r="E348" s="32"/>
      <c r="F348" s="32"/>
      <c r="G348" s="32"/>
      <c r="H348" s="32"/>
      <c r="I348" s="32"/>
      <c r="J348" s="32"/>
      <c r="K348" s="32"/>
      <c r="L348" s="32"/>
      <c r="M348" s="32"/>
      <c r="N348" s="32"/>
      <c r="O348" s="32"/>
      <c r="P348" s="32"/>
      <c r="Q348" s="32"/>
      <c r="R348" s="32"/>
    </row>
    <row r="349" spans="1:18" s="56" customFormat="1" ht="15" customHeight="1">
      <c r="A349" s="32"/>
      <c r="B349" s="32"/>
      <c r="C349" s="32"/>
      <c r="D349" s="32"/>
      <c r="E349" s="32"/>
      <c r="F349" s="32"/>
      <c r="G349" s="32"/>
      <c r="H349" s="32"/>
      <c r="I349" s="32"/>
      <c r="J349" s="32"/>
      <c r="K349" s="32"/>
      <c r="L349" s="32"/>
      <c r="M349" s="32"/>
      <c r="N349" s="32"/>
      <c r="O349" s="32"/>
      <c r="P349" s="32"/>
      <c r="Q349" s="32"/>
      <c r="R349" s="32"/>
    </row>
    <row r="350" spans="1:18" s="56" customFormat="1" ht="15" customHeight="1">
      <c r="A350" s="32"/>
      <c r="B350" s="32"/>
      <c r="C350" s="32"/>
      <c r="D350" s="32"/>
      <c r="E350" s="32"/>
      <c r="F350" s="32"/>
      <c r="G350" s="32"/>
      <c r="H350" s="32"/>
      <c r="I350" s="32"/>
      <c r="J350" s="32"/>
      <c r="K350" s="32"/>
      <c r="L350" s="32"/>
      <c r="M350" s="32"/>
      <c r="N350" s="32"/>
      <c r="O350" s="32"/>
      <c r="P350" s="32"/>
      <c r="Q350" s="32"/>
      <c r="R350" s="32"/>
    </row>
    <row r="351" spans="1:18" s="56" customFormat="1" ht="15" customHeight="1">
      <c r="A351" s="32"/>
      <c r="B351" s="32"/>
      <c r="C351" s="32"/>
      <c r="D351" s="32"/>
      <c r="E351" s="32"/>
      <c r="F351" s="32"/>
      <c r="G351" s="32"/>
      <c r="H351" s="32"/>
      <c r="I351" s="32"/>
      <c r="J351" s="32"/>
      <c r="K351" s="32"/>
      <c r="L351" s="32"/>
      <c r="M351" s="32"/>
      <c r="N351" s="32"/>
      <c r="O351" s="32"/>
      <c r="P351" s="32"/>
      <c r="Q351" s="32"/>
      <c r="R351" s="32"/>
    </row>
    <row r="352" spans="1:18" s="56" customFormat="1" ht="15" customHeight="1">
      <c r="A352" s="32"/>
      <c r="B352" s="32"/>
      <c r="C352" s="32"/>
      <c r="D352" s="32"/>
      <c r="E352" s="32"/>
      <c r="F352" s="32"/>
      <c r="G352" s="32"/>
      <c r="H352" s="32"/>
      <c r="I352" s="32"/>
      <c r="J352" s="32"/>
      <c r="K352" s="32"/>
      <c r="L352" s="32"/>
      <c r="M352" s="32"/>
      <c r="N352" s="32"/>
      <c r="O352" s="32"/>
      <c r="P352" s="32"/>
      <c r="Q352" s="32"/>
      <c r="R352" s="32"/>
    </row>
    <row r="353" spans="1:18" s="56" customFormat="1" ht="15" customHeight="1">
      <c r="A353" s="32"/>
      <c r="B353" s="32"/>
      <c r="C353" s="32"/>
      <c r="D353" s="32"/>
      <c r="E353" s="32"/>
      <c r="F353" s="32"/>
      <c r="G353" s="32"/>
      <c r="H353" s="32"/>
      <c r="I353" s="32"/>
      <c r="J353" s="32"/>
      <c r="K353" s="32"/>
      <c r="L353" s="32"/>
      <c r="M353" s="32"/>
      <c r="N353" s="32"/>
      <c r="O353" s="32"/>
      <c r="P353" s="32"/>
      <c r="Q353" s="32"/>
      <c r="R353" s="32"/>
    </row>
    <row r="354" spans="1:18" s="56" customFormat="1" ht="15" customHeight="1">
      <c r="A354" s="32"/>
      <c r="B354" s="32"/>
      <c r="C354" s="32"/>
      <c r="D354" s="32"/>
      <c r="E354" s="32"/>
      <c r="F354" s="32"/>
      <c r="G354" s="32"/>
      <c r="H354" s="32"/>
      <c r="I354" s="32"/>
      <c r="J354" s="32"/>
      <c r="K354" s="32"/>
      <c r="L354" s="32"/>
      <c r="M354" s="32"/>
      <c r="N354" s="32"/>
      <c r="O354" s="32"/>
      <c r="P354" s="32"/>
      <c r="Q354" s="32"/>
      <c r="R354" s="32"/>
    </row>
    <row r="355" spans="1:18" s="56" customFormat="1" ht="15" customHeight="1">
      <c r="A355" s="32"/>
      <c r="B355" s="32"/>
      <c r="C355" s="32"/>
      <c r="D355" s="32"/>
      <c r="E355" s="32"/>
      <c r="F355" s="32"/>
      <c r="G355" s="32"/>
      <c r="H355" s="32"/>
      <c r="I355" s="32"/>
      <c r="J355" s="32"/>
      <c r="K355" s="32"/>
      <c r="L355" s="32"/>
      <c r="M355" s="32"/>
      <c r="N355" s="32"/>
      <c r="O355" s="32"/>
      <c r="P355" s="32"/>
      <c r="Q355" s="32"/>
      <c r="R355" s="32"/>
    </row>
    <row r="356" spans="1:18" s="56" customFormat="1" ht="15" customHeight="1">
      <c r="A356" s="32"/>
      <c r="B356" s="32"/>
      <c r="C356" s="32"/>
      <c r="D356" s="32"/>
      <c r="E356" s="32"/>
      <c r="F356" s="32"/>
      <c r="G356" s="32"/>
      <c r="H356" s="32"/>
      <c r="I356" s="32"/>
      <c r="J356" s="32"/>
      <c r="K356" s="32"/>
      <c r="L356" s="32"/>
      <c r="M356" s="32"/>
      <c r="N356" s="32"/>
      <c r="O356" s="32"/>
      <c r="P356" s="32"/>
      <c r="Q356" s="32"/>
      <c r="R356" s="32"/>
    </row>
    <row r="357" spans="1:18" s="56" customFormat="1" ht="15" customHeight="1">
      <c r="A357" s="32"/>
      <c r="B357" s="32"/>
      <c r="C357" s="32"/>
      <c r="D357" s="32"/>
      <c r="E357" s="32"/>
      <c r="F357" s="32"/>
      <c r="G357" s="32"/>
      <c r="H357" s="32"/>
      <c r="I357" s="32"/>
      <c r="J357" s="32"/>
      <c r="K357" s="32"/>
      <c r="L357" s="32"/>
      <c r="M357" s="32"/>
      <c r="N357" s="32"/>
      <c r="O357" s="32"/>
      <c r="P357" s="32"/>
      <c r="Q357" s="32"/>
      <c r="R357" s="32"/>
    </row>
    <row r="358" spans="1:18" s="56" customFormat="1" ht="15" customHeight="1">
      <c r="A358" s="32"/>
      <c r="B358" s="32"/>
      <c r="C358" s="32"/>
      <c r="D358" s="32"/>
      <c r="E358" s="32"/>
      <c r="F358" s="32"/>
      <c r="G358" s="32"/>
      <c r="H358" s="32"/>
      <c r="I358" s="32"/>
      <c r="J358" s="32"/>
      <c r="K358" s="32"/>
      <c r="L358" s="32"/>
      <c r="M358" s="32"/>
      <c r="N358" s="32"/>
      <c r="O358" s="32"/>
      <c r="P358" s="32"/>
      <c r="Q358" s="32"/>
      <c r="R358" s="32"/>
    </row>
    <row r="359" spans="1:18" s="56" customFormat="1" ht="15" customHeight="1">
      <c r="A359" s="32"/>
      <c r="B359" s="32"/>
      <c r="C359" s="32"/>
      <c r="D359" s="32"/>
      <c r="E359" s="32"/>
      <c r="F359" s="32"/>
      <c r="G359" s="32"/>
      <c r="H359" s="32"/>
      <c r="I359" s="32"/>
      <c r="J359" s="32"/>
      <c r="K359" s="32"/>
      <c r="L359" s="32"/>
      <c r="M359" s="32"/>
      <c r="N359" s="32"/>
      <c r="O359" s="32"/>
      <c r="P359" s="32"/>
      <c r="Q359" s="32"/>
      <c r="R359" s="32"/>
    </row>
    <row r="360" spans="1:18" s="56" customFormat="1" ht="15" customHeight="1">
      <c r="A360" s="32"/>
      <c r="B360" s="32"/>
      <c r="C360" s="32"/>
      <c r="D360" s="32"/>
      <c r="E360" s="32"/>
      <c r="F360" s="32"/>
      <c r="G360" s="32"/>
      <c r="H360" s="32"/>
      <c r="I360" s="32"/>
      <c r="J360" s="32"/>
      <c r="K360" s="32"/>
      <c r="L360" s="32"/>
      <c r="M360" s="32"/>
      <c r="N360" s="32"/>
      <c r="O360" s="32"/>
      <c r="P360" s="32"/>
      <c r="Q360" s="32"/>
      <c r="R360" s="32"/>
    </row>
    <row r="361" spans="1:18" s="56" customFormat="1" ht="15" customHeight="1">
      <c r="A361" s="32"/>
      <c r="B361" s="32"/>
      <c r="C361" s="32"/>
      <c r="D361" s="32"/>
      <c r="E361" s="32"/>
      <c r="F361" s="32"/>
      <c r="G361" s="32"/>
      <c r="H361" s="32"/>
      <c r="I361" s="32"/>
      <c r="J361" s="32"/>
      <c r="K361" s="32"/>
      <c r="L361" s="32"/>
      <c r="M361" s="32"/>
      <c r="N361" s="32"/>
      <c r="O361" s="32"/>
      <c r="P361" s="32"/>
      <c r="Q361" s="32"/>
      <c r="R361" s="32"/>
    </row>
    <row r="362" spans="1:18" s="56" customFormat="1" ht="15" customHeight="1">
      <c r="A362" s="32"/>
      <c r="B362" s="32"/>
      <c r="C362" s="32"/>
      <c r="D362" s="32"/>
      <c r="E362" s="32"/>
      <c r="F362" s="32"/>
      <c r="G362" s="32"/>
      <c r="H362" s="32"/>
      <c r="I362" s="32"/>
      <c r="J362" s="32"/>
      <c r="K362" s="32"/>
      <c r="L362" s="32"/>
      <c r="M362" s="32"/>
      <c r="N362" s="32"/>
      <c r="O362" s="32"/>
      <c r="P362" s="32"/>
      <c r="Q362" s="32"/>
      <c r="R362" s="32"/>
    </row>
    <row r="363" spans="1:18" s="56" customFormat="1" ht="15" customHeight="1">
      <c r="A363" s="32"/>
      <c r="B363" s="32"/>
      <c r="C363" s="32"/>
      <c r="D363" s="32"/>
      <c r="E363" s="32"/>
      <c r="F363" s="32"/>
      <c r="G363" s="32"/>
      <c r="H363" s="32"/>
      <c r="I363" s="32"/>
      <c r="J363" s="32"/>
      <c r="K363" s="32"/>
      <c r="L363" s="32"/>
      <c r="M363" s="32"/>
      <c r="N363" s="32"/>
      <c r="O363" s="32"/>
      <c r="P363" s="32"/>
      <c r="Q363" s="32"/>
      <c r="R363" s="32"/>
    </row>
    <row r="364" spans="1:18" s="56" customFormat="1" ht="15" customHeight="1">
      <c r="A364" s="32"/>
      <c r="B364" s="32"/>
      <c r="C364" s="32"/>
      <c r="D364" s="32"/>
      <c r="E364" s="32"/>
      <c r="F364" s="32"/>
      <c r="G364" s="32"/>
      <c r="H364" s="32"/>
      <c r="I364" s="32"/>
      <c r="J364" s="32"/>
      <c r="K364" s="32"/>
      <c r="L364" s="32"/>
      <c r="M364" s="32"/>
      <c r="N364" s="32"/>
      <c r="O364" s="32"/>
      <c r="P364" s="32"/>
      <c r="Q364" s="32"/>
      <c r="R364" s="32"/>
    </row>
    <row r="365" spans="1:18" s="56" customFormat="1" ht="15" customHeight="1">
      <c r="A365" s="32"/>
      <c r="B365" s="32"/>
      <c r="C365" s="32"/>
      <c r="D365" s="32"/>
      <c r="E365" s="32"/>
      <c r="F365" s="32"/>
      <c r="G365" s="32"/>
      <c r="H365" s="32"/>
      <c r="I365" s="32"/>
      <c r="J365" s="32"/>
      <c r="K365" s="32"/>
      <c r="L365" s="32"/>
      <c r="M365" s="32"/>
      <c r="N365" s="32"/>
      <c r="O365" s="32"/>
      <c r="P365" s="32"/>
      <c r="Q365" s="32"/>
      <c r="R365" s="32"/>
    </row>
    <row r="366" spans="1:18" s="56" customFormat="1" ht="15" customHeight="1">
      <c r="A366" s="32"/>
      <c r="B366" s="32"/>
      <c r="C366" s="32"/>
      <c r="D366" s="32"/>
      <c r="E366" s="32"/>
      <c r="F366" s="32"/>
      <c r="G366" s="32"/>
      <c r="H366" s="32"/>
      <c r="I366" s="32"/>
      <c r="J366" s="32"/>
      <c r="K366" s="32"/>
      <c r="L366" s="32"/>
      <c r="M366" s="32"/>
      <c r="N366" s="32"/>
      <c r="O366" s="32"/>
      <c r="P366" s="32"/>
      <c r="Q366" s="32"/>
      <c r="R366" s="32"/>
    </row>
    <row r="367" spans="1:18" s="56" customFormat="1" ht="15" customHeight="1">
      <c r="A367" s="32"/>
      <c r="B367" s="32"/>
      <c r="C367" s="32"/>
      <c r="D367" s="32"/>
      <c r="E367" s="32"/>
      <c r="F367" s="32"/>
      <c r="G367" s="32"/>
      <c r="H367" s="32"/>
      <c r="I367" s="32"/>
      <c r="J367" s="32"/>
      <c r="K367" s="32"/>
      <c r="L367" s="32"/>
      <c r="M367" s="32"/>
      <c r="N367" s="32"/>
      <c r="O367" s="32"/>
      <c r="P367" s="32"/>
      <c r="Q367" s="32"/>
      <c r="R367" s="32"/>
    </row>
    <row r="368" spans="1:18" s="56" customFormat="1" ht="15" customHeight="1">
      <c r="A368" s="32"/>
      <c r="B368" s="32"/>
      <c r="C368" s="32"/>
      <c r="D368" s="32"/>
      <c r="E368" s="32"/>
      <c r="F368" s="32"/>
      <c r="G368" s="32"/>
      <c r="H368" s="32"/>
      <c r="I368" s="32"/>
      <c r="J368" s="32"/>
      <c r="K368" s="32"/>
      <c r="L368" s="32"/>
      <c r="M368" s="32"/>
      <c r="N368" s="32"/>
      <c r="O368" s="32"/>
      <c r="P368" s="32"/>
      <c r="Q368" s="32"/>
      <c r="R368" s="32"/>
    </row>
    <row r="369" spans="1:18" s="56" customFormat="1" ht="15" customHeight="1">
      <c r="A369" s="32"/>
      <c r="B369" s="32"/>
      <c r="C369" s="32"/>
      <c r="D369" s="32"/>
      <c r="E369" s="32"/>
      <c r="F369" s="32"/>
      <c r="G369" s="32"/>
      <c r="H369" s="32"/>
      <c r="I369" s="32"/>
      <c r="J369" s="32"/>
      <c r="K369" s="32"/>
      <c r="L369" s="32"/>
      <c r="M369" s="32"/>
      <c r="N369" s="32"/>
      <c r="O369" s="32"/>
      <c r="P369" s="32"/>
      <c r="Q369" s="32"/>
      <c r="R369" s="32"/>
    </row>
    <row r="370" spans="1:18" s="56" customFormat="1" ht="15" customHeight="1">
      <c r="A370" s="32"/>
      <c r="B370" s="32"/>
      <c r="C370" s="32"/>
      <c r="D370" s="32"/>
      <c r="E370" s="32"/>
      <c r="F370" s="32"/>
      <c r="G370" s="32"/>
      <c r="H370" s="32"/>
      <c r="I370" s="32"/>
      <c r="J370" s="32"/>
      <c r="K370" s="32"/>
      <c r="L370" s="32"/>
      <c r="M370" s="32"/>
      <c r="N370" s="32"/>
      <c r="O370" s="32"/>
      <c r="P370" s="32"/>
      <c r="Q370" s="32"/>
      <c r="R370" s="32"/>
    </row>
    <row r="371" spans="1:18" s="56" customFormat="1" ht="15" customHeight="1">
      <c r="A371" s="32"/>
      <c r="B371" s="32"/>
      <c r="C371" s="32"/>
      <c r="D371" s="32"/>
      <c r="E371" s="32"/>
      <c r="F371" s="32"/>
      <c r="G371" s="32"/>
      <c r="H371" s="32"/>
      <c r="I371" s="32"/>
      <c r="J371" s="32"/>
      <c r="K371" s="32"/>
      <c r="L371" s="32"/>
      <c r="M371" s="32"/>
      <c r="N371" s="32"/>
      <c r="O371" s="32"/>
      <c r="P371" s="32"/>
      <c r="Q371" s="32"/>
      <c r="R371" s="32"/>
    </row>
    <row r="372" spans="1:18" s="56" customFormat="1" ht="15" customHeight="1">
      <c r="A372" s="32"/>
      <c r="B372" s="32"/>
      <c r="C372" s="32"/>
      <c r="D372" s="32"/>
      <c r="E372" s="32"/>
      <c r="F372" s="32"/>
      <c r="G372" s="32"/>
      <c r="H372" s="32"/>
      <c r="I372" s="32"/>
      <c r="J372" s="32"/>
      <c r="K372" s="32"/>
      <c r="L372" s="32"/>
      <c r="M372" s="32"/>
      <c r="N372" s="32"/>
      <c r="O372" s="32"/>
      <c r="P372" s="32"/>
      <c r="Q372" s="32"/>
      <c r="R372" s="32"/>
    </row>
    <row r="373" spans="1:18" s="56" customFormat="1" ht="15" customHeight="1">
      <c r="A373" s="32"/>
      <c r="B373" s="32"/>
      <c r="C373" s="32"/>
      <c r="D373" s="32"/>
      <c r="E373" s="32"/>
      <c r="F373" s="32"/>
      <c r="G373" s="32"/>
      <c r="H373" s="32"/>
      <c r="I373" s="32"/>
      <c r="J373" s="32"/>
      <c r="K373" s="32"/>
      <c r="L373" s="32"/>
      <c r="M373" s="32"/>
      <c r="N373" s="32"/>
      <c r="O373" s="32"/>
      <c r="P373" s="32"/>
      <c r="Q373" s="32"/>
      <c r="R373" s="32"/>
    </row>
    <row r="374" spans="1:18" s="56" customFormat="1" ht="15" customHeight="1">
      <c r="A374" s="32"/>
      <c r="B374" s="32"/>
      <c r="C374" s="32"/>
      <c r="D374" s="32"/>
      <c r="E374" s="32"/>
      <c r="F374" s="32"/>
      <c r="G374" s="32"/>
      <c r="H374" s="32"/>
      <c r="I374" s="32"/>
      <c r="J374" s="32"/>
      <c r="K374" s="32"/>
      <c r="L374" s="32"/>
      <c r="M374" s="32"/>
      <c r="N374" s="32"/>
      <c r="O374" s="32"/>
      <c r="P374" s="32"/>
      <c r="Q374" s="32"/>
      <c r="R374" s="32"/>
    </row>
    <row r="375" spans="1:18" s="56" customFormat="1" ht="15" customHeight="1">
      <c r="A375" s="32"/>
      <c r="B375" s="32"/>
      <c r="C375" s="32"/>
      <c r="D375" s="32"/>
      <c r="E375" s="32"/>
      <c r="F375" s="32"/>
      <c r="G375" s="32"/>
      <c r="H375" s="32"/>
      <c r="I375" s="32"/>
      <c r="J375" s="32"/>
      <c r="K375" s="32"/>
      <c r="L375" s="32"/>
      <c r="M375" s="32"/>
      <c r="N375" s="32"/>
      <c r="O375" s="32"/>
      <c r="P375" s="32"/>
      <c r="Q375" s="32"/>
      <c r="R375" s="32"/>
    </row>
    <row r="376" spans="1:18" s="56" customFormat="1" ht="15" customHeight="1">
      <c r="A376" s="32"/>
      <c r="B376" s="32"/>
      <c r="C376" s="32"/>
      <c r="D376" s="32"/>
      <c r="E376" s="32"/>
      <c r="F376" s="32"/>
      <c r="G376" s="32"/>
      <c r="H376" s="32"/>
      <c r="I376" s="32"/>
      <c r="J376" s="32"/>
      <c r="K376" s="32"/>
      <c r="L376" s="32"/>
      <c r="M376" s="32"/>
      <c r="N376" s="32"/>
      <c r="O376" s="32"/>
      <c r="P376" s="32"/>
      <c r="Q376" s="32"/>
      <c r="R376" s="32"/>
    </row>
    <row r="377" spans="1:18" s="56" customFormat="1" ht="15" customHeight="1">
      <c r="A377" s="32"/>
      <c r="B377" s="32"/>
      <c r="C377" s="32"/>
      <c r="D377" s="32"/>
      <c r="E377" s="32"/>
      <c r="F377" s="32"/>
      <c r="G377" s="32"/>
      <c r="H377" s="32"/>
      <c r="I377" s="32"/>
      <c r="J377" s="32"/>
      <c r="K377" s="32"/>
      <c r="L377" s="32"/>
      <c r="M377" s="32"/>
      <c r="N377" s="32"/>
      <c r="O377" s="32"/>
      <c r="P377" s="32"/>
      <c r="Q377" s="32"/>
      <c r="R377" s="32"/>
    </row>
    <row r="378" spans="1:18" s="56" customFormat="1" ht="15" customHeight="1">
      <c r="A378" s="32"/>
      <c r="B378" s="32"/>
      <c r="C378" s="32"/>
      <c r="D378" s="32"/>
      <c r="E378" s="32"/>
      <c r="F378" s="32"/>
      <c r="G378" s="32"/>
      <c r="H378" s="32"/>
      <c r="I378" s="32"/>
      <c r="J378" s="32"/>
      <c r="K378" s="32"/>
      <c r="L378" s="32"/>
      <c r="M378" s="32"/>
      <c r="N378" s="32"/>
      <c r="O378" s="32"/>
      <c r="P378" s="32"/>
      <c r="Q378" s="32"/>
      <c r="R378" s="32"/>
    </row>
    <row r="379" spans="1:18" s="56" customFormat="1" ht="15" customHeight="1">
      <c r="A379" s="32"/>
      <c r="B379" s="32"/>
      <c r="C379" s="32"/>
      <c r="D379" s="32"/>
      <c r="E379" s="32"/>
      <c r="F379" s="32"/>
      <c r="G379" s="32"/>
      <c r="H379" s="32"/>
      <c r="I379" s="32"/>
      <c r="J379" s="32"/>
      <c r="K379" s="32"/>
      <c r="L379" s="32"/>
      <c r="M379" s="32"/>
      <c r="N379" s="32"/>
      <c r="O379" s="32"/>
      <c r="P379" s="32"/>
      <c r="Q379" s="32"/>
      <c r="R379" s="32"/>
    </row>
    <row r="380" spans="1:18" s="56" customFormat="1" ht="15" customHeight="1">
      <c r="A380" s="32"/>
      <c r="B380" s="32"/>
      <c r="C380" s="32"/>
      <c r="D380" s="32"/>
      <c r="E380" s="32"/>
      <c r="F380" s="32"/>
      <c r="G380" s="32"/>
      <c r="H380" s="32"/>
      <c r="I380" s="32"/>
      <c r="J380" s="32"/>
      <c r="K380" s="32"/>
      <c r="L380" s="32"/>
      <c r="M380" s="32"/>
      <c r="N380" s="32"/>
      <c r="O380" s="32"/>
      <c r="P380" s="32"/>
      <c r="Q380" s="32"/>
      <c r="R380" s="32"/>
    </row>
    <row r="381" spans="1:18" s="56" customFormat="1" ht="15" customHeight="1">
      <c r="A381" s="32"/>
      <c r="B381" s="32"/>
      <c r="C381" s="32"/>
      <c r="D381" s="32"/>
      <c r="E381" s="32"/>
      <c r="F381" s="32"/>
      <c r="G381" s="32"/>
      <c r="H381" s="32"/>
      <c r="I381" s="32"/>
      <c r="J381" s="32"/>
      <c r="K381" s="32"/>
      <c r="L381" s="32"/>
      <c r="M381" s="32"/>
      <c r="N381" s="32"/>
      <c r="O381" s="32"/>
      <c r="P381" s="32"/>
      <c r="Q381" s="32"/>
      <c r="R381" s="32"/>
    </row>
    <row r="382" spans="1:18" s="56" customFormat="1" ht="15" customHeight="1">
      <c r="A382" s="32"/>
      <c r="B382" s="32"/>
      <c r="C382" s="32"/>
      <c r="D382" s="32"/>
      <c r="E382" s="32"/>
      <c r="F382" s="32"/>
      <c r="G382" s="32"/>
      <c r="H382" s="32"/>
      <c r="I382" s="32"/>
      <c r="J382" s="32"/>
      <c r="K382" s="32"/>
      <c r="L382" s="32"/>
      <c r="M382" s="32"/>
      <c r="N382" s="32"/>
      <c r="O382" s="32"/>
      <c r="P382" s="32"/>
      <c r="Q382" s="32"/>
      <c r="R382" s="32"/>
    </row>
    <row r="383" spans="1:18" s="56" customFormat="1" ht="15" customHeight="1">
      <c r="A383" s="32"/>
      <c r="B383" s="32"/>
      <c r="C383" s="32"/>
      <c r="D383" s="32"/>
      <c r="E383" s="32"/>
      <c r="F383" s="32"/>
      <c r="G383" s="32"/>
      <c r="H383" s="32"/>
      <c r="I383" s="32"/>
      <c r="J383" s="32"/>
      <c r="K383" s="32"/>
      <c r="L383" s="32"/>
      <c r="M383" s="32"/>
      <c r="N383" s="32"/>
      <c r="O383" s="32"/>
      <c r="P383" s="32"/>
      <c r="Q383" s="32"/>
      <c r="R383" s="32"/>
    </row>
    <row r="384" spans="1:18" s="56" customFormat="1" ht="15" customHeight="1">
      <c r="A384" s="32"/>
      <c r="B384" s="32"/>
      <c r="C384" s="32"/>
      <c r="D384" s="32"/>
      <c r="E384" s="32"/>
      <c r="F384" s="32"/>
      <c r="G384" s="32"/>
      <c r="H384" s="32"/>
      <c r="I384" s="32"/>
      <c r="J384" s="32"/>
      <c r="K384" s="32"/>
      <c r="L384" s="32"/>
      <c r="M384" s="32"/>
      <c r="N384" s="32"/>
      <c r="O384" s="32"/>
      <c r="P384" s="32"/>
      <c r="Q384" s="32"/>
      <c r="R384" s="32"/>
    </row>
    <row r="385" spans="1:18" s="56" customFormat="1" ht="15" customHeight="1">
      <c r="A385" s="32"/>
      <c r="B385" s="32"/>
      <c r="C385" s="32"/>
      <c r="D385" s="32"/>
      <c r="E385" s="32"/>
      <c r="F385" s="32"/>
      <c r="G385" s="32"/>
      <c r="H385" s="32"/>
      <c r="I385" s="32"/>
      <c r="J385" s="32"/>
      <c r="K385" s="32"/>
      <c r="L385" s="32"/>
      <c r="M385" s="32"/>
      <c r="N385" s="32"/>
      <c r="O385" s="32"/>
      <c r="P385" s="32"/>
      <c r="Q385" s="32"/>
      <c r="R385" s="32"/>
    </row>
    <row r="386" spans="1:18" s="56" customFormat="1" ht="15" customHeight="1">
      <c r="A386" s="32"/>
      <c r="B386" s="32"/>
      <c r="C386" s="32"/>
      <c r="D386" s="32"/>
      <c r="E386" s="32"/>
      <c r="F386" s="32"/>
      <c r="G386" s="32"/>
      <c r="H386" s="32"/>
      <c r="I386" s="32"/>
      <c r="J386" s="32"/>
      <c r="K386" s="32"/>
      <c r="L386" s="32"/>
      <c r="M386" s="32"/>
      <c r="N386" s="32"/>
      <c r="O386" s="32"/>
      <c r="P386" s="32"/>
      <c r="Q386" s="32"/>
      <c r="R386" s="32"/>
    </row>
    <row r="387" spans="1:18" s="56" customFormat="1" ht="15" customHeight="1">
      <c r="A387" s="32"/>
      <c r="B387" s="32"/>
      <c r="C387" s="32"/>
      <c r="D387" s="32"/>
      <c r="E387" s="32"/>
      <c r="F387" s="32"/>
      <c r="G387" s="32"/>
      <c r="H387" s="32"/>
      <c r="I387" s="32"/>
      <c r="J387" s="32"/>
      <c r="K387" s="32"/>
      <c r="L387" s="32"/>
      <c r="M387" s="32"/>
      <c r="N387" s="32"/>
      <c r="O387" s="32"/>
      <c r="P387" s="32"/>
      <c r="Q387" s="32"/>
      <c r="R387" s="32"/>
    </row>
    <row r="388" spans="1:18" s="56" customFormat="1" ht="15" customHeight="1">
      <c r="A388" s="32"/>
      <c r="B388" s="32"/>
      <c r="C388" s="32"/>
      <c r="D388" s="32"/>
      <c r="E388" s="32"/>
      <c r="F388" s="32"/>
      <c r="G388" s="32"/>
      <c r="H388" s="32"/>
      <c r="I388" s="32"/>
      <c r="J388" s="32"/>
      <c r="K388" s="32"/>
      <c r="L388" s="32"/>
      <c r="M388" s="32"/>
      <c r="N388" s="32"/>
      <c r="O388" s="32"/>
      <c r="P388" s="32"/>
      <c r="Q388" s="32"/>
      <c r="R388" s="32"/>
    </row>
    <row r="389" spans="1:18" s="56" customFormat="1" ht="15" customHeight="1">
      <c r="A389" s="32"/>
      <c r="B389" s="32"/>
      <c r="C389" s="32"/>
      <c r="D389" s="32"/>
      <c r="E389" s="32"/>
      <c r="F389" s="32"/>
      <c r="G389" s="32"/>
      <c r="H389" s="32"/>
      <c r="I389" s="32"/>
      <c r="J389" s="32"/>
      <c r="K389" s="32"/>
      <c r="L389" s="32"/>
      <c r="M389" s="32"/>
      <c r="N389" s="32"/>
      <c r="O389" s="32"/>
      <c r="P389" s="32"/>
      <c r="Q389" s="32"/>
      <c r="R389" s="32"/>
    </row>
    <row r="390" spans="1:18" s="56" customFormat="1" ht="15" customHeight="1">
      <c r="A390" s="32"/>
      <c r="B390" s="32"/>
      <c r="C390" s="32"/>
      <c r="D390" s="32"/>
      <c r="E390" s="32"/>
      <c r="F390" s="32"/>
      <c r="G390" s="32"/>
      <c r="H390" s="32"/>
      <c r="I390" s="32"/>
      <c r="J390" s="32"/>
      <c r="K390" s="32"/>
      <c r="L390" s="32"/>
      <c r="M390" s="32"/>
      <c r="N390" s="32"/>
      <c r="O390" s="32"/>
      <c r="P390" s="32"/>
      <c r="Q390" s="32"/>
      <c r="R390" s="32"/>
    </row>
    <row r="391" spans="1:18" s="56" customFormat="1" ht="15" customHeight="1">
      <c r="A391" s="32"/>
      <c r="B391" s="32"/>
      <c r="C391" s="32"/>
      <c r="D391" s="32"/>
      <c r="E391" s="32"/>
      <c r="F391" s="32"/>
      <c r="G391" s="32"/>
      <c r="H391" s="32"/>
      <c r="I391" s="32"/>
      <c r="J391" s="32"/>
      <c r="K391" s="32"/>
      <c r="L391" s="32"/>
      <c r="M391" s="32"/>
      <c r="N391" s="32"/>
      <c r="O391" s="32"/>
      <c r="P391" s="32"/>
      <c r="Q391" s="32"/>
      <c r="R391" s="32"/>
    </row>
    <row r="392" spans="1:18" s="56" customFormat="1" ht="15" customHeight="1">
      <c r="A392" s="32"/>
      <c r="B392" s="32"/>
      <c r="C392" s="32"/>
      <c r="D392" s="32"/>
      <c r="E392" s="32"/>
      <c r="F392" s="32"/>
      <c r="G392" s="32"/>
      <c r="H392" s="32"/>
      <c r="I392" s="32"/>
      <c r="J392" s="32"/>
      <c r="K392" s="32"/>
      <c r="L392" s="32"/>
      <c r="M392" s="32"/>
      <c r="N392" s="32"/>
      <c r="O392" s="32"/>
      <c r="P392" s="32"/>
      <c r="Q392" s="32"/>
      <c r="R392" s="32"/>
    </row>
    <row r="393" spans="1:18" s="56" customFormat="1" ht="15" customHeight="1">
      <c r="A393" s="32"/>
      <c r="B393" s="32"/>
      <c r="C393" s="32"/>
      <c r="D393" s="32"/>
      <c r="E393" s="32"/>
      <c r="F393" s="32"/>
      <c r="G393" s="32"/>
      <c r="H393" s="32"/>
      <c r="I393" s="32"/>
      <c r="J393" s="32"/>
      <c r="K393" s="32"/>
      <c r="L393" s="32"/>
      <c r="M393" s="32"/>
      <c r="N393" s="32"/>
      <c r="O393" s="32"/>
      <c r="P393" s="32"/>
      <c r="Q393" s="32"/>
      <c r="R393" s="32"/>
    </row>
    <row r="394" spans="1:18" s="56" customFormat="1" ht="15" customHeight="1">
      <c r="A394" s="32"/>
      <c r="B394" s="32"/>
      <c r="C394" s="32"/>
      <c r="D394" s="32"/>
      <c r="E394" s="32"/>
      <c r="F394" s="32"/>
      <c r="G394" s="32"/>
      <c r="H394" s="32"/>
      <c r="I394" s="32"/>
      <c r="J394" s="32"/>
      <c r="K394" s="32"/>
      <c r="L394" s="32"/>
      <c r="M394" s="32"/>
      <c r="N394" s="32"/>
      <c r="O394" s="32"/>
      <c r="P394" s="32"/>
      <c r="Q394" s="32"/>
      <c r="R394" s="32"/>
    </row>
    <row r="395" spans="1:18" s="56" customFormat="1" ht="15" customHeight="1">
      <c r="A395" s="32"/>
      <c r="B395" s="32"/>
      <c r="C395" s="32"/>
      <c r="D395" s="32"/>
      <c r="E395" s="32"/>
      <c r="F395" s="32"/>
      <c r="G395" s="32"/>
      <c r="H395" s="32"/>
      <c r="I395" s="32"/>
      <c r="J395" s="32"/>
      <c r="K395" s="32"/>
      <c r="L395" s="32"/>
      <c r="M395" s="32"/>
      <c r="N395" s="32"/>
      <c r="O395" s="32"/>
      <c r="P395" s="32"/>
      <c r="Q395" s="32"/>
      <c r="R395" s="32"/>
    </row>
    <row r="396" spans="1:18" s="56" customFormat="1" ht="15" customHeight="1">
      <c r="A396" s="32"/>
      <c r="B396" s="32"/>
      <c r="C396" s="32"/>
      <c r="D396" s="32"/>
      <c r="E396" s="32"/>
      <c r="F396" s="32"/>
      <c r="G396" s="32"/>
      <c r="H396" s="32"/>
      <c r="I396" s="32"/>
      <c r="J396" s="32"/>
      <c r="K396" s="32"/>
      <c r="L396" s="32"/>
      <c r="M396" s="32"/>
      <c r="N396" s="32"/>
      <c r="O396" s="32"/>
      <c r="P396" s="32"/>
      <c r="Q396" s="32"/>
      <c r="R396" s="32"/>
    </row>
    <row r="397" spans="1:18" s="56" customFormat="1" ht="15" customHeight="1">
      <c r="A397" s="32"/>
      <c r="B397" s="32"/>
      <c r="C397" s="32"/>
      <c r="D397" s="32"/>
      <c r="E397" s="32"/>
      <c r="F397" s="32"/>
      <c r="G397" s="32"/>
      <c r="H397" s="32"/>
      <c r="I397" s="32"/>
      <c r="J397" s="32"/>
      <c r="K397" s="32"/>
      <c r="L397" s="32"/>
      <c r="M397" s="32"/>
      <c r="N397" s="32"/>
      <c r="O397" s="32"/>
      <c r="P397" s="32"/>
      <c r="Q397" s="32"/>
      <c r="R397" s="32"/>
    </row>
    <row r="398" spans="1:18" s="56" customFormat="1" ht="15" customHeight="1">
      <c r="A398" s="32"/>
      <c r="B398" s="32"/>
      <c r="C398" s="32"/>
      <c r="D398" s="32"/>
      <c r="E398" s="32"/>
      <c r="F398" s="32"/>
      <c r="G398" s="32"/>
      <c r="H398" s="32"/>
      <c r="I398" s="32"/>
      <c r="J398" s="32"/>
      <c r="K398" s="32"/>
      <c r="L398" s="32"/>
      <c r="M398" s="32"/>
      <c r="N398" s="32"/>
      <c r="O398" s="32"/>
      <c r="P398" s="32"/>
      <c r="Q398" s="32"/>
      <c r="R398" s="32"/>
    </row>
    <row r="399" spans="1:18" s="56" customFormat="1" ht="15" customHeight="1">
      <c r="A399" s="32"/>
      <c r="B399" s="32"/>
      <c r="C399" s="32"/>
      <c r="D399" s="32"/>
      <c r="E399" s="32"/>
      <c r="F399" s="32"/>
      <c r="G399" s="32"/>
      <c r="H399" s="32"/>
      <c r="I399" s="32"/>
      <c r="J399" s="32"/>
      <c r="K399" s="32"/>
      <c r="L399" s="32"/>
      <c r="M399" s="32"/>
      <c r="N399" s="32"/>
      <c r="O399" s="32"/>
      <c r="P399" s="32"/>
      <c r="Q399" s="32"/>
      <c r="R399" s="32"/>
    </row>
    <row r="400" spans="1:18" s="56" customFormat="1" ht="15" customHeight="1">
      <c r="A400" s="32"/>
      <c r="B400" s="32"/>
      <c r="C400" s="32"/>
      <c r="D400" s="32"/>
      <c r="E400" s="32"/>
      <c r="F400" s="32"/>
      <c r="G400" s="32"/>
      <c r="H400" s="32"/>
      <c r="I400" s="32"/>
      <c r="J400" s="32"/>
      <c r="K400" s="32"/>
      <c r="L400" s="32"/>
      <c r="M400" s="32"/>
      <c r="N400" s="32"/>
      <c r="O400" s="32"/>
      <c r="P400" s="32"/>
      <c r="Q400" s="32"/>
      <c r="R400" s="32"/>
    </row>
    <row r="401" spans="1:18" s="56" customFormat="1" ht="15" customHeight="1">
      <c r="A401" s="32"/>
      <c r="B401" s="32"/>
      <c r="C401" s="32"/>
      <c r="D401" s="32"/>
      <c r="E401" s="32"/>
      <c r="F401" s="32"/>
      <c r="G401" s="32"/>
      <c r="H401" s="32"/>
      <c r="I401" s="32"/>
      <c r="J401" s="32"/>
      <c r="K401" s="32"/>
      <c r="L401" s="32"/>
      <c r="M401" s="32"/>
      <c r="N401" s="32"/>
      <c r="O401" s="32"/>
      <c r="P401" s="32"/>
      <c r="Q401" s="32"/>
      <c r="R401" s="32"/>
    </row>
    <row r="402" spans="1:18" s="56" customFormat="1" ht="15" customHeight="1">
      <c r="A402" s="32"/>
      <c r="B402" s="32"/>
      <c r="C402" s="32"/>
      <c r="D402" s="32"/>
      <c r="E402" s="32"/>
      <c r="F402" s="32"/>
      <c r="G402" s="32"/>
      <c r="H402" s="32"/>
      <c r="I402" s="32"/>
      <c r="J402" s="32"/>
      <c r="K402" s="32"/>
      <c r="L402" s="32"/>
      <c r="M402" s="32"/>
      <c r="N402" s="32"/>
      <c r="O402" s="32"/>
      <c r="P402" s="32"/>
      <c r="Q402" s="32"/>
      <c r="R402" s="32"/>
    </row>
    <row r="403" spans="1:18" s="56" customFormat="1" ht="15" customHeight="1">
      <c r="A403" s="32"/>
      <c r="B403" s="32"/>
      <c r="C403" s="32"/>
      <c r="D403" s="32"/>
      <c r="E403" s="32"/>
      <c r="F403" s="32"/>
      <c r="G403" s="32"/>
      <c r="H403" s="32"/>
      <c r="I403" s="32"/>
      <c r="J403" s="32"/>
      <c r="K403" s="32"/>
      <c r="L403" s="32"/>
      <c r="M403" s="32"/>
      <c r="N403" s="32"/>
      <c r="O403" s="32"/>
      <c r="P403" s="32"/>
      <c r="Q403" s="32"/>
      <c r="R403" s="32"/>
    </row>
    <row r="404" spans="1:18" s="56" customFormat="1" ht="15" customHeight="1">
      <c r="A404" s="32"/>
      <c r="B404" s="32"/>
      <c r="C404" s="32"/>
      <c r="D404" s="32"/>
      <c r="E404" s="32"/>
      <c r="F404" s="32"/>
      <c r="G404" s="32"/>
      <c r="H404" s="32"/>
      <c r="I404" s="32"/>
      <c r="J404" s="32"/>
      <c r="K404" s="32"/>
      <c r="L404" s="32"/>
      <c r="M404" s="32"/>
      <c r="N404" s="32"/>
      <c r="O404" s="32"/>
      <c r="P404" s="32"/>
      <c r="Q404" s="32"/>
      <c r="R404" s="32"/>
    </row>
    <row r="405" spans="1:18" s="56" customFormat="1" ht="15" customHeight="1">
      <c r="A405" s="32"/>
      <c r="B405" s="32"/>
      <c r="C405" s="32"/>
      <c r="D405" s="32"/>
      <c r="E405" s="32"/>
      <c r="F405" s="32"/>
      <c r="G405" s="32"/>
      <c r="H405" s="32"/>
      <c r="I405" s="32"/>
      <c r="J405" s="32"/>
      <c r="K405" s="32"/>
      <c r="L405" s="32"/>
      <c r="M405" s="32"/>
      <c r="N405" s="32"/>
      <c r="O405" s="32"/>
      <c r="P405" s="32"/>
      <c r="Q405" s="32"/>
      <c r="R405" s="32"/>
    </row>
    <row r="406" spans="1:18" s="56" customFormat="1" ht="15" customHeight="1">
      <c r="A406" s="32"/>
      <c r="B406" s="32"/>
      <c r="C406" s="32"/>
      <c r="D406" s="32"/>
      <c r="E406" s="32"/>
      <c r="F406" s="32"/>
      <c r="G406" s="32"/>
      <c r="H406" s="32"/>
      <c r="I406" s="32"/>
      <c r="J406" s="32"/>
      <c r="K406" s="32"/>
      <c r="L406" s="32"/>
      <c r="M406" s="32"/>
      <c r="N406" s="32"/>
      <c r="O406" s="32"/>
      <c r="P406" s="32"/>
      <c r="Q406" s="32"/>
      <c r="R406" s="32"/>
    </row>
    <row r="407" spans="1:18" s="56" customFormat="1" ht="15" customHeight="1">
      <c r="A407" s="32"/>
      <c r="B407" s="32"/>
      <c r="C407" s="32"/>
      <c r="D407" s="32"/>
      <c r="E407" s="32"/>
      <c r="F407" s="32"/>
      <c r="G407" s="32"/>
      <c r="H407" s="32"/>
      <c r="I407" s="32"/>
      <c r="J407" s="32"/>
      <c r="K407" s="32"/>
      <c r="L407" s="32"/>
      <c r="M407" s="32"/>
      <c r="N407" s="32"/>
      <c r="O407" s="32"/>
      <c r="P407" s="32"/>
      <c r="Q407" s="32"/>
      <c r="R407" s="32"/>
    </row>
    <row r="408" spans="1:18" s="56" customFormat="1" ht="15" customHeight="1">
      <c r="A408" s="32"/>
      <c r="B408" s="32"/>
      <c r="C408" s="32"/>
      <c r="D408" s="32"/>
      <c r="E408" s="32"/>
      <c r="F408" s="32"/>
      <c r="G408" s="32"/>
      <c r="H408" s="32"/>
      <c r="I408" s="32"/>
      <c r="J408" s="32"/>
      <c r="K408" s="32"/>
      <c r="L408" s="32"/>
      <c r="M408" s="32"/>
      <c r="N408" s="32"/>
      <c r="O408" s="32"/>
      <c r="P408" s="32"/>
      <c r="Q408" s="32"/>
      <c r="R408" s="32"/>
    </row>
    <row r="409" spans="1:18" s="56" customFormat="1" ht="15" customHeight="1">
      <c r="A409" s="32"/>
      <c r="B409" s="32"/>
      <c r="C409" s="32"/>
      <c r="D409" s="32"/>
      <c r="E409" s="32"/>
      <c r="F409" s="32"/>
      <c r="G409" s="32"/>
      <c r="H409" s="32"/>
      <c r="I409" s="32"/>
      <c r="J409" s="32"/>
      <c r="K409" s="32"/>
      <c r="L409" s="32"/>
      <c r="M409" s="32"/>
      <c r="N409" s="32"/>
      <c r="O409" s="32"/>
      <c r="P409" s="32"/>
      <c r="Q409" s="32"/>
      <c r="R409" s="32"/>
    </row>
    <row r="410" spans="1:18" s="56" customFormat="1" ht="15" customHeight="1">
      <c r="A410" s="32"/>
      <c r="B410" s="32"/>
      <c r="C410" s="32"/>
      <c r="D410" s="32"/>
      <c r="E410" s="32"/>
      <c r="F410" s="32"/>
      <c r="G410" s="32"/>
      <c r="H410" s="32"/>
      <c r="I410" s="32"/>
      <c r="J410" s="32"/>
      <c r="K410" s="32"/>
      <c r="L410" s="32"/>
      <c r="M410" s="32"/>
      <c r="N410" s="32"/>
      <c r="O410" s="32"/>
      <c r="P410" s="32"/>
      <c r="Q410" s="32"/>
      <c r="R410" s="32"/>
    </row>
    <row r="411" spans="1:18" s="56" customFormat="1" ht="15" customHeight="1">
      <c r="A411" s="32"/>
      <c r="B411" s="32"/>
      <c r="C411" s="32"/>
      <c r="D411" s="32"/>
      <c r="E411" s="32"/>
      <c r="F411" s="32"/>
      <c r="G411" s="32"/>
      <c r="H411" s="32"/>
      <c r="I411" s="32"/>
      <c r="J411" s="32"/>
      <c r="K411" s="32"/>
      <c r="L411" s="32"/>
      <c r="M411" s="32"/>
      <c r="N411" s="32"/>
      <c r="O411" s="32"/>
      <c r="P411" s="32"/>
      <c r="Q411" s="32"/>
      <c r="R411" s="32"/>
    </row>
    <row r="412" spans="1:18" s="56" customFormat="1" ht="15" customHeight="1">
      <c r="A412" s="32"/>
      <c r="B412" s="32"/>
      <c r="C412" s="32"/>
      <c r="D412" s="32"/>
      <c r="E412" s="32"/>
      <c r="F412" s="32"/>
      <c r="G412" s="32"/>
      <c r="H412" s="32"/>
      <c r="I412" s="32"/>
      <c r="J412" s="32"/>
      <c r="K412" s="32"/>
      <c r="L412" s="32"/>
      <c r="M412" s="32"/>
      <c r="N412" s="32"/>
      <c r="O412" s="32"/>
      <c r="P412" s="32"/>
      <c r="Q412" s="32"/>
      <c r="R412" s="32"/>
    </row>
    <row r="413" spans="1:18" s="56" customFormat="1" ht="15" customHeight="1">
      <c r="A413" s="32"/>
      <c r="B413" s="32"/>
      <c r="C413" s="32"/>
      <c r="D413" s="32"/>
      <c r="E413" s="32"/>
      <c r="F413" s="32"/>
      <c r="G413" s="32"/>
      <c r="H413" s="32"/>
      <c r="I413" s="32"/>
      <c r="J413" s="32"/>
      <c r="K413" s="32"/>
      <c r="L413" s="32"/>
      <c r="M413" s="32"/>
      <c r="N413" s="32"/>
      <c r="O413" s="32"/>
      <c r="P413" s="32"/>
      <c r="Q413" s="32"/>
      <c r="R413" s="32"/>
    </row>
    <row r="414" spans="1:18" s="56" customFormat="1" ht="15" customHeight="1">
      <c r="A414" s="32"/>
      <c r="B414" s="32"/>
      <c r="C414" s="32"/>
      <c r="D414" s="32"/>
      <c r="E414" s="32"/>
      <c r="F414" s="32"/>
      <c r="G414" s="32"/>
      <c r="H414" s="32"/>
      <c r="I414" s="32"/>
      <c r="J414" s="32"/>
      <c r="K414" s="32"/>
      <c r="L414" s="32"/>
      <c r="M414" s="32"/>
      <c r="N414" s="32"/>
      <c r="O414" s="32"/>
      <c r="P414" s="32"/>
      <c r="Q414" s="32"/>
      <c r="R414" s="32"/>
    </row>
    <row r="415" spans="1:18" s="56" customFormat="1" ht="15" customHeight="1">
      <c r="A415" s="32"/>
      <c r="B415" s="32"/>
      <c r="C415" s="32"/>
      <c r="D415" s="32"/>
      <c r="E415" s="32"/>
      <c r="F415" s="32"/>
      <c r="G415" s="32"/>
      <c r="H415" s="32"/>
      <c r="I415" s="32"/>
      <c r="J415" s="32"/>
      <c r="K415" s="32"/>
      <c r="L415" s="32"/>
      <c r="M415" s="32"/>
      <c r="N415" s="32"/>
      <c r="O415" s="32"/>
      <c r="P415" s="32"/>
      <c r="Q415" s="32"/>
      <c r="R415" s="32"/>
    </row>
    <row r="416" spans="1:18" s="56" customFormat="1" ht="15" customHeight="1">
      <c r="A416" s="32"/>
      <c r="B416" s="32"/>
      <c r="C416" s="32"/>
      <c r="D416" s="32"/>
      <c r="E416" s="32"/>
      <c r="F416" s="32"/>
      <c r="G416" s="32"/>
      <c r="H416" s="32"/>
      <c r="I416" s="32"/>
      <c r="J416" s="32"/>
      <c r="K416" s="32"/>
      <c r="L416" s="32"/>
      <c r="M416" s="32"/>
      <c r="N416" s="32"/>
      <c r="O416" s="32"/>
      <c r="P416" s="32"/>
      <c r="Q416" s="32"/>
      <c r="R416" s="32"/>
    </row>
    <row r="417" spans="1:18" s="56" customFormat="1" ht="15" customHeight="1">
      <c r="A417" s="32"/>
      <c r="B417" s="32"/>
      <c r="C417" s="32"/>
      <c r="D417" s="32"/>
      <c r="E417" s="32"/>
      <c r="F417" s="32"/>
      <c r="G417" s="32"/>
      <c r="H417" s="32"/>
      <c r="I417" s="32"/>
      <c r="J417" s="32"/>
      <c r="K417" s="32"/>
      <c r="L417" s="32"/>
      <c r="M417" s="32"/>
      <c r="N417" s="32"/>
      <c r="O417" s="32"/>
      <c r="P417" s="32"/>
      <c r="Q417" s="32"/>
      <c r="R417" s="32"/>
    </row>
    <row r="418" spans="1:18" s="56" customFormat="1" ht="15" customHeight="1">
      <c r="A418" s="32"/>
      <c r="B418" s="32"/>
      <c r="C418" s="32"/>
      <c r="D418" s="32"/>
      <c r="E418" s="32"/>
      <c r="F418" s="32"/>
      <c r="G418" s="32"/>
      <c r="H418" s="32"/>
      <c r="I418" s="32"/>
      <c r="J418" s="32"/>
      <c r="K418" s="32"/>
      <c r="L418" s="32"/>
      <c r="M418" s="32"/>
      <c r="N418" s="32"/>
      <c r="O418" s="32"/>
      <c r="P418" s="32"/>
      <c r="Q418" s="32"/>
      <c r="R418" s="32"/>
    </row>
    <row r="419" spans="1:18" s="56" customFormat="1" ht="15" customHeight="1">
      <c r="A419" s="32"/>
      <c r="B419" s="32"/>
      <c r="C419" s="32"/>
      <c r="D419" s="32"/>
      <c r="E419" s="32"/>
      <c r="F419" s="32"/>
      <c r="G419" s="32"/>
      <c r="H419" s="32"/>
      <c r="I419" s="32"/>
      <c r="J419" s="32"/>
      <c r="K419" s="32"/>
      <c r="L419" s="32"/>
      <c r="M419" s="32"/>
      <c r="N419" s="32"/>
      <c r="O419" s="32"/>
      <c r="P419" s="32"/>
      <c r="Q419" s="32"/>
      <c r="R419" s="32"/>
    </row>
    <row r="420" spans="1:18" s="56" customFormat="1" ht="15" customHeight="1">
      <c r="A420" s="32"/>
      <c r="B420" s="32"/>
      <c r="C420" s="32"/>
      <c r="D420" s="32"/>
      <c r="E420" s="32"/>
      <c r="F420" s="32"/>
      <c r="G420" s="32"/>
      <c r="H420" s="32"/>
      <c r="I420" s="32"/>
      <c r="J420" s="32"/>
      <c r="K420" s="32"/>
      <c r="L420" s="32"/>
      <c r="M420" s="32"/>
      <c r="N420" s="32"/>
      <c r="O420" s="32"/>
      <c r="P420" s="32"/>
      <c r="Q420" s="32"/>
      <c r="R420" s="32"/>
    </row>
    <row r="421" spans="1:18" s="56" customFormat="1" ht="15" customHeight="1">
      <c r="A421" s="32"/>
      <c r="B421" s="32"/>
      <c r="C421" s="32"/>
      <c r="D421" s="32"/>
      <c r="E421" s="32"/>
      <c r="F421" s="32"/>
      <c r="G421" s="32"/>
      <c r="H421" s="32"/>
      <c r="I421" s="32"/>
      <c r="J421" s="32"/>
      <c r="K421" s="32"/>
      <c r="L421" s="32"/>
      <c r="M421" s="32"/>
      <c r="N421" s="32"/>
      <c r="O421" s="32"/>
      <c r="P421" s="32"/>
      <c r="Q421" s="32"/>
      <c r="R421" s="32"/>
    </row>
    <row r="422" spans="1:18" s="56" customFormat="1" ht="15" customHeight="1">
      <c r="A422" s="32"/>
      <c r="B422" s="32"/>
      <c r="C422" s="32"/>
      <c r="D422" s="32"/>
      <c r="E422" s="32"/>
      <c r="F422" s="32"/>
      <c r="G422" s="32"/>
      <c r="H422" s="32"/>
      <c r="I422" s="32"/>
      <c r="J422" s="32"/>
      <c r="K422" s="32"/>
      <c r="L422" s="32"/>
      <c r="M422" s="32"/>
      <c r="N422" s="32"/>
      <c r="O422" s="32"/>
      <c r="P422" s="32"/>
      <c r="Q422" s="32"/>
      <c r="R422" s="32"/>
    </row>
    <row r="423" spans="1:18" s="56" customFormat="1" ht="15" customHeight="1">
      <c r="A423" s="32"/>
      <c r="B423" s="32"/>
      <c r="C423" s="32"/>
      <c r="D423" s="32"/>
      <c r="E423" s="32"/>
      <c r="F423" s="32"/>
      <c r="G423" s="32"/>
      <c r="H423" s="32"/>
      <c r="I423" s="32"/>
      <c r="J423" s="32"/>
      <c r="K423" s="32"/>
      <c r="L423" s="32"/>
      <c r="M423" s="32"/>
      <c r="N423" s="32"/>
      <c r="O423" s="32"/>
      <c r="P423" s="32"/>
      <c r="Q423" s="32"/>
      <c r="R423" s="32"/>
    </row>
    <row r="424" spans="1:18" s="56" customFormat="1" ht="15" customHeight="1">
      <c r="A424" s="32"/>
      <c r="B424" s="32"/>
      <c r="C424" s="32"/>
      <c r="D424" s="32"/>
      <c r="E424" s="32"/>
      <c r="F424" s="32"/>
      <c r="G424" s="32"/>
      <c r="H424" s="32"/>
      <c r="I424" s="32"/>
      <c r="J424" s="32"/>
      <c r="K424" s="32"/>
      <c r="L424" s="32"/>
      <c r="M424" s="32"/>
      <c r="N424" s="32"/>
      <c r="O424" s="32"/>
      <c r="P424" s="32"/>
      <c r="Q424" s="32"/>
      <c r="R424" s="32"/>
    </row>
    <row r="425" spans="1:18" s="56" customFormat="1" ht="15" customHeight="1">
      <c r="A425" s="32"/>
      <c r="B425" s="32"/>
      <c r="C425" s="32"/>
      <c r="D425" s="32"/>
      <c r="E425" s="32"/>
      <c r="F425" s="32"/>
      <c r="G425" s="32"/>
      <c r="H425" s="32"/>
      <c r="I425" s="32"/>
      <c r="J425" s="32"/>
      <c r="K425" s="32"/>
      <c r="L425" s="32"/>
      <c r="M425" s="32"/>
      <c r="N425" s="32"/>
      <c r="O425" s="32"/>
      <c r="P425" s="32"/>
      <c r="Q425" s="32"/>
      <c r="R425" s="32"/>
    </row>
    <row r="426" spans="1:18" s="56" customFormat="1" ht="15" customHeight="1">
      <c r="A426" s="32"/>
      <c r="B426" s="32"/>
      <c r="C426" s="32"/>
      <c r="D426" s="32"/>
      <c r="E426" s="32"/>
      <c r="F426" s="32"/>
      <c r="G426" s="32"/>
      <c r="H426" s="32"/>
      <c r="I426" s="32"/>
      <c r="J426" s="32"/>
      <c r="K426" s="32"/>
      <c r="L426" s="32"/>
      <c r="M426" s="32"/>
      <c r="N426" s="32"/>
      <c r="O426" s="32"/>
      <c r="P426" s="32"/>
      <c r="Q426" s="32"/>
      <c r="R426" s="32"/>
    </row>
    <row r="427" spans="1:18" s="56" customFormat="1" ht="15" customHeight="1">
      <c r="A427" s="32"/>
      <c r="B427" s="32"/>
      <c r="C427" s="32"/>
      <c r="D427" s="32"/>
      <c r="E427" s="32"/>
      <c r="F427" s="32"/>
      <c r="G427" s="32"/>
      <c r="H427" s="32"/>
      <c r="I427" s="32"/>
      <c r="J427" s="32"/>
      <c r="K427" s="32"/>
      <c r="L427" s="32"/>
      <c r="M427" s="32"/>
      <c r="N427" s="32"/>
      <c r="O427" s="32"/>
      <c r="P427" s="32"/>
      <c r="Q427" s="32"/>
      <c r="R427" s="32"/>
    </row>
    <row r="428" spans="1:18" s="56" customFormat="1" ht="15" customHeight="1">
      <c r="A428" s="32"/>
      <c r="B428" s="32"/>
      <c r="C428" s="32"/>
      <c r="D428" s="32"/>
      <c r="E428" s="32"/>
      <c r="F428" s="32"/>
      <c r="G428" s="32"/>
      <c r="H428" s="32"/>
      <c r="I428" s="32"/>
      <c r="J428" s="32"/>
      <c r="K428" s="32"/>
      <c r="L428" s="32"/>
      <c r="M428" s="32"/>
      <c r="N428" s="32"/>
      <c r="O428" s="32"/>
      <c r="P428" s="32"/>
      <c r="Q428" s="32"/>
      <c r="R428" s="32"/>
    </row>
    <row r="429" spans="1:18" s="56" customFormat="1" ht="15" customHeight="1">
      <c r="A429" s="32"/>
      <c r="B429" s="32"/>
      <c r="C429" s="32"/>
      <c r="D429" s="32"/>
      <c r="E429" s="32"/>
      <c r="F429" s="32"/>
      <c r="G429" s="32"/>
      <c r="H429" s="32"/>
      <c r="I429" s="32"/>
      <c r="J429" s="32"/>
      <c r="K429" s="32"/>
      <c r="L429" s="32"/>
      <c r="M429" s="32"/>
      <c r="N429" s="32"/>
      <c r="O429" s="32"/>
      <c r="P429" s="32"/>
      <c r="Q429" s="32"/>
      <c r="R429" s="32"/>
    </row>
    <row r="430" spans="1:18" s="56" customFormat="1" ht="15" customHeight="1">
      <c r="A430" s="32"/>
      <c r="B430" s="32"/>
      <c r="C430" s="32"/>
      <c r="D430" s="32"/>
      <c r="E430" s="32"/>
      <c r="F430" s="32"/>
      <c r="G430" s="32"/>
      <c r="H430" s="32"/>
      <c r="I430" s="32"/>
      <c r="J430" s="32"/>
      <c r="K430" s="32"/>
      <c r="L430" s="32"/>
      <c r="M430" s="32"/>
      <c r="N430" s="32"/>
      <c r="O430" s="32"/>
      <c r="P430" s="32"/>
      <c r="Q430" s="32"/>
      <c r="R430" s="32"/>
    </row>
    <row r="431" spans="1:18" s="56" customFormat="1" ht="15" customHeight="1">
      <c r="A431" s="32"/>
      <c r="B431" s="32"/>
      <c r="C431" s="32"/>
      <c r="D431" s="32"/>
      <c r="E431" s="32"/>
      <c r="F431" s="32"/>
      <c r="G431" s="32"/>
      <c r="H431" s="32"/>
      <c r="I431" s="32"/>
      <c r="J431" s="32"/>
      <c r="K431" s="32"/>
      <c r="L431" s="32"/>
      <c r="M431" s="32"/>
      <c r="N431" s="32"/>
      <c r="O431" s="32"/>
      <c r="P431" s="32"/>
      <c r="Q431" s="32"/>
      <c r="R431" s="32"/>
    </row>
    <row r="432" spans="1:18" s="56" customFormat="1" ht="15" customHeight="1">
      <c r="A432" s="32"/>
      <c r="B432" s="32"/>
      <c r="C432" s="32"/>
      <c r="D432" s="32"/>
      <c r="E432" s="32"/>
      <c r="F432" s="32"/>
      <c r="G432" s="32"/>
      <c r="H432" s="32"/>
      <c r="I432" s="32"/>
      <c r="J432" s="32"/>
      <c r="K432" s="32"/>
      <c r="L432" s="32"/>
      <c r="M432" s="32"/>
      <c r="N432" s="32"/>
      <c r="O432" s="32"/>
      <c r="P432" s="32"/>
      <c r="Q432" s="32"/>
      <c r="R432" s="32"/>
    </row>
    <row r="433" spans="1:18" s="56" customFormat="1" ht="15" customHeight="1">
      <c r="A433" s="32"/>
      <c r="B433" s="32"/>
      <c r="C433" s="32"/>
      <c r="D433" s="32"/>
      <c r="E433" s="32"/>
      <c r="F433" s="32"/>
      <c r="G433" s="32"/>
      <c r="H433" s="32"/>
      <c r="I433" s="32"/>
      <c r="J433" s="32"/>
      <c r="K433" s="32"/>
      <c r="L433" s="32"/>
      <c r="M433" s="32"/>
      <c r="N433" s="32"/>
      <c r="O433" s="32"/>
      <c r="P433" s="32"/>
      <c r="Q433" s="32"/>
      <c r="R433" s="32"/>
    </row>
    <row r="434" spans="1:18" s="56" customFormat="1" ht="15" customHeight="1">
      <c r="A434" s="32"/>
      <c r="B434" s="32"/>
      <c r="C434" s="32"/>
      <c r="D434" s="32"/>
      <c r="E434" s="32"/>
      <c r="F434" s="32"/>
      <c r="G434" s="32"/>
      <c r="H434" s="32"/>
      <c r="I434" s="32"/>
      <c r="J434" s="32"/>
      <c r="K434" s="32"/>
      <c r="L434" s="32"/>
      <c r="M434" s="32"/>
      <c r="N434" s="32"/>
      <c r="O434" s="32"/>
      <c r="P434" s="32"/>
      <c r="Q434" s="32"/>
      <c r="R434" s="32"/>
    </row>
    <row r="435" spans="1:18" s="56" customFormat="1" ht="15" customHeight="1">
      <c r="A435" s="32"/>
      <c r="B435" s="32"/>
      <c r="C435" s="32"/>
      <c r="D435" s="32"/>
      <c r="E435" s="32"/>
      <c r="F435" s="32"/>
      <c r="G435" s="32"/>
      <c r="H435" s="32"/>
      <c r="I435" s="32"/>
      <c r="J435" s="32"/>
      <c r="K435" s="32"/>
      <c r="L435" s="32"/>
      <c r="M435" s="32"/>
      <c r="N435" s="32"/>
      <c r="O435" s="32"/>
      <c r="P435" s="32"/>
      <c r="Q435" s="32"/>
      <c r="R435" s="32"/>
    </row>
    <row r="436" spans="1:18" s="56" customFormat="1" ht="15" customHeight="1">
      <c r="A436" s="32"/>
      <c r="B436" s="32"/>
      <c r="C436" s="32"/>
      <c r="D436" s="32"/>
      <c r="E436" s="32"/>
      <c r="F436" s="32"/>
      <c r="G436" s="32"/>
      <c r="H436" s="32"/>
      <c r="I436" s="32"/>
      <c r="J436" s="32"/>
      <c r="K436" s="32"/>
      <c r="L436" s="32"/>
      <c r="M436" s="32"/>
      <c r="N436" s="32"/>
      <c r="O436" s="32"/>
      <c r="P436" s="32"/>
      <c r="Q436" s="32"/>
      <c r="R436" s="32"/>
    </row>
    <row r="437" spans="1:18" s="56" customFormat="1" ht="15" customHeight="1">
      <c r="A437" s="32"/>
      <c r="B437" s="32"/>
      <c r="C437" s="32"/>
      <c r="D437" s="32"/>
      <c r="E437" s="32"/>
      <c r="F437" s="32"/>
      <c r="G437" s="32"/>
      <c r="H437" s="32"/>
      <c r="I437" s="32"/>
      <c r="J437" s="32"/>
      <c r="K437" s="32"/>
      <c r="L437" s="32"/>
      <c r="M437" s="32"/>
      <c r="N437" s="32"/>
      <c r="O437" s="32"/>
      <c r="P437" s="32"/>
      <c r="Q437" s="32"/>
      <c r="R437" s="32"/>
    </row>
    <row r="438" spans="1:18" s="56" customFormat="1" ht="15" customHeight="1">
      <c r="A438" s="32"/>
      <c r="B438" s="32"/>
      <c r="C438" s="32"/>
      <c r="D438" s="32"/>
      <c r="E438" s="32"/>
      <c r="F438" s="32"/>
      <c r="G438" s="32"/>
      <c r="H438" s="32"/>
      <c r="I438" s="32"/>
      <c r="J438" s="32"/>
      <c r="K438" s="32"/>
      <c r="L438" s="32"/>
      <c r="M438" s="32"/>
      <c r="N438" s="32"/>
      <c r="O438" s="32"/>
      <c r="P438" s="32"/>
      <c r="Q438" s="32"/>
      <c r="R438" s="32"/>
    </row>
    <row r="439" spans="1:18" s="56" customFormat="1" ht="15" customHeight="1">
      <c r="A439" s="32"/>
      <c r="B439" s="32"/>
      <c r="C439" s="32"/>
      <c r="D439" s="32"/>
      <c r="E439" s="32"/>
      <c r="F439" s="32"/>
      <c r="G439" s="32"/>
      <c r="H439" s="32"/>
      <c r="I439" s="32"/>
      <c r="J439" s="32"/>
      <c r="K439" s="32"/>
      <c r="L439" s="32"/>
      <c r="M439" s="32"/>
      <c r="N439" s="32"/>
      <c r="O439" s="32"/>
      <c r="P439" s="32"/>
      <c r="Q439" s="32"/>
      <c r="R439" s="32"/>
    </row>
    <row r="440" spans="1:18" s="56" customFormat="1" ht="15" customHeight="1">
      <c r="A440" s="32"/>
      <c r="B440" s="32"/>
      <c r="C440" s="32"/>
      <c r="D440" s="32"/>
      <c r="E440" s="32"/>
      <c r="F440" s="32"/>
      <c r="G440" s="32"/>
      <c r="H440" s="32"/>
      <c r="I440" s="32"/>
      <c r="J440" s="32"/>
      <c r="K440" s="32"/>
      <c r="L440" s="32"/>
      <c r="M440" s="32"/>
      <c r="N440" s="32"/>
      <c r="O440" s="32"/>
      <c r="P440" s="32"/>
      <c r="Q440" s="32"/>
      <c r="R440" s="32"/>
    </row>
    <row r="441" spans="1:18" s="56" customFormat="1" ht="15" customHeight="1">
      <c r="A441" s="32"/>
      <c r="B441" s="32"/>
      <c r="C441" s="32"/>
      <c r="D441" s="32"/>
      <c r="E441" s="32"/>
      <c r="F441" s="32"/>
      <c r="G441" s="32"/>
      <c r="H441" s="32"/>
      <c r="I441" s="32"/>
      <c r="J441" s="32"/>
      <c r="K441" s="32"/>
      <c r="L441" s="32"/>
      <c r="M441" s="32"/>
      <c r="N441" s="32"/>
      <c r="O441" s="32"/>
      <c r="P441" s="32"/>
      <c r="Q441" s="32"/>
      <c r="R441" s="32"/>
    </row>
    <row r="442" spans="1:18" s="56" customFormat="1" ht="15" customHeight="1">
      <c r="A442" s="32"/>
      <c r="B442" s="32"/>
      <c r="C442" s="32"/>
      <c r="D442" s="32"/>
      <c r="E442" s="32"/>
      <c r="F442" s="32"/>
      <c r="G442" s="32"/>
      <c r="H442" s="32"/>
      <c r="I442" s="32"/>
      <c r="J442" s="32"/>
      <c r="K442" s="32"/>
      <c r="L442" s="32"/>
      <c r="M442" s="32"/>
      <c r="N442" s="32"/>
      <c r="O442" s="32"/>
      <c r="P442" s="32"/>
      <c r="Q442" s="32"/>
      <c r="R442" s="32"/>
    </row>
    <row r="443" spans="1:18" s="56" customFormat="1" ht="15" customHeight="1">
      <c r="A443" s="32"/>
      <c r="B443" s="32"/>
      <c r="C443" s="32"/>
      <c r="D443" s="32"/>
      <c r="E443" s="32"/>
      <c r="F443" s="32"/>
      <c r="G443" s="32"/>
      <c r="H443" s="32"/>
      <c r="I443" s="32"/>
      <c r="J443" s="32"/>
      <c r="K443" s="32"/>
      <c r="L443" s="32"/>
      <c r="M443" s="32"/>
      <c r="N443" s="32"/>
      <c r="O443" s="32"/>
      <c r="P443" s="32"/>
      <c r="Q443" s="32"/>
      <c r="R443" s="32"/>
    </row>
    <row r="444" spans="1:18" s="56" customFormat="1" ht="15" customHeight="1">
      <c r="A444" s="32"/>
      <c r="B444" s="32"/>
      <c r="C444" s="32"/>
      <c r="D444" s="32"/>
      <c r="E444" s="32"/>
      <c r="F444" s="32"/>
      <c r="G444" s="32"/>
      <c r="H444" s="32"/>
      <c r="I444" s="32"/>
      <c r="J444" s="32"/>
      <c r="K444" s="32"/>
      <c r="L444" s="32"/>
      <c r="M444" s="32"/>
      <c r="N444" s="32"/>
      <c r="O444" s="32"/>
      <c r="P444" s="32"/>
      <c r="Q444" s="32"/>
      <c r="R444" s="32"/>
    </row>
    <row r="445" spans="1:18" s="56" customFormat="1" ht="15" customHeight="1">
      <c r="A445" s="32"/>
      <c r="B445" s="32"/>
      <c r="C445" s="32"/>
      <c r="D445" s="32"/>
      <c r="E445" s="32"/>
      <c r="F445" s="32"/>
      <c r="G445" s="32"/>
      <c r="H445" s="32"/>
      <c r="I445" s="32"/>
      <c r="J445" s="32"/>
      <c r="K445" s="32"/>
      <c r="L445" s="32"/>
      <c r="M445" s="32"/>
      <c r="N445" s="32"/>
      <c r="O445" s="32"/>
      <c r="P445" s="32"/>
      <c r="Q445" s="32"/>
      <c r="R445" s="32"/>
    </row>
    <row r="446" spans="1:18" s="56" customFormat="1" ht="15" customHeight="1">
      <c r="A446" s="32"/>
      <c r="B446" s="32"/>
      <c r="C446" s="32"/>
      <c r="D446" s="32"/>
      <c r="E446" s="32"/>
      <c r="F446" s="32"/>
      <c r="G446" s="32"/>
      <c r="H446" s="32"/>
      <c r="I446" s="32"/>
      <c r="J446" s="32"/>
      <c r="K446" s="32"/>
      <c r="L446" s="32"/>
      <c r="M446" s="32"/>
      <c r="N446" s="32"/>
      <c r="O446" s="32"/>
      <c r="P446" s="32"/>
      <c r="Q446" s="32"/>
      <c r="R446" s="32"/>
    </row>
    <row r="447" spans="1:18" s="56" customFormat="1" ht="15" customHeight="1">
      <c r="A447" s="32"/>
      <c r="B447" s="32"/>
      <c r="C447" s="32"/>
      <c r="D447" s="32"/>
      <c r="E447" s="32"/>
      <c r="F447" s="32"/>
      <c r="G447" s="32"/>
      <c r="H447" s="32"/>
      <c r="I447" s="32"/>
      <c r="J447" s="32"/>
      <c r="K447" s="32"/>
      <c r="L447" s="32"/>
      <c r="M447" s="32"/>
      <c r="N447" s="32"/>
      <c r="O447" s="32"/>
      <c r="P447" s="32"/>
      <c r="Q447" s="32"/>
      <c r="R447" s="32"/>
    </row>
    <row r="448" spans="1:18" s="56" customFormat="1" ht="15" customHeight="1">
      <c r="A448" s="32"/>
      <c r="B448" s="32"/>
      <c r="C448" s="32"/>
      <c r="D448" s="32"/>
      <c r="E448" s="32"/>
      <c r="F448" s="32"/>
      <c r="G448" s="32"/>
      <c r="H448" s="32"/>
      <c r="I448" s="32"/>
      <c r="J448" s="32"/>
      <c r="K448" s="32"/>
      <c r="L448" s="32"/>
      <c r="M448" s="32"/>
      <c r="N448" s="32"/>
      <c r="O448" s="32"/>
      <c r="P448" s="32"/>
      <c r="Q448" s="32"/>
      <c r="R448" s="32"/>
    </row>
    <row r="449" spans="1:18" s="56" customFormat="1" ht="15" customHeight="1">
      <c r="A449" s="32"/>
      <c r="B449" s="32"/>
      <c r="C449" s="32"/>
      <c r="D449" s="32"/>
      <c r="E449" s="32"/>
      <c r="F449" s="32"/>
      <c r="G449" s="32"/>
      <c r="H449" s="32"/>
      <c r="I449" s="32"/>
      <c r="J449" s="32"/>
      <c r="K449" s="32"/>
      <c r="L449" s="32"/>
      <c r="M449" s="32"/>
      <c r="N449" s="32"/>
      <c r="O449" s="32"/>
      <c r="P449" s="32"/>
      <c r="Q449" s="32"/>
      <c r="R449" s="32"/>
    </row>
    <row r="450" spans="1:18" s="56" customFormat="1" ht="15" customHeight="1">
      <c r="A450" s="32"/>
      <c r="B450" s="32"/>
      <c r="C450" s="32"/>
      <c r="D450" s="32"/>
      <c r="E450" s="32"/>
      <c r="F450" s="32"/>
      <c r="G450" s="32"/>
      <c r="H450" s="32"/>
      <c r="I450" s="32"/>
      <c r="J450" s="32"/>
      <c r="K450" s="32"/>
      <c r="L450" s="32"/>
      <c r="M450" s="32"/>
      <c r="N450" s="32"/>
      <c r="O450" s="32"/>
      <c r="P450" s="32"/>
      <c r="Q450" s="32"/>
      <c r="R450" s="32"/>
    </row>
    <row r="451" spans="1:18" s="56" customFormat="1" ht="15" customHeight="1">
      <c r="A451" s="32"/>
      <c r="B451" s="32"/>
      <c r="C451" s="32"/>
      <c r="D451" s="32"/>
      <c r="E451" s="32"/>
      <c r="F451" s="32"/>
      <c r="G451" s="32"/>
      <c r="H451" s="32"/>
      <c r="I451" s="32"/>
      <c r="J451" s="32"/>
      <c r="K451" s="32"/>
      <c r="L451" s="32"/>
      <c r="M451" s="32"/>
      <c r="N451" s="32"/>
      <c r="O451" s="32"/>
      <c r="P451" s="32"/>
      <c r="Q451" s="32"/>
      <c r="R451" s="32"/>
    </row>
    <row r="452" spans="1:18" s="56" customFormat="1" ht="15" customHeight="1">
      <c r="A452" s="32"/>
      <c r="B452" s="32"/>
      <c r="C452" s="32"/>
      <c r="D452" s="32"/>
      <c r="E452" s="32"/>
      <c r="F452" s="32"/>
      <c r="G452" s="32"/>
      <c r="H452" s="32"/>
      <c r="I452" s="32"/>
      <c r="J452" s="32"/>
      <c r="K452" s="32"/>
      <c r="L452" s="32"/>
      <c r="M452" s="32"/>
      <c r="N452" s="32"/>
      <c r="O452" s="32"/>
      <c r="P452" s="32"/>
      <c r="Q452" s="32"/>
      <c r="R452" s="32"/>
    </row>
    <row r="453" spans="1:18" s="56" customFormat="1" ht="15" customHeight="1">
      <c r="A453" s="32"/>
      <c r="B453" s="32"/>
      <c r="C453" s="32"/>
      <c r="D453" s="32"/>
      <c r="E453" s="32"/>
      <c r="F453" s="32"/>
      <c r="G453" s="32"/>
      <c r="H453" s="32"/>
      <c r="I453" s="32"/>
      <c r="J453" s="32"/>
      <c r="K453" s="32"/>
      <c r="L453" s="32"/>
      <c r="M453" s="32"/>
      <c r="N453" s="32"/>
      <c r="O453" s="32"/>
      <c r="P453" s="32"/>
      <c r="Q453" s="32"/>
      <c r="R453" s="32"/>
    </row>
    <row r="454" spans="1:18" s="56" customFormat="1" ht="15" customHeight="1">
      <c r="A454" s="32"/>
      <c r="B454" s="32"/>
      <c r="C454" s="32"/>
      <c r="D454" s="32"/>
      <c r="E454" s="32"/>
      <c r="F454" s="32"/>
      <c r="G454" s="32"/>
      <c r="H454" s="32"/>
      <c r="I454" s="32"/>
      <c r="J454" s="32"/>
      <c r="K454" s="32"/>
      <c r="L454" s="32"/>
      <c r="M454" s="32"/>
      <c r="N454" s="32"/>
      <c r="O454" s="32"/>
      <c r="P454" s="32"/>
      <c r="Q454" s="32"/>
      <c r="R454" s="32"/>
    </row>
    <row r="455" spans="1:18" s="56" customFormat="1" ht="15" customHeight="1">
      <c r="A455" s="32"/>
      <c r="B455" s="32"/>
      <c r="C455" s="32"/>
      <c r="D455" s="32"/>
      <c r="E455" s="32"/>
      <c r="F455" s="32"/>
      <c r="G455" s="32"/>
      <c r="H455" s="32"/>
      <c r="I455" s="32"/>
      <c r="J455" s="32"/>
      <c r="K455" s="32"/>
      <c r="L455" s="32"/>
      <c r="M455" s="32"/>
      <c r="N455" s="32"/>
      <c r="O455" s="32"/>
      <c r="P455" s="32"/>
      <c r="Q455" s="32"/>
      <c r="R455" s="32"/>
    </row>
    <row r="456" spans="1:18" s="56" customFormat="1" ht="15" customHeight="1">
      <c r="A456" s="32"/>
      <c r="B456" s="32"/>
      <c r="C456" s="32"/>
      <c r="D456" s="32"/>
      <c r="E456" s="32"/>
      <c r="F456" s="32"/>
      <c r="G456" s="32"/>
      <c r="H456" s="32"/>
      <c r="I456" s="32"/>
      <c r="J456" s="32"/>
      <c r="K456" s="32"/>
      <c r="L456" s="32"/>
      <c r="M456" s="32"/>
      <c r="N456" s="32"/>
      <c r="O456" s="32"/>
      <c r="P456" s="32"/>
      <c r="Q456" s="32"/>
      <c r="R456" s="32"/>
    </row>
    <row r="457" spans="1:18" s="56" customFormat="1" ht="15" customHeight="1">
      <c r="A457" s="32"/>
      <c r="B457" s="32"/>
      <c r="C457" s="32"/>
      <c r="D457" s="32"/>
      <c r="E457" s="32"/>
      <c r="F457" s="32"/>
      <c r="G457" s="32"/>
      <c r="H457" s="32"/>
      <c r="I457" s="32"/>
      <c r="J457" s="32"/>
      <c r="K457" s="32"/>
      <c r="L457" s="32"/>
      <c r="M457" s="32"/>
      <c r="N457" s="32"/>
      <c r="O457" s="32"/>
      <c r="P457" s="32"/>
      <c r="Q457" s="32"/>
      <c r="R457" s="32"/>
    </row>
    <row r="458" spans="1:18" s="56" customFormat="1" ht="15" customHeight="1">
      <c r="A458" s="32"/>
      <c r="B458" s="32"/>
      <c r="C458" s="32"/>
      <c r="D458" s="32"/>
      <c r="E458" s="32"/>
      <c r="F458" s="32"/>
      <c r="G458" s="32"/>
      <c r="H458" s="32"/>
      <c r="I458" s="32"/>
      <c r="J458" s="32"/>
      <c r="K458" s="32"/>
      <c r="L458" s="32"/>
      <c r="M458" s="32"/>
      <c r="N458" s="32"/>
      <c r="O458" s="32"/>
      <c r="P458" s="32"/>
      <c r="Q458" s="32"/>
      <c r="R458" s="32"/>
    </row>
    <row r="459" spans="1:18" s="56" customFormat="1" ht="15" customHeight="1">
      <c r="A459" s="32"/>
      <c r="B459" s="32"/>
      <c r="C459" s="32"/>
      <c r="D459" s="32"/>
      <c r="E459" s="32"/>
      <c r="F459" s="32"/>
      <c r="G459" s="32"/>
      <c r="H459" s="32"/>
      <c r="I459" s="32"/>
      <c r="J459" s="32"/>
      <c r="K459" s="32"/>
      <c r="L459" s="32"/>
      <c r="M459" s="32"/>
      <c r="N459" s="32"/>
      <c r="O459" s="32"/>
      <c r="P459" s="32"/>
      <c r="Q459" s="32"/>
      <c r="R459" s="32"/>
    </row>
    <row r="460" spans="1:18" s="56" customFormat="1" ht="15" customHeight="1">
      <c r="A460" s="32"/>
      <c r="B460" s="32"/>
      <c r="C460" s="32"/>
      <c r="D460" s="32"/>
      <c r="E460" s="32"/>
      <c r="F460" s="32"/>
      <c r="G460" s="32"/>
      <c r="H460" s="32"/>
      <c r="I460" s="32"/>
      <c r="J460" s="32"/>
      <c r="K460" s="32"/>
      <c r="L460" s="32"/>
      <c r="M460" s="32"/>
      <c r="N460" s="32"/>
      <c r="O460" s="32"/>
      <c r="P460" s="32"/>
      <c r="Q460" s="32"/>
      <c r="R460" s="32"/>
    </row>
    <row r="461" spans="1:18" s="56" customFormat="1" ht="15" customHeight="1">
      <c r="A461" s="32"/>
      <c r="B461" s="32"/>
      <c r="C461" s="32"/>
      <c r="D461" s="32"/>
      <c r="E461" s="32"/>
      <c r="F461" s="32"/>
      <c r="G461" s="32"/>
      <c r="H461" s="32"/>
      <c r="I461" s="32"/>
      <c r="J461" s="32"/>
      <c r="K461" s="32"/>
      <c r="L461" s="32"/>
      <c r="M461" s="32"/>
      <c r="N461" s="32"/>
      <c r="O461" s="32"/>
      <c r="P461" s="32"/>
      <c r="Q461" s="32"/>
      <c r="R461" s="32"/>
    </row>
    <row r="462" spans="1:18" s="56" customFormat="1" ht="15" customHeight="1">
      <c r="A462" s="32"/>
      <c r="B462" s="32"/>
      <c r="C462" s="32"/>
      <c r="D462" s="32"/>
      <c r="E462" s="32"/>
      <c r="F462" s="32"/>
      <c r="G462" s="32"/>
      <c r="H462" s="32"/>
      <c r="I462" s="32"/>
      <c r="J462" s="32"/>
      <c r="K462" s="32"/>
      <c r="L462" s="32"/>
      <c r="M462" s="32"/>
      <c r="N462" s="32"/>
      <c r="O462" s="32"/>
      <c r="P462" s="32"/>
      <c r="Q462" s="32"/>
      <c r="R462" s="32"/>
    </row>
    <row r="463" spans="1:18" s="56" customFormat="1" ht="15" customHeight="1">
      <c r="A463" s="32"/>
      <c r="B463" s="32"/>
      <c r="C463" s="32"/>
      <c r="D463" s="32"/>
      <c r="E463" s="32"/>
      <c r="F463" s="32"/>
      <c r="G463" s="32"/>
      <c r="H463" s="32"/>
      <c r="I463" s="32"/>
      <c r="J463" s="32"/>
      <c r="K463" s="32"/>
      <c r="L463" s="32"/>
      <c r="M463" s="32"/>
      <c r="N463" s="32"/>
      <c r="O463" s="32"/>
      <c r="P463" s="32"/>
      <c r="Q463" s="32"/>
      <c r="R463" s="32"/>
    </row>
    <row r="464" spans="1:18" s="56" customFormat="1" ht="15" customHeight="1">
      <c r="A464" s="32"/>
      <c r="B464" s="32"/>
      <c r="C464" s="32"/>
      <c r="D464" s="32"/>
      <c r="E464" s="32"/>
      <c r="F464" s="32"/>
      <c r="G464" s="32"/>
      <c r="H464" s="32"/>
      <c r="I464" s="32"/>
      <c r="J464" s="32"/>
      <c r="K464" s="32"/>
      <c r="L464" s="32"/>
      <c r="M464" s="32"/>
      <c r="N464" s="32"/>
      <c r="O464" s="32"/>
      <c r="P464" s="32"/>
      <c r="Q464" s="32"/>
      <c r="R464" s="32"/>
    </row>
    <row r="465" spans="1:18" s="56" customFormat="1" ht="15" customHeight="1">
      <c r="A465" s="32"/>
      <c r="B465" s="32"/>
      <c r="C465" s="32"/>
      <c r="D465" s="32"/>
      <c r="E465" s="32"/>
      <c r="F465" s="32"/>
      <c r="G465" s="32"/>
      <c r="H465" s="32"/>
      <c r="I465" s="32"/>
      <c r="J465" s="32"/>
      <c r="K465" s="32"/>
      <c r="L465" s="32"/>
      <c r="M465" s="32"/>
      <c r="N465" s="32"/>
      <c r="O465" s="32"/>
      <c r="P465" s="32"/>
      <c r="Q465" s="32"/>
      <c r="R465" s="32"/>
    </row>
    <row r="466" spans="1:18" s="56" customFormat="1" ht="15" customHeight="1">
      <c r="A466" s="32"/>
      <c r="B466" s="32"/>
      <c r="C466" s="32"/>
      <c r="D466" s="32"/>
      <c r="E466" s="32"/>
      <c r="F466" s="32"/>
      <c r="G466" s="32"/>
      <c r="H466" s="32"/>
      <c r="I466" s="32"/>
      <c r="J466" s="32"/>
      <c r="K466" s="32"/>
      <c r="L466" s="32"/>
      <c r="M466" s="32"/>
      <c r="N466" s="32"/>
      <c r="O466" s="32"/>
      <c r="P466" s="32"/>
      <c r="Q466" s="32"/>
      <c r="R466" s="32"/>
    </row>
    <row r="467" spans="1:18" s="56" customFormat="1" ht="15" customHeight="1">
      <c r="A467" s="32"/>
      <c r="B467" s="32"/>
      <c r="C467" s="32"/>
      <c r="D467" s="32"/>
      <c r="E467" s="32"/>
      <c r="F467" s="32"/>
      <c r="G467" s="32"/>
      <c r="H467" s="32"/>
      <c r="I467" s="32"/>
      <c r="J467" s="32"/>
      <c r="K467" s="32"/>
      <c r="L467" s="32"/>
      <c r="M467" s="32"/>
      <c r="N467" s="32"/>
      <c r="O467" s="32"/>
      <c r="P467" s="32"/>
      <c r="Q467" s="32"/>
      <c r="R467" s="32"/>
    </row>
    <row r="468" spans="1:18" s="56" customFormat="1" ht="15" customHeight="1">
      <c r="A468" s="32"/>
      <c r="B468" s="32"/>
      <c r="C468" s="32"/>
      <c r="D468" s="32"/>
      <c r="E468" s="32"/>
      <c r="F468" s="32"/>
      <c r="G468" s="32"/>
      <c r="H468" s="32"/>
      <c r="I468" s="32"/>
      <c r="J468" s="32"/>
      <c r="K468" s="32"/>
      <c r="L468" s="32"/>
      <c r="M468" s="32"/>
      <c r="N468" s="32"/>
      <c r="O468" s="32"/>
      <c r="P468" s="32"/>
      <c r="Q468" s="32"/>
      <c r="R468" s="32"/>
    </row>
    <row r="469" spans="1:18" s="56" customFormat="1" ht="15" customHeight="1">
      <c r="A469" s="32"/>
      <c r="B469" s="32"/>
      <c r="C469" s="32"/>
      <c r="D469" s="32"/>
      <c r="E469" s="32"/>
      <c r="F469" s="32"/>
      <c r="G469" s="32"/>
      <c r="H469" s="32"/>
      <c r="I469" s="32"/>
      <c r="J469" s="32"/>
      <c r="K469" s="32"/>
      <c r="L469" s="32"/>
      <c r="M469" s="32"/>
      <c r="N469" s="32"/>
      <c r="O469" s="32"/>
      <c r="P469" s="32"/>
      <c r="Q469" s="32"/>
      <c r="R469" s="32"/>
    </row>
    <row r="470" spans="1:18" s="56" customFormat="1" ht="15" customHeight="1">
      <c r="A470" s="32"/>
      <c r="B470" s="32"/>
      <c r="C470" s="32"/>
      <c r="D470" s="32"/>
      <c r="E470" s="32"/>
      <c r="F470" s="32"/>
      <c r="G470" s="32"/>
      <c r="H470" s="32"/>
      <c r="I470" s="32"/>
      <c r="J470" s="32"/>
      <c r="K470" s="32"/>
      <c r="L470" s="32"/>
      <c r="M470" s="32"/>
      <c r="N470" s="32"/>
      <c r="O470" s="32"/>
      <c r="P470" s="32"/>
      <c r="Q470" s="32"/>
      <c r="R470" s="32"/>
    </row>
    <row r="471" spans="1:18" s="56" customFormat="1" ht="15" customHeight="1">
      <c r="A471" s="32"/>
      <c r="B471" s="32"/>
      <c r="C471" s="32"/>
      <c r="D471" s="32"/>
      <c r="E471" s="32"/>
      <c r="F471" s="32"/>
      <c r="G471" s="32"/>
      <c r="H471" s="32"/>
      <c r="I471" s="32"/>
      <c r="J471" s="32"/>
      <c r="K471" s="32"/>
      <c r="L471" s="32"/>
      <c r="M471" s="32"/>
      <c r="N471" s="32"/>
      <c r="O471" s="32"/>
      <c r="P471" s="32"/>
      <c r="Q471" s="32"/>
      <c r="R471" s="32"/>
    </row>
    <row r="472" spans="1:18" s="56" customFormat="1" ht="15" customHeight="1">
      <c r="A472" s="32"/>
      <c r="B472" s="32"/>
      <c r="C472" s="32"/>
      <c r="D472" s="32"/>
      <c r="E472" s="32"/>
      <c r="F472" s="32"/>
      <c r="G472" s="32"/>
      <c r="H472" s="32"/>
      <c r="I472" s="32"/>
      <c r="J472" s="32"/>
      <c r="K472" s="32"/>
      <c r="L472" s="32"/>
      <c r="M472" s="32"/>
      <c r="N472" s="32"/>
      <c r="O472" s="32"/>
      <c r="P472" s="32"/>
      <c r="Q472" s="32"/>
      <c r="R472" s="32"/>
    </row>
    <row r="473" spans="1:18" s="56" customFormat="1" ht="15" customHeight="1">
      <c r="A473" s="32"/>
      <c r="B473" s="32"/>
      <c r="C473" s="32"/>
      <c r="D473" s="32"/>
      <c r="E473" s="32"/>
      <c r="F473" s="32"/>
      <c r="G473" s="32"/>
      <c r="H473" s="32"/>
      <c r="I473" s="32"/>
      <c r="J473" s="32"/>
      <c r="K473" s="32"/>
      <c r="L473" s="32"/>
      <c r="M473" s="32"/>
      <c r="N473" s="32"/>
      <c r="O473" s="32"/>
      <c r="P473" s="32"/>
      <c r="Q473" s="32"/>
      <c r="R473" s="32"/>
    </row>
    <row r="474" spans="1:18" s="56" customFormat="1" ht="15" customHeight="1">
      <c r="A474" s="32"/>
      <c r="B474" s="32"/>
      <c r="C474" s="32"/>
      <c r="D474" s="32"/>
      <c r="E474" s="32"/>
      <c r="F474" s="32"/>
      <c r="G474" s="32"/>
      <c r="H474" s="32"/>
      <c r="I474" s="32"/>
      <c r="J474" s="32"/>
      <c r="K474" s="32"/>
      <c r="L474" s="32"/>
      <c r="M474" s="32"/>
      <c r="N474" s="32"/>
      <c r="O474" s="32"/>
      <c r="P474" s="32"/>
      <c r="Q474" s="32"/>
      <c r="R474" s="32"/>
    </row>
    <row r="475" spans="1:18" s="56" customFormat="1" ht="15" customHeight="1">
      <c r="A475" s="32"/>
      <c r="B475" s="32"/>
      <c r="C475" s="32"/>
      <c r="D475" s="32"/>
      <c r="E475" s="32"/>
      <c r="F475" s="32"/>
      <c r="G475" s="32"/>
      <c r="H475" s="32"/>
      <c r="I475" s="32"/>
      <c r="J475" s="32"/>
      <c r="K475" s="32"/>
      <c r="L475" s="32"/>
      <c r="M475" s="32"/>
      <c r="N475" s="32"/>
      <c r="O475" s="32"/>
      <c r="P475" s="32"/>
      <c r="Q475" s="32"/>
      <c r="R475" s="32"/>
    </row>
    <row r="476" spans="1:18" s="56" customFormat="1" ht="15" customHeight="1">
      <c r="A476" s="32"/>
      <c r="B476" s="32"/>
      <c r="C476" s="32"/>
      <c r="D476" s="32"/>
      <c r="E476" s="32"/>
      <c r="F476" s="32"/>
      <c r="G476" s="32"/>
      <c r="H476" s="32"/>
      <c r="I476" s="32"/>
      <c r="J476" s="32"/>
      <c r="K476" s="32"/>
      <c r="L476" s="32"/>
      <c r="M476" s="32"/>
      <c r="N476" s="32"/>
      <c r="O476" s="32"/>
      <c r="P476" s="32"/>
      <c r="Q476" s="32"/>
      <c r="R476" s="32"/>
    </row>
    <row r="477" spans="1:18" s="56" customFormat="1" ht="15" customHeight="1">
      <c r="A477" s="32"/>
      <c r="B477" s="32"/>
      <c r="C477" s="32"/>
      <c r="D477" s="32"/>
      <c r="E477" s="32"/>
      <c r="F477" s="32"/>
      <c r="G477" s="32"/>
      <c r="H477" s="32"/>
      <c r="I477" s="32"/>
      <c r="J477" s="32"/>
      <c r="K477" s="32"/>
      <c r="L477" s="32"/>
      <c r="M477" s="32"/>
      <c r="N477" s="32"/>
      <c r="O477" s="32"/>
      <c r="P477" s="32"/>
      <c r="Q477" s="32"/>
      <c r="R477" s="32"/>
    </row>
    <row r="478" spans="1:18" s="56" customFormat="1" ht="15" customHeight="1">
      <c r="A478" s="32"/>
      <c r="B478" s="32"/>
      <c r="C478" s="32"/>
      <c r="D478" s="32"/>
      <c r="E478" s="32"/>
      <c r="F478" s="32"/>
      <c r="G478" s="32"/>
      <c r="H478" s="32"/>
      <c r="I478" s="32"/>
      <c r="J478" s="32"/>
      <c r="K478" s="32"/>
      <c r="L478" s="32"/>
      <c r="M478" s="32"/>
      <c r="N478" s="32"/>
      <c r="O478" s="32"/>
      <c r="P478" s="32"/>
      <c r="Q478" s="32"/>
      <c r="R478" s="32"/>
    </row>
    <row r="479" spans="1:18" s="56" customFormat="1" ht="15" customHeight="1">
      <c r="A479" s="32"/>
      <c r="B479" s="32"/>
      <c r="C479" s="32"/>
      <c r="D479" s="32"/>
      <c r="E479" s="32"/>
      <c r="F479" s="32"/>
      <c r="G479" s="32"/>
      <c r="H479" s="32"/>
      <c r="I479" s="32"/>
      <c r="J479" s="32"/>
      <c r="K479" s="32"/>
      <c r="L479" s="32"/>
      <c r="M479" s="32"/>
      <c r="N479" s="32"/>
      <c r="O479" s="32"/>
      <c r="P479" s="32"/>
      <c r="Q479" s="32"/>
      <c r="R479" s="32"/>
    </row>
    <row r="480" spans="1:18" s="56" customFormat="1" ht="15" customHeight="1">
      <c r="A480" s="32"/>
      <c r="B480" s="32"/>
      <c r="C480" s="32"/>
      <c r="D480" s="32"/>
      <c r="E480" s="32"/>
      <c r="F480" s="32"/>
      <c r="G480" s="32"/>
      <c r="H480" s="32"/>
      <c r="I480" s="32"/>
      <c r="J480" s="32"/>
      <c r="K480" s="32"/>
      <c r="L480" s="32"/>
      <c r="M480" s="32"/>
      <c r="N480" s="32"/>
      <c r="O480" s="32"/>
      <c r="P480" s="32"/>
      <c r="Q480" s="32"/>
      <c r="R480" s="32"/>
    </row>
    <row r="481" spans="1:18" s="56" customFormat="1" ht="15" customHeight="1">
      <c r="A481" s="32"/>
      <c r="B481" s="32"/>
      <c r="C481" s="32"/>
      <c r="D481" s="32"/>
      <c r="E481" s="32"/>
      <c r="F481" s="32"/>
      <c r="G481" s="32"/>
      <c r="H481" s="32"/>
      <c r="I481" s="32"/>
      <c r="J481" s="32"/>
      <c r="K481" s="32"/>
      <c r="L481" s="32"/>
      <c r="M481" s="32"/>
      <c r="N481" s="32"/>
      <c r="O481" s="32"/>
      <c r="P481" s="32"/>
      <c r="Q481" s="32"/>
      <c r="R481" s="32"/>
    </row>
    <row r="482" spans="1:18" s="56" customFormat="1" ht="15" customHeight="1">
      <c r="A482" s="32"/>
      <c r="B482" s="32"/>
      <c r="C482" s="32"/>
      <c r="D482" s="32"/>
      <c r="E482" s="32"/>
      <c r="F482" s="32"/>
      <c r="G482" s="32"/>
      <c r="H482" s="32"/>
      <c r="I482" s="32"/>
      <c r="J482" s="32"/>
      <c r="K482" s="32"/>
      <c r="L482" s="32"/>
      <c r="M482" s="32"/>
      <c r="N482" s="32"/>
      <c r="O482" s="32"/>
      <c r="P482" s="32"/>
      <c r="Q482" s="32"/>
      <c r="R482" s="32"/>
    </row>
    <row r="483" spans="1:18" s="56" customFormat="1" ht="15" customHeight="1">
      <c r="A483" s="32"/>
      <c r="B483" s="32"/>
      <c r="C483" s="32"/>
      <c r="D483" s="32"/>
      <c r="E483" s="32"/>
      <c r="F483" s="32"/>
      <c r="G483" s="32"/>
      <c r="H483" s="32"/>
      <c r="I483" s="32"/>
      <c r="J483" s="32"/>
      <c r="K483" s="32"/>
      <c r="L483" s="32"/>
      <c r="M483" s="32"/>
      <c r="N483" s="32"/>
      <c r="O483" s="32"/>
      <c r="P483" s="32"/>
      <c r="Q483" s="32"/>
      <c r="R483" s="32"/>
    </row>
    <row r="484" spans="1:18" s="56" customFormat="1" ht="15" customHeight="1">
      <c r="A484" s="32"/>
      <c r="B484" s="32"/>
      <c r="C484" s="32"/>
      <c r="D484" s="32"/>
      <c r="E484" s="32"/>
      <c r="F484" s="32"/>
      <c r="G484" s="32"/>
      <c r="H484" s="32"/>
      <c r="I484" s="32"/>
      <c r="J484" s="32"/>
      <c r="K484" s="32"/>
      <c r="L484" s="32"/>
      <c r="M484" s="32"/>
      <c r="N484" s="32"/>
      <c r="O484" s="32"/>
      <c r="P484" s="32"/>
      <c r="Q484" s="32"/>
      <c r="R484" s="32"/>
    </row>
    <row r="485" spans="1:18" s="56" customFormat="1" ht="15" customHeight="1">
      <c r="A485" s="32"/>
      <c r="B485" s="32"/>
      <c r="C485" s="32"/>
      <c r="D485" s="32"/>
      <c r="E485" s="32"/>
      <c r="F485" s="32"/>
      <c r="G485" s="32"/>
      <c r="H485" s="32"/>
      <c r="I485" s="32"/>
      <c r="J485" s="32"/>
      <c r="K485" s="32"/>
      <c r="L485" s="32"/>
      <c r="M485" s="32"/>
      <c r="N485" s="32"/>
      <c r="O485" s="32"/>
      <c r="P485" s="32"/>
      <c r="Q485" s="32"/>
      <c r="R485" s="32"/>
    </row>
    <row r="486" spans="1:18" s="56" customFormat="1" ht="15" customHeight="1">
      <c r="A486" s="32"/>
      <c r="B486" s="32"/>
      <c r="C486" s="32"/>
      <c r="D486" s="32"/>
      <c r="E486" s="32"/>
      <c r="F486" s="32"/>
      <c r="G486" s="32"/>
      <c r="H486" s="32"/>
      <c r="I486" s="32"/>
      <c r="J486" s="32"/>
      <c r="K486" s="32"/>
      <c r="L486" s="32"/>
      <c r="M486" s="32"/>
      <c r="N486" s="32"/>
      <c r="O486" s="32"/>
      <c r="P486" s="32"/>
      <c r="Q486" s="32"/>
      <c r="R486" s="32"/>
    </row>
    <row r="487" spans="1:18" s="56" customFormat="1" ht="15" customHeight="1">
      <c r="A487" s="32"/>
      <c r="B487" s="32"/>
      <c r="C487" s="32"/>
      <c r="D487" s="32"/>
      <c r="E487" s="32"/>
      <c r="F487" s="32"/>
      <c r="G487" s="32"/>
      <c r="H487" s="32"/>
      <c r="I487" s="32"/>
      <c r="J487" s="32"/>
      <c r="K487" s="32"/>
      <c r="L487" s="32"/>
      <c r="M487" s="32"/>
      <c r="N487" s="32"/>
      <c r="O487" s="32"/>
      <c r="P487" s="32"/>
      <c r="Q487" s="32"/>
      <c r="R487" s="32"/>
    </row>
    <row r="488" spans="1:18" s="56" customFormat="1" ht="15" customHeight="1">
      <c r="A488" s="32"/>
      <c r="B488" s="32"/>
      <c r="C488" s="32"/>
      <c r="D488" s="32"/>
      <c r="E488" s="32"/>
      <c r="F488" s="32"/>
      <c r="G488" s="32"/>
      <c r="H488" s="32"/>
      <c r="I488" s="32"/>
      <c r="J488" s="32"/>
      <c r="K488" s="32"/>
      <c r="L488" s="32"/>
      <c r="M488" s="32"/>
      <c r="N488" s="32"/>
      <c r="O488" s="32"/>
      <c r="P488" s="32"/>
      <c r="Q488" s="32"/>
      <c r="R488" s="32"/>
    </row>
    <row r="489" spans="1:18" s="56" customFormat="1" ht="15" customHeight="1">
      <c r="A489" s="32"/>
      <c r="B489" s="32"/>
      <c r="C489" s="32"/>
      <c r="D489" s="32"/>
      <c r="E489" s="32"/>
      <c r="F489" s="32"/>
      <c r="G489" s="32"/>
      <c r="H489" s="32"/>
      <c r="I489" s="32"/>
      <c r="J489" s="32"/>
      <c r="K489" s="32"/>
      <c r="L489" s="32"/>
      <c r="M489" s="32"/>
      <c r="N489" s="32"/>
      <c r="O489" s="32"/>
      <c r="P489" s="32"/>
      <c r="Q489" s="32"/>
      <c r="R489" s="32"/>
    </row>
    <row r="490" spans="1:18" s="56" customFormat="1" ht="15" customHeight="1">
      <c r="A490" s="32"/>
      <c r="B490" s="32"/>
      <c r="C490" s="32"/>
      <c r="D490" s="32"/>
      <c r="E490" s="32"/>
      <c r="F490" s="32"/>
      <c r="G490" s="32"/>
      <c r="H490" s="32"/>
      <c r="I490" s="32"/>
      <c r="J490" s="32"/>
      <c r="K490" s="32"/>
      <c r="L490" s="32"/>
      <c r="M490" s="32"/>
      <c r="N490" s="32"/>
      <c r="O490" s="32"/>
      <c r="P490" s="32"/>
      <c r="Q490" s="32"/>
      <c r="R490" s="32"/>
    </row>
    <row r="491" spans="1:18" s="56" customFormat="1" ht="15" customHeight="1">
      <c r="A491" s="32"/>
      <c r="B491" s="32"/>
      <c r="C491" s="32"/>
      <c r="D491" s="32"/>
      <c r="E491" s="32"/>
      <c r="F491" s="32"/>
      <c r="G491" s="32"/>
      <c r="H491" s="32"/>
      <c r="I491" s="32"/>
      <c r="J491" s="32"/>
      <c r="K491" s="32"/>
      <c r="L491" s="32"/>
      <c r="M491" s="32"/>
      <c r="N491" s="32"/>
      <c r="O491" s="32"/>
      <c r="P491" s="32"/>
      <c r="Q491" s="32"/>
      <c r="R491" s="32"/>
    </row>
    <row r="492" spans="1:18" s="56" customFormat="1" ht="15" customHeight="1">
      <c r="A492" s="32"/>
      <c r="B492" s="32"/>
      <c r="C492" s="32"/>
      <c r="D492" s="32"/>
      <c r="E492" s="32"/>
      <c r="F492" s="32"/>
      <c r="G492" s="32"/>
      <c r="H492" s="32"/>
      <c r="I492" s="32"/>
      <c r="J492" s="32"/>
      <c r="K492" s="32"/>
      <c r="L492" s="32"/>
      <c r="M492" s="32"/>
      <c r="N492" s="32"/>
      <c r="O492" s="32"/>
      <c r="P492" s="32"/>
      <c r="Q492" s="32"/>
      <c r="R492" s="32"/>
    </row>
    <row r="493" spans="1:18" s="56" customFormat="1" ht="15" customHeight="1">
      <c r="A493" s="32"/>
      <c r="B493" s="32"/>
      <c r="C493" s="32"/>
      <c r="D493" s="32"/>
      <c r="E493" s="32"/>
      <c r="F493" s="32"/>
      <c r="G493" s="32"/>
      <c r="H493" s="32"/>
      <c r="I493" s="32"/>
      <c r="J493" s="32"/>
      <c r="K493" s="32"/>
      <c r="L493" s="32"/>
      <c r="M493" s="32"/>
      <c r="N493" s="32"/>
      <c r="O493" s="32"/>
      <c r="P493" s="32"/>
      <c r="Q493" s="32"/>
      <c r="R493" s="32"/>
    </row>
    <row r="494" spans="1:18" s="56" customFormat="1" ht="15" customHeight="1">
      <c r="A494" s="32"/>
      <c r="B494" s="32"/>
      <c r="C494" s="32"/>
      <c r="D494" s="32"/>
      <c r="E494" s="32"/>
      <c r="F494" s="32"/>
      <c r="G494" s="32"/>
      <c r="H494" s="32"/>
      <c r="I494" s="32"/>
      <c r="J494" s="32"/>
      <c r="K494" s="32"/>
      <c r="L494" s="32"/>
      <c r="M494" s="32"/>
      <c r="N494" s="32"/>
      <c r="O494" s="32"/>
      <c r="P494" s="32"/>
      <c r="Q494" s="32"/>
      <c r="R494" s="32"/>
    </row>
    <row r="495" spans="1:18" s="56" customFormat="1" ht="15" customHeight="1">
      <c r="A495" s="32"/>
      <c r="B495" s="32"/>
      <c r="C495" s="32"/>
      <c r="D495" s="32"/>
      <c r="E495" s="32"/>
      <c r="F495" s="32"/>
      <c r="G495" s="32"/>
      <c r="H495" s="32"/>
      <c r="I495" s="32"/>
      <c r="J495" s="32"/>
      <c r="K495" s="32"/>
      <c r="L495" s="32"/>
      <c r="M495" s="32"/>
      <c r="N495" s="32"/>
      <c r="O495" s="32"/>
      <c r="P495" s="32"/>
      <c r="Q495" s="32"/>
      <c r="R495" s="32"/>
    </row>
    <row r="496" spans="1:18" s="56" customFormat="1" ht="15" customHeight="1">
      <c r="A496" s="32"/>
      <c r="B496" s="32"/>
      <c r="C496" s="32"/>
      <c r="D496" s="32"/>
      <c r="E496" s="32"/>
      <c r="F496" s="32"/>
      <c r="G496" s="32"/>
      <c r="H496" s="32"/>
      <c r="I496" s="32"/>
      <c r="J496" s="32"/>
      <c r="K496" s="32"/>
      <c r="L496" s="32"/>
      <c r="M496" s="32"/>
      <c r="N496" s="32"/>
      <c r="O496" s="32"/>
      <c r="P496" s="32"/>
      <c r="Q496" s="32"/>
      <c r="R496" s="32"/>
    </row>
    <row r="497" spans="1:18" s="56" customFormat="1" ht="15" customHeight="1">
      <c r="A497" s="32"/>
      <c r="B497" s="32"/>
      <c r="C497" s="32"/>
      <c r="D497" s="32"/>
      <c r="E497" s="32"/>
      <c r="F497" s="32"/>
      <c r="G497" s="32"/>
      <c r="H497" s="32"/>
      <c r="I497" s="32"/>
      <c r="J497" s="32"/>
      <c r="K497" s="32"/>
      <c r="L497" s="32"/>
      <c r="M497" s="32"/>
      <c r="N497" s="32"/>
      <c r="O497" s="32"/>
      <c r="P497" s="32"/>
      <c r="Q497" s="32"/>
      <c r="R497" s="32"/>
    </row>
    <row r="498" spans="1:18" s="56" customFormat="1" ht="15" customHeight="1">
      <c r="A498" s="32"/>
      <c r="B498" s="32"/>
      <c r="C498" s="32"/>
      <c r="D498" s="32"/>
      <c r="E498" s="32"/>
      <c r="F498" s="32"/>
      <c r="G498" s="32"/>
      <c r="H498" s="32"/>
      <c r="I498" s="32"/>
      <c r="J498" s="32"/>
      <c r="K498" s="32"/>
      <c r="L498" s="32"/>
      <c r="M498" s="32"/>
      <c r="N498" s="32"/>
      <c r="O498" s="32"/>
      <c r="P498" s="32"/>
      <c r="Q498" s="32"/>
      <c r="R498" s="32"/>
    </row>
    <row r="499" spans="1:18" s="56" customFormat="1" ht="15" customHeight="1">
      <c r="A499" s="32"/>
      <c r="B499" s="32"/>
      <c r="C499" s="32"/>
      <c r="D499" s="32"/>
      <c r="E499" s="32"/>
      <c r="F499" s="32"/>
      <c r="G499" s="32"/>
      <c r="H499" s="32"/>
      <c r="I499" s="32"/>
      <c r="J499" s="32"/>
      <c r="K499" s="32"/>
      <c r="L499" s="32"/>
      <c r="M499" s="32"/>
      <c r="N499" s="32"/>
      <c r="O499" s="32"/>
      <c r="P499" s="32"/>
      <c r="Q499" s="32"/>
      <c r="R499" s="32"/>
    </row>
    <row r="500" spans="1:18" s="56" customFormat="1" ht="15" customHeight="1">
      <c r="A500" s="32"/>
      <c r="B500" s="32"/>
      <c r="C500" s="32"/>
      <c r="D500" s="32"/>
      <c r="E500" s="32"/>
      <c r="F500" s="32"/>
      <c r="G500" s="32"/>
      <c r="H500" s="32"/>
      <c r="I500" s="32"/>
      <c r="J500" s="32"/>
      <c r="K500" s="32"/>
      <c r="L500" s="32"/>
      <c r="M500" s="32"/>
      <c r="N500" s="32"/>
      <c r="O500" s="32"/>
      <c r="P500" s="32"/>
      <c r="Q500" s="32"/>
      <c r="R500" s="32"/>
    </row>
    <row r="501" spans="1:18" s="56" customFormat="1" ht="15" customHeight="1">
      <c r="A501" s="32"/>
      <c r="B501" s="32"/>
      <c r="C501" s="32"/>
      <c r="D501" s="32"/>
      <c r="E501" s="32"/>
      <c r="F501" s="32"/>
      <c r="G501" s="32"/>
      <c r="H501" s="32"/>
      <c r="I501" s="32"/>
      <c r="J501" s="32"/>
      <c r="K501" s="32"/>
      <c r="L501" s="32"/>
      <c r="M501" s="32"/>
      <c r="N501" s="32"/>
      <c r="O501" s="32"/>
      <c r="P501" s="32"/>
      <c r="Q501" s="32"/>
      <c r="R501" s="32"/>
    </row>
    <row r="502" spans="1:18" s="56" customFormat="1" ht="15" customHeight="1">
      <c r="A502" s="32"/>
      <c r="B502" s="32"/>
      <c r="C502" s="32"/>
      <c r="D502" s="32"/>
      <c r="E502" s="32"/>
      <c r="F502" s="32"/>
      <c r="G502" s="32"/>
      <c r="H502" s="32"/>
      <c r="I502" s="32"/>
      <c r="J502" s="32"/>
      <c r="K502" s="32"/>
      <c r="L502" s="32"/>
      <c r="M502" s="32"/>
      <c r="N502" s="32"/>
      <c r="O502" s="32"/>
      <c r="P502" s="32"/>
      <c r="Q502" s="32"/>
      <c r="R502" s="32"/>
    </row>
    <row r="503" spans="1:18" s="56" customFormat="1" ht="15" customHeight="1">
      <c r="A503" s="32"/>
      <c r="B503" s="32"/>
      <c r="C503" s="32"/>
      <c r="D503" s="32"/>
      <c r="E503" s="32"/>
      <c r="F503" s="32"/>
      <c r="G503" s="32"/>
      <c r="H503" s="32"/>
      <c r="I503" s="32"/>
      <c r="J503" s="32"/>
      <c r="K503" s="32"/>
      <c r="L503" s="32"/>
      <c r="M503" s="32"/>
      <c r="N503" s="32"/>
      <c r="O503" s="32"/>
      <c r="P503" s="32"/>
      <c r="Q503" s="32"/>
      <c r="R503" s="32"/>
    </row>
    <row r="504" spans="1:18" s="56" customFormat="1" ht="15" customHeight="1">
      <c r="A504" s="32"/>
      <c r="B504" s="32"/>
      <c r="C504" s="32"/>
      <c r="D504" s="32"/>
      <c r="E504" s="32"/>
      <c r="F504" s="32"/>
      <c r="G504" s="32"/>
      <c r="H504" s="32"/>
      <c r="I504" s="32"/>
      <c r="J504" s="32"/>
      <c r="K504" s="32"/>
      <c r="L504" s="32"/>
      <c r="M504" s="32"/>
      <c r="N504" s="32"/>
      <c r="O504" s="32"/>
      <c r="P504" s="32"/>
      <c r="Q504" s="32"/>
      <c r="R504" s="32"/>
    </row>
    <row r="505" spans="1:18" s="56" customFormat="1" ht="15" customHeight="1">
      <c r="A505" s="32"/>
      <c r="B505" s="32"/>
      <c r="C505" s="32"/>
      <c r="D505" s="32"/>
      <c r="E505" s="32"/>
      <c r="F505" s="32"/>
      <c r="G505" s="32"/>
      <c r="H505" s="32"/>
      <c r="I505" s="32"/>
      <c r="J505" s="32"/>
      <c r="K505" s="32"/>
      <c r="L505" s="32"/>
      <c r="M505" s="32"/>
      <c r="N505" s="32"/>
      <c r="O505" s="32"/>
      <c r="P505" s="32"/>
      <c r="Q505" s="32"/>
      <c r="R505" s="32"/>
    </row>
    <row r="506" spans="1:18" s="56" customFormat="1" ht="15" customHeight="1">
      <c r="A506" s="32"/>
      <c r="B506" s="32"/>
      <c r="C506" s="32"/>
      <c r="D506" s="32"/>
      <c r="E506" s="32"/>
      <c r="F506" s="32"/>
      <c r="G506" s="32"/>
      <c r="H506" s="32"/>
      <c r="I506" s="32"/>
      <c r="J506" s="32"/>
      <c r="K506" s="32"/>
      <c r="L506" s="32"/>
      <c r="M506" s="32"/>
      <c r="N506" s="32"/>
      <c r="O506" s="32"/>
      <c r="P506" s="32"/>
      <c r="Q506" s="32"/>
      <c r="R506" s="32"/>
    </row>
    <row r="507" spans="1:18" s="56" customFormat="1" ht="15" customHeight="1">
      <c r="A507" s="32"/>
      <c r="B507" s="32"/>
      <c r="C507" s="32"/>
      <c r="D507" s="32"/>
      <c r="E507" s="32"/>
      <c r="F507" s="32"/>
      <c r="G507" s="32"/>
      <c r="H507" s="32"/>
      <c r="I507" s="32"/>
      <c r="J507" s="32"/>
      <c r="K507" s="32"/>
      <c r="L507" s="32"/>
      <c r="M507" s="32"/>
      <c r="N507" s="32"/>
      <c r="O507" s="32"/>
      <c r="P507" s="32"/>
      <c r="Q507" s="32"/>
      <c r="R507" s="32"/>
    </row>
    <row r="508" spans="1:18" s="56" customFormat="1" ht="15" customHeight="1">
      <c r="A508" s="32"/>
      <c r="B508" s="32"/>
      <c r="C508" s="32"/>
      <c r="D508" s="32"/>
      <c r="E508" s="32"/>
      <c r="F508" s="32"/>
      <c r="G508" s="32"/>
      <c r="H508" s="32"/>
      <c r="I508" s="32"/>
      <c r="J508" s="32"/>
      <c r="K508" s="32"/>
      <c r="L508" s="32"/>
      <c r="M508" s="32"/>
      <c r="N508" s="32"/>
      <c r="O508" s="32"/>
      <c r="P508" s="32"/>
      <c r="Q508" s="32"/>
      <c r="R508" s="32"/>
    </row>
    <row r="509" spans="1:18" s="56" customFormat="1" ht="15" customHeight="1">
      <c r="A509" s="32"/>
      <c r="B509" s="32"/>
      <c r="C509" s="32"/>
      <c r="D509" s="32"/>
      <c r="E509" s="32"/>
      <c r="F509" s="32"/>
      <c r="G509" s="32"/>
      <c r="H509" s="32"/>
      <c r="I509" s="32"/>
      <c r="J509" s="32"/>
      <c r="K509" s="32"/>
      <c r="L509" s="32"/>
      <c r="M509" s="32"/>
      <c r="N509" s="32"/>
      <c r="O509" s="32"/>
      <c r="P509" s="32"/>
      <c r="Q509" s="32"/>
      <c r="R509" s="32"/>
    </row>
    <row r="510" spans="1:18" s="56" customFormat="1" ht="15" customHeight="1">
      <c r="A510" s="32"/>
      <c r="B510" s="32"/>
      <c r="C510" s="32"/>
      <c r="D510" s="32"/>
      <c r="E510" s="32"/>
      <c r="F510" s="32"/>
      <c r="G510" s="32"/>
      <c r="H510" s="32"/>
      <c r="I510" s="32"/>
      <c r="J510" s="32"/>
      <c r="K510" s="32"/>
      <c r="L510" s="32"/>
      <c r="M510" s="32"/>
      <c r="N510" s="32"/>
      <c r="O510" s="32"/>
      <c r="P510" s="32"/>
      <c r="Q510" s="32"/>
      <c r="R510" s="32"/>
    </row>
    <row r="511" spans="1:18" s="56" customFormat="1" ht="15" customHeight="1">
      <c r="A511" s="32"/>
      <c r="B511" s="32"/>
      <c r="C511" s="32"/>
      <c r="D511" s="32"/>
      <c r="E511" s="32"/>
      <c r="F511" s="32"/>
      <c r="G511" s="32"/>
      <c r="H511" s="32"/>
      <c r="I511" s="32"/>
      <c r="J511" s="32"/>
      <c r="K511" s="32"/>
      <c r="L511" s="32"/>
      <c r="M511" s="32"/>
      <c r="N511" s="32"/>
      <c r="O511" s="32"/>
      <c r="P511" s="32"/>
      <c r="Q511" s="32"/>
      <c r="R511" s="32"/>
    </row>
    <row r="512" spans="1:18" s="56" customFormat="1" ht="15" customHeight="1">
      <c r="A512" s="32"/>
      <c r="B512" s="32"/>
      <c r="C512" s="32"/>
      <c r="D512" s="32"/>
      <c r="E512" s="32"/>
      <c r="F512" s="32"/>
      <c r="G512" s="32"/>
      <c r="H512" s="32"/>
      <c r="I512" s="32"/>
      <c r="J512" s="32"/>
      <c r="K512" s="32"/>
      <c r="L512" s="32"/>
      <c r="M512" s="32"/>
      <c r="N512" s="32"/>
      <c r="O512" s="32"/>
      <c r="P512" s="32"/>
      <c r="Q512" s="32"/>
      <c r="R512" s="32"/>
    </row>
    <row r="513" spans="1:18" s="56" customFormat="1" ht="15" customHeight="1">
      <c r="A513" s="32"/>
      <c r="B513" s="32"/>
      <c r="C513" s="32"/>
      <c r="D513" s="32"/>
      <c r="E513" s="32"/>
      <c r="F513" s="32"/>
      <c r="G513" s="32"/>
      <c r="H513" s="32"/>
      <c r="I513" s="32"/>
      <c r="J513" s="32"/>
      <c r="K513" s="32"/>
      <c r="L513" s="32"/>
      <c r="M513" s="32"/>
      <c r="N513" s="32"/>
      <c r="O513" s="32"/>
      <c r="P513" s="32"/>
      <c r="Q513" s="32"/>
      <c r="R513" s="32"/>
    </row>
    <row r="514" spans="1:18" s="56" customFormat="1" ht="15" customHeight="1">
      <c r="A514" s="32"/>
      <c r="B514" s="32"/>
      <c r="C514" s="32"/>
      <c r="D514" s="32"/>
      <c r="E514" s="32"/>
      <c r="F514" s="32"/>
      <c r="G514" s="32"/>
      <c r="H514" s="32"/>
      <c r="I514" s="32"/>
      <c r="J514" s="32"/>
      <c r="K514" s="32"/>
      <c r="L514" s="32"/>
      <c r="M514" s="32"/>
      <c r="N514" s="32"/>
      <c r="O514" s="32"/>
      <c r="P514" s="32"/>
      <c r="Q514" s="32"/>
      <c r="R514" s="32"/>
    </row>
    <row r="515" spans="1:18" s="56" customFormat="1" ht="15" customHeight="1">
      <c r="A515" s="32"/>
      <c r="B515" s="32"/>
      <c r="C515" s="32"/>
      <c r="D515" s="32"/>
      <c r="E515" s="32"/>
      <c r="F515" s="32"/>
      <c r="G515" s="32"/>
      <c r="H515" s="32"/>
      <c r="I515" s="32"/>
      <c r="J515" s="32"/>
      <c r="K515" s="32"/>
      <c r="L515" s="32"/>
      <c r="M515" s="32"/>
      <c r="N515" s="32"/>
      <c r="O515" s="32"/>
      <c r="P515" s="32"/>
      <c r="Q515" s="32"/>
      <c r="R515" s="32"/>
    </row>
    <row r="516" spans="1:18" s="56" customFormat="1" ht="15" customHeight="1">
      <c r="A516" s="32"/>
      <c r="B516" s="32"/>
      <c r="C516" s="32"/>
      <c r="D516" s="32"/>
      <c r="E516" s="32"/>
      <c r="F516" s="32"/>
      <c r="G516" s="32"/>
      <c r="H516" s="32"/>
      <c r="I516" s="32"/>
      <c r="J516" s="32"/>
      <c r="K516" s="32"/>
      <c r="L516" s="32"/>
      <c r="M516" s="32"/>
      <c r="N516" s="32"/>
      <c r="O516" s="32"/>
      <c r="P516" s="32"/>
      <c r="Q516" s="32"/>
      <c r="R516" s="32"/>
    </row>
    <row r="517" spans="1:18" s="56" customFormat="1" ht="15" customHeight="1">
      <c r="A517" s="32"/>
      <c r="B517" s="32"/>
      <c r="C517" s="32"/>
      <c r="D517" s="32"/>
      <c r="E517" s="32"/>
      <c r="F517" s="32"/>
      <c r="G517" s="32"/>
      <c r="H517" s="32"/>
      <c r="I517" s="32"/>
      <c r="J517" s="32"/>
      <c r="K517" s="32"/>
      <c r="L517" s="32"/>
      <c r="M517" s="32"/>
      <c r="N517" s="32"/>
      <c r="O517" s="32"/>
      <c r="P517" s="32"/>
      <c r="Q517" s="32"/>
      <c r="R517" s="32"/>
    </row>
    <row r="518" spans="1:18" s="56" customFormat="1" ht="15" customHeight="1">
      <c r="A518" s="32"/>
      <c r="B518" s="32"/>
      <c r="C518" s="32"/>
      <c r="D518" s="32"/>
      <c r="E518" s="32"/>
      <c r="F518" s="32"/>
      <c r="G518" s="32"/>
      <c r="H518" s="32"/>
      <c r="I518" s="32"/>
      <c r="J518" s="32"/>
      <c r="K518" s="32"/>
      <c r="L518" s="32"/>
      <c r="M518" s="32"/>
      <c r="N518" s="32"/>
      <c r="O518" s="32"/>
      <c r="P518" s="32"/>
      <c r="Q518" s="32"/>
      <c r="R518" s="32"/>
    </row>
    <row r="519" spans="1:18" s="56" customFormat="1" ht="15" customHeight="1">
      <c r="A519" s="32"/>
      <c r="B519" s="32"/>
      <c r="C519" s="32"/>
      <c r="D519" s="32"/>
      <c r="E519" s="32"/>
      <c r="F519" s="32"/>
      <c r="G519" s="32"/>
      <c r="H519" s="32"/>
      <c r="I519" s="32"/>
      <c r="J519" s="32"/>
      <c r="K519" s="32"/>
      <c r="L519" s="32"/>
      <c r="M519" s="32"/>
      <c r="N519" s="32"/>
      <c r="O519" s="32"/>
      <c r="P519" s="32"/>
      <c r="Q519" s="32"/>
      <c r="R519" s="32"/>
    </row>
    <row r="520" spans="1:18" s="56" customFormat="1" ht="15" customHeight="1">
      <c r="A520" s="32"/>
      <c r="B520" s="32"/>
      <c r="C520" s="32"/>
      <c r="D520" s="32"/>
      <c r="E520" s="32"/>
      <c r="F520" s="32"/>
      <c r="G520" s="32"/>
      <c r="H520" s="32"/>
      <c r="I520" s="32"/>
      <c r="J520" s="32"/>
      <c r="K520" s="32"/>
      <c r="L520" s="32"/>
      <c r="M520" s="32"/>
      <c r="N520" s="32"/>
      <c r="O520" s="32"/>
      <c r="P520" s="32"/>
      <c r="Q520" s="32"/>
      <c r="R520" s="32"/>
    </row>
    <row r="521" spans="1:18" s="56" customFormat="1" ht="15" customHeight="1">
      <c r="A521" s="32"/>
      <c r="B521" s="32"/>
      <c r="C521" s="32"/>
      <c r="D521" s="32"/>
      <c r="E521" s="32"/>
      <c r="F521" s="32"/>
      <c r="G521" s="32"/>
      <c r="H521" s="32"/>
      <c r="I521" s="32"/>
      <c r="J521" s="32"/>
      <c r="K521" s="32"/>
      <c r="L521" s="32"/>
      <c r="M521" s="32"/>
      <c r="N521" s="32"/>
      <c r="O521" s="32"/>
      <c r="P521" s="32"/>
      <c r="Q521" s="32"/>
      <c r="R521" s="32"/>
    </row>
    <row r="522" spans="1:18" s="56" customFormat="1" ht="15" customHeight="1">
      <c r="A522" s="32"/>
      <c r="B522" s="32"/>
      <c r="C522" s="32"/>
      <c r="D522" s="32"/>
      <c r="E522" s="32"/>
      <c r="F522" s="32"/>
      <c r="G522" s="32"/>
      <c r="H522" s="32"/>
      <c r="I522" s="32"/>
      <c r="J522" s="32"/>
      <c r="K522" s="32"/>
      <c r="L522" s="32"/>
      <c r="M522" s="32"/>
      <c r="N522" s="32"/>
      <c r="O522" s="32"/>
      <c r="P522" s="32"/>
      <c r="Q522" s="32"/>
      <c r="R522" s="32"/>
    </row>
    <row r="523" spans="1:18" s="56" customFormat="1" ht="15" customHeight="1">
      <c r="A523" s="32"/>
      <c r="B523" s="32"/>
      <c r="C523" s="32"/>
      <c r="D523" s="32"/>
      <c r="E523" s="32"/>
      <c r="F523" s="32"/>
      <c r="G523" s="32"/>
      <c r="H523" s="32"/>
      <c r="I523" s="32"/>
      <c r="J523" s="32"/>
      <c r="K523" s="32"/>
      <c r="L523" s="32"/>
      <c r="M523" s="32"/>
      <c r="N523" s="32"/>
      <c r="O523" s="32"/>
      <c r="P523" s="32"/>
      <c r="Q523" s="32"/>
      <c r="R523" s="32"/>
    </row>
    <row r="524" spans="1:18" s="56" customFormat="1" ht="15" customHeight="1">
      <c r="A524" s="32"/>
      <c r="B524" s="32"/>
      <c r="C524" s="32"/>
      <c r="D524" s="32"/>
      <c r="E524" s="32"/>
      <c r="F524" s="32"/>
      <c r="G524" s="32"/>
      <c r="H524" s="32"/>
      <c r="I524" s="32"/>
      <c r="J524" s="32"/>
      <c r="K524" s="32"/>
      <c r="L524" s="32"/>
      <c r="M524" s="32"/>
      <c r="N524" s="32"/>
      <c r="O524" s="32"/>
      <c r="P524" s="32"/>
      <c r="Q524" s="32"/>
      <c r="R524" s="32"/>
    </row>
    <row r="525" spans="1:18" s="56" customFormat="1" ht="15" customHeight="1">
      <c r="A525" s="32"/>
      <c r="B525" s="32"/>
      <c r="C525" s="32"/>
      <c r="D525" s="32"/>
      <c r="E525" s="32"/>
      <c r="F525" s="32"/>
      <c r="G525" s="32"/>
      <c r="H525" s="32"/>
      <c r="I525" s="32"/>
      <c r="J525" s="32"/>
      <c r="K525" s="32"/>
      <c r="L525" s="32"/>
      <c r="M525" s="32"/>
      <c r="N525" s="32"/>
      <c r="O525" s="32"/>
      <c r="P525" s="32"/>
      <c r="Q525" s="32"/>
      <c r="R525" s="32"/>
    </row>
    <row r="526" spans="1:18" s="56" customFormat="1" ht="15" customHeight="1">
      <c r="A526" s="32"/>
      <c r="B526" s="32"/>
      <c r="C526" s="32"/>
      <c r="D526" s="32"/>
      <c r="E526" s="32"/>
      <c r="F526" s="32"/>
      <c r="G526" s="32"/>
      <c r="H526" s="32"/>
      <c r="I526" s="32"/>
      <c r="J526" s="32"/>
      <c r="K526" s="32"/>
      <c r="L526" s="32"/>
      <c r="M526" s="32"/>
      <c r="N526" s="32"/>
      <c r="O526" s="32"/>
      <c r="P526" s="32"/>
      <c r="Q526" s="32"/>
      <c r="R526" s="32"/>
    </row>
    <row r="527" spans="1:18" s="56" customFormat="1" ht="15" customHeight="1">
      <c r="A527" s="32"/>
      <c r="B527" s="32"/>
      <c r="C527" s="32"/>
      <c r="D527" s="32"/>
      <c r="E527" s="32"/>
      <c r="F527" s="32"/>
      <c r="G527" s="32"/>
      <c r="H527" s="32"/>
      <c r="I527" s="32"/>
      <c r="J527" s="32"/>
      <c r="K527" s="32"/>
      <c r="L527" s="32"/>
      <c r="M527" s="32"/>
      <c r="N527" s="32"/>
      <c r="O527" s="32"/>
      <c r="P527" s="32"/>
      <c r="Q527" s="32"/>
      <c r="R527" s="32"/>
    </row>
    <row r="528" spans="1:18" s="56" customFormat="1" ht="15" customHeight="1">
      <c r="A528" s="32"/>
      <c r="B528" s="32"/>
      <c r="C528" s="32"/>
      <c r="D528" s="32"/>
      <c r="E528" s="32"/>
      <c r="F528" s="32"/>
      <c r="G528" s="32"/>
      <c r="H528" s="32"/>
      <c r="I528" s="32"/>
      <c r="J528" s="32"/>
      <c r="K528" s="32"/>
      <c r="L528" s="32"/>
      <c r="M528" s="32"/>
      <c r="N528" s="32"/>
      <c r="O528" s="32"/>
      <c r="P528" s="32"/>
      <c r="Q528" s="32"/>
      <c r="R528" s="32"/>
    </row>
    <row r="529" spans="1:18" s="56" customFormat="1" ht="15" customHeight="1">
      <c r="A529" s="32"/>
      <c r="B529" s="32"/>
      <c r="C529" s="32"/>
      <c r="D529" s="32"/>
      <c r="E529" s="32"/>
      <c r="F529" s="32"/>
      <c r="G529" s="32"/>
      <c r="H529" s="32"/>
      <c r="I529" s="32"/>
      <c r="J529" s="32"/>
      <c r="K529" s="32"/>
      <c r="L529" s="32"/>
      <c r="M529" s="32"/>
      <c r="N529" s="32"/>
      <c r="O529" s="32"/>
      <c r="P529" s="32"/>
      <c r="Q529" s="32"/>
      <c r="R529" s="32"/>
    </row>
    <row r="530" spans="1:18" s="56" customFormat="1" ht="15" customHeight="1">
      <c r="A530" s="32"/>
      <c r="B530" s="32"/>
      <c r="C530" s="32"/>
      <c r="D530" s="32"/>
      <c r="E530" s="32"/>
      <c r="F530" s="32"/>
      <c r="G530" s="32"/>
      <c r="H530" s="32"/>
      <c r="I530" s="32"/>
      <c r="J530" s="32"/>
      <c r="K530" s="32"/>
      <c r="L530" s="32"/>
      <c r="M530" s="32"/>
      <c r="N530" s="32"/>
      <c r="O530" s="32"/>
      <c r="P530" s="32"/>
      <c r="Q530" s="32"/>
      <c r="R530" s="32"/>
    </row>
    <row r="531" spans="1:18" s="56" customFormat="1" ht="15" customHeight="1">
      <c r="A531" s="32"/>
      <c r="B531" s="32"/>
      <c r="C531" s="32"/>
      <c r="D531" s="32"/>
      <c r="E531" s="32"/>
      <c r="F531" s="32"/>
      <c r="G531" s="32"/>
      <c r="H531" s="32"/>
      <c r="I531" s="32"/>
      <c r="J531" s="32"/>
      <c r="K531" s="32"/>
      <c r="L531" s="32"/>
      <c r="M531" s="32"/>
      <c r="N531" s="32"/>
      <c r="O531" s="32"/>
      <c r="P531" s="32"/>
      <c r="Q531" s="32"/>
      <c r="R531" s="32"/>
    </row>
    <row r="532" spans="1:18" s="56" customFormat="1" ht="15" customHeight="1">
      <c r="A532" s="32"/>
      <c r="B532" s="32"/>
      <c r="C532" s="32"/>
      <c r="D532" s="32"/>
      <c r="E532" s="32"/>
      <c r="F532" s="32"/>
      <c r="G532" s="32"/>
      <c r="H532" s="32"/>
      <c r="I532" s="32"/>
      <c r="J532" s="32"/>
      <c r="K532" s="32"/>
      <c r="L532" s="32"/>
      <c r="M532" s="32"/>
      <c r="N532" s="32"/>
      <c r="O532" s="32"/>
      <c r="P532" s="32"/>
      <c r="Q532" s="32"/>
      <c r="R532" s="32"/>
    </row>
    <row r="533" spans="1:18" s="56" customFormat="1" ht="15" customHeight="1">
      <c r="A533" s="32"/>
      <c r="B533" s="32"/>
      <c r="C533" s="32"/>
      <c r="D533" s="32"/>
      <c r="E533" s="32"/>
      <c r="F533" s="32"/>
      <c r="G533" s="32"/>
      <c r="H533" s="32"/>
      <c r="I533" s="32"/>
      <c r="J533" s="32"/>
      <c r="K533" s="32"/>
      <c r="L533" s="32"/>
      <c r="M533" s="32"/>
      <c r="N533" s="32"/>
      <c r="O533" s="32"/>
      <c r="P533" s="32"/>
      <c r="Q533" s="32"/>
      <c r="R533" s="32"/>
    </row>
    <row r="534" spans="1:18" s="56" customFormat="1" ht="15" customHeight="1">
      <c r="A534" s="32"/>
      <c r="B534" s="32"/>
      <c r="C534" s="32"/>
      <c r="D534" s="32"/>
      <c r="E534" s="32"/>
      <c r="F534" s="32"/>
      <c r="G534" s="32"/>
      <c r="H534" s="32"/>
      <c r="I534" s="32"/>
      <c r="J534" s="32"/>
      <c r="K534" s="32"/>
      <c r="L534" s="32"/>
      <c r="M534" s="32"/>
      <c r="N534" s="32"/>
      <c r="O534" s="32"/>
      <c r="P534" s="32"/>
      <c r="Q534" s="32"/>
      <c r="R534" s="32"/>
    </row>
    <row r="535" spans="1:18" s="56" customFormat="1" ht="15" customHeight="1">
      <c r="A535" s="32"/>
      <c r="B535" s="32"/>
      <c r="C535" s="32"/>
      <c r="D535" s="32"/>
      <c r="E535" s="32"/>
      <c r="F535" s="32"/>
      <c r="G535" s="32"/>
      <c r="H535" s="32"/>
      <c r="I535" s="32"/>
      <c r="J535" s="32"/>
      <c r="K535" s="32"/>
      <c r="L535" s="32"/>
      <c r="M535" s="32"/>
      <c r="N535" s="32"/>
      <c r="O535" s="32"/>
      <c r="P535" s="32"/>
      <c r="Q535" s="32"/>
      <c r="R535" s="32"/>
    </row>
    <row r="536" spans="1:18" s="56" customFormat="1" ht="15" customHeight="1">
      <c r="A536" s="32"/>
      <c r="B536" s="32"/>
      <c r="C536" s="32"/>
      <c r="D536" s="32"/>
      <c r="E536" s="32"/>
      <c r="F536" s="32"/>
      <c r="G536" s="32"/>
      <c r="H536" s="32"/>
      <c r="I536" s="32"/>
      <c r="J536" s="32"/>
      <c r="K536" s="32"/>
      <c r="L536" s="32"/>
      <c r="M536" s="32"/>
      <c r="N536" s="32"/>
      <c r="O536" s="32"/>
      <c r="P536" s="32"/>
      <c r="Q536" s="32"/>
      <c r="R536" s="32"/>
    </row>
    <row r="537" spans="1:18" s="56" customFormat="1" ht="15" customHeight="1">
      <c r="A537" s="32"/>
      <c r="B537" s="32"/>
      <c r="C537" s="32"/>
      <c r="D537" s="32"/>
      <c r="E537" s="32"/>
      <c r="F537" s="32"/>
      <c r="G537" s="32"/>
      <c r="H537" s="32"/>
      <c r="I537" s="32"/>
      <c r="J537" s="32"/>
      <c r="K537" s="32"/>
      <c r="L537" s="32"/>
      <c r="M537" s="32"/>
      <c r="N537" s="32"/>
      <c r="O537" s="32"/>
      <c r="P537" s="32"/>
      <c r="Q537" s="32"/>
      <c r="R537" s="32"/>
    </row>
    <row r="538" spans="1:18" s="56" customFormat="1" ht="15" customHeight="1">
      <c r="A538" s="32"/>
      <c r="B538" s="32"/>
      <c r="C538" s="32"/>
      <c r="D538" s="32"/>
      <c r="E538" s="32"/>
      <c r="F538" s="32"/>
      <c r="G538" s="32"/>
      <c r="H538" s="32"/>
      <c r="I538" s="32"/>
      <c r="J538" s="32"/>
      <c r="K538" s="32"/>
      <c r="L538" s="32"/>
      <c r="M538" s="32"/>
      <c r="N538" s="32"/>
      <c r="O538" s="32"/>
      <c r="P538" s="32"/>
      <c r="Q538" s="32"/>
      <c r="R538" s="32"/>
    </row>
    <row r="539" spans="1:18" s="56" customFormat="1" ht="15" customHeight="1">
      <c r="A539" s="32"/>
      <c r="B539" s="32"/>
      <c r="C539" s="32"/>
      <c r="D539" s="32"/>
      <c r="E539" s="32"/>
      <c r="F539" s="32"/>
      <c r="G539" s="32"/>
      <c r="H539" s="32"/>
      <c r="I539" s="32"/>
      <c r="J539" s="32"/>
      <c r="K539" s="32"/>
      <c r="L539" s="32"/>
      <c r="M539" s="32"/>
      <c r="N539" s="32"/>
      <c r="O539" s="32"/>
      <c r="P539" s="32"/>
      <c r="Q539" s="32"/>
      <c r="R539" s="32"/>
    </row>
    <row r="540" spans="1:18" s="56" customFormat="1" ht="15" customHeight="1">
      <c r="A540" s="32"/>
      <c r="B540" s="32"/>
      <c r="C540" s="32"/>
      <c r="D540" s="32"/>
      <c r="E540" s="32"/>
      <c r="F540" s="32"/>
      <c r="G540" s="32"/>
      <c r="H540" s="32"/>
      <c r="I540" s="32"/>
      <c r="J540" s="32"/>
      <c r="K540" s="32"/>
      <c r="L540" s="32"/>
      <c r="M540" s="32"/>
      <c r="N540" s="32"/>
      <c r="O540" s="32"/>
      <c r="P540" s="32"/>
      <c r="Q540" s="32"/>
      <c r="R540" s="32"/>
    </row>
    <row r="541" spans="1:18" s="56" customFormat="1" ht="15" customHeight="1">
      <c r="A541" s="32"/>
      <c r="B541" s="32"/>
      <c r="C541" s="32"/>
      <c r="D541" s="32"/>
      <c r="E541" s="32"/>
      <c r="F541" s="32"/>
      <c r="G541" s="32"/>
      <c r="H541" s="32"/>
      <c r="I541" s="32"/>
      <c r="J541" s="32"/>
      <c r="K541" s="32"/>
      <c r="L541" s="32"/>
      <c r="M541" s="32"/>
      <c r="N541" s="32"/>
      <c r="O541" s="32"/>
      <c r="P541" s="32"/>
      <c r="Q541" s="32"/>
      <c r="R541" s="32"/>
    </row>
    <row r="542" spans="1:18" s="56" customFormat="1" ht="15" customHeight="1">
      <c r="A542" s="32"/>
      <c r="B542" s="32"/>
      <c r="C542" s="32"/>
      <c r="D542" s="32"/>
      <c r="E542" s="32"/>
      <c r="F542" s="32"/>
      <c r="G542" s="32"/>
      <c r="H542" s="32"/>
      <c r="I542" s="32"/>
      <c r="J542" s="32"/>
      <c r="K542" s="32"/>
      <c r="L542" s="32"/>
      <c r="M542" s="32"/>
      <c r="N542" s="32"/>
      <c r="O542" s="32"/>
      <c r="P542" s="32"/>
      <c r="Q542" s="32"/>
      <c r="R542" s="32"/>
    </row>
    <row r="543" spans="1:18" s="56" customFormat="1" ht="15" customHeight="1">
      <c r="A543" s="32"/>
      <c r="B543" s="32"/>
      <c r="C543" s="32"/>
      <c r="D543" s="32"/>
      <c r="E543" s="32"/>
      <c r="F543" s="32"/>
      <c r="G543" s="32"/>
      <c r="H543" s="32"/>
      <c r="I543" s="32"/>
      <c r="J543" s="32"/>
      <c r="K543" s="32"/>
      <c r="L543" s="32"/>
      <c r="M543" s="32"/>
      <c r="N543" s="32"/>
      <c r="O543" s="32"/>
      <c r="P543" s="32"/>
      <c r="Q543" s="32"/>
      <c r="R543" s="32"/>
    </row>
    <row r="544" spans="1:18" s="56" customFormat="1" ht="15" customHeight="1">
      <c r="A544" s="32"/>
      <c r="B544" s="32"/>
      <c r="C544" s="32"/>
      <c r="D544" s="32"/>
      <c r="E544" s="32"/>
      <c r="F544" s="32"/>
      <c r="G544" s="32"/>
      <c r="H544" s="32"/>
      <c r="I544" s="32"/>
      <c r="J544" s="32"/>
      <c r="K544" s="32"/>
      <c r="L544" s="32"/>
      <c r="M544" s="32"/>
      <c r="N544" s="32"/>
      <c r="O544" s="32"/>
      <c r="P544" s="32"/>
      <c r="Q544" s="32"/>
      <c r="R544" s="32"/>
    </row>
    <row r="545" spans="1:18" s="56" customFormat="1" ht="15" customHeight="1">
      <c r="A545" s="32"/>
      <c r="B545" s="32"/>
      <c r="C545" s="32"/>
      <c r="D545" s="32"/>
      <c r="E545" s="32"/>
      <c r="F545" s="32"/>
      <c r="G545" s="32"/>
      <c r="H545" s="32"/>
      <c r="I545" s="32"/>
      <c r="J545" s="32"/>
      <c r="K545" s="32"/>
      <c r="L545" s="32"/>
      <c r="M545" s="32"/>
      <c r="N545" s="32"/>
      <c r="O545" s="32"/>
      <c r="P545" s="32"/>
      <c r="Q545" s="32"/>
      <c r="R545" s="32"/>
    </row>
    <row r="546" spans="1:18" s="56" customFormat="1" ht="15" customHeight="1">
      <c r="A546" s="32"/>
      <c r="B546" s="32"/>
      <c r="C546" s="32"/>
      <c r="D546" s="32"/>
      <c r="E546" s="32"/>
      <c r="F546" s="32"/>
      <c r="G546" s="32"/>
      <c r="H546" s="32"/>
      <c r="I546" s="32"/>
      <c r="J546" s="32"/>
      <c r="K546" s="32"/>
      <c r="L546" s="32"/>
      <c r="M546" s="32"/>
      <c r="N546" s="32"/>
      <c r="O546" s="32"/>
      <c r="P546" s="32"/>
      <c r="Q546" s="32"/>
      <c r="R546" s="32"/>
    </row>
    <row r="547" spans="1:18" s="56" customFormat="1" ht="15" customHeight="1">
      <c r="A547" s="32"/>
      <c r="B547" s="32"/>
      <c r="C547" s="32"/>
      <c r="D547" s="32"/>
      <c r="E547" s="32"/>
      <c r="F547" s="32"/>
      <c r="G547" s="32"/>
      <c r="H547" s="32"/>
      <c r="I547" s="32"/>
      <c r="J547" s="32"/>
      <c r="K547" s="32"/>
      <c r="L547" s="32"/>
      <c r="M547" s="32"/>
      <c r="N547" s="32"/>
      <c r="O547" s="32"/>
      <c r="P547" s="32"/>
      <c r="Q547" s="32"/>
      <c r="R547" s="32"/>
    </row>
    <row r="548" spans="1:18" s="56" customFormat="1" ht="15" customHeight="1">
      <c r="A548" s="32"/>
      <c r="B548" s="32"/>
      <c r="C548" s="32"/>
      <c r="D548" s="32"/>
      <c r="E548" s="32"/>
      <c r="F548" s="32"/>
      <c r="G548" s="32"/>
      <c r="H548" s="32"/>
      <c r="I548" s="32"/>
      <c r="J548" s="32"/>
      <c r="K548" s="32"/>
      <c r="L548" s="32"/>
      <c r="M548" s="32"/>
      <c r="N548" s="32"/>
      <c r="O548" s="32"/>
      <c r="P548" s="32"/>
      <c r="Q548" s="32"/>
      <c r="R548" s="32"/>
    </row>
    <row r="549" spans="1:18" s="56" customFormat="1" ht="15" customHeight="1">
      <c r="A549" s="32"/>
      <c r="B549" s="32"/>
      <c r="C549" s="32"/>
      <c r="D549" s="32"/>
      <c r="E549" s="32"/>
      <c r="F549" s="32"/>
      <c r="G549" s="32"/>
      <c r="H549" s="32"/>
      <c r="I549" s="32"/>
      <c r="J549" s="32"/>
      <c r="K549" s="32"/>
      <c r="L549" s="32"/>
      <c r="M549" s="32"/>
      <c r="N549" s="32"/>
      <c r="O549" s="32"/>
      <c r="P549" s="32"/>
      <c r="Q549" s="32"/>
      <c r="R549" s="32"/>
    </row>
    <row r="550" spans="1:18" s="56" customFormat="1" ht="15" customHeight="1">
      <c r="A550" s="32"/>
      <c r="B550" s="32"/>
      <c r="C550" s="32"/>
      <c r="D550" s="32"/>
      <c r="E550" s="32"/>
      <c r="F550" s="32"/>
      <c r="G550" s="32"/>
      <c r="H550" s="32"/>
      <c r="I550" s="32"/>
      <c r="J550" s="32"/>
      <c r="K550" s="32"/>
      <c r="L550" s="32"/>
      <c r="M550" s="32"/>
      <c r="N550" s="32"/>
      <c r="O550" s="32"/>
      <c r="P550" s="32"/>
      <c r="Q550" s="32"/>
      <c r="R550" s="32"/>
    </row>
    <row r="551" spans="1:18" s="56" customFormat="1" ht="15" customHeight="1">
      <c r="A551" s="32"/>
      <c r="B551" s="32"/>
      <c r="C551" s="32"/>
      <c r="D551" s="32"/>
      <c r="E551" s="32"/>
      <c r="F551" s="32"/>
      <c r="G551" s="32"/>
      <c r="H551" s="32"/>
      <c r="I551" s="32"/>
      <c r="J551" s="32"/>
      <c r="K551" s="32"/>
      <c r="L551" s="32"/>
      <c r="M551" s="32"/>
      <c r="N551" s="32"/>
      <c r="O551" s="32"/>
      <c r="P551" s="32"/>
      <c r="Q551" s="32"/>
      <c r="R551" s="32"/>
    </row>
    <row r="552" spans="1:18" s="56" customFormat="1" ht="15" customHeight="1">
      <c r="A552" s="32"/>
      <c r="B552" s="32"/>
      <c r="C552" s="32"/>
      <c r="D552" s="32"/>
      <c r="E552" s="32"/>
      <c r="F552" s="32"/>
      <c r="G552" s="32"/>
      <c r="H552" s="32"/>
      <c r="I552" s="32"/>
      <c r="J552" s="32"/>
      <c r="K552" s="32"/>
      <c r="L552" s="32"/>
      <c r="M552" s="32"/>
      <c r="N552" s="32"/>
      <c r="O552" s="32"/>
      <c r="P552" s="32"/>
      <c r="Q552" s="32"/>
      <c r="R552" s="32"/>
    </row>
    <row r="553" spans="1:18" s="56" customFormat="1" ht="15" customHeight="1">
      <c r="A553" s="32"/>
      <c r="B553" s="32"/>
      <c r="C553" s="32"/>
      <c r="D553" s="32"/>
      <c r="E553" s="32"/>
      <c r="F553" s="32"/>
      <c r="G553" s="32"/>
      <c r="H553" s="32"/>
      <c r="I553" s="32"/>
      <c r="J553" s="32"/>
      <c r="K553" s="32"/>
      <c r="L553" s="32"/>
      <c r="M553" s="32"/>
      <c r="N553" s="32"/>
      <c r="O553" s="32"/>
      <c r="P553" s="32"/>
      <c r="Q553" s="32"/>
      <c r="R553" s="32"/>
    </row>
    <row r="554" spans="1:18" s="56" customFormat="1" ht="15" customHeight="1">
      <c r="A554" s="32"/>
      <c r="B554" s="32"/>
      <c r="C554" s="32"/>
      <c r="D554" s="32"/>
      <c r="E554" s="32"/>
      <c r="F554" s="32"/>
      <c r="G554" s="32"/>
      <c r="H554" s="32"/>
      <c r="I554" s="32"/>
      <c r="J554" s="32"/>
      <c r="K554" s="32"/>
      <c r="L554" s="32"/>
      <c r="M554" s="32"/>
      <c r="N554" s="32"/>
      <c r="O554" s="32"/>
      <c r="P554" s="32"/>
      <c r="Q554" s="32"/>
      <c r="R554" s="32"/>
    </row>
    <row r="555" spans="1:18" s="56" customFormat="1" ht="15" customHeight="1">
      <c r="A555" s="32"/>
      <c r="B555" s="32"/>
      <c r="C555" s="32"/>
      <c r="D555" s="32"/>
      <c r="E555" s="32"/>
      <c r="F555" s="32"/>
      <c r="G555" s="32"/>
      <c r="H555" s="32"/>
      <c r="I555" s="32"/>
      <c r="J555" s="32"/>
      <c r="K555" s="32"/>
      <c r="L555" s="32"/>
      <c r="M555" s="32"/>
      <c r="N555" s="32"/>
      <c r="O555" s="32"/>
      <c r="P555" s="32"/>
      <c r="Q555" s="32"/>
      <c r="R555" s="32"/>
    </row>
    <row r="556" spans="1:18" s="56" customFormat="1" ht="15" customHeight="1">
      <c r="A556" s="32"/>
      <c r="B556" s="32"/>
      <c r="C556" s="32"/>
      <c r="D556" s="32"/>
      <c r="E556" s="32"/>
      <c r="F556" s="32"/>
      <c r="G556" s="32"/>
      <c r="H556" s="32"/>
      <c r="I556" s="32"/>
      <c r="J556" s="32"/>
      <c r="K556" s="32"/>
      <c r="L556" s="32"/>
      <c r="M556" s="32"/>
      <c r="N556" s="32"/>
      <c r="O556" s="32"/>
      <c r="P556" s="32"/>
      <c r="Q556" s="32"/>
      <c r="R556" s="32"/>
    </row>
    <row r="557" spans="1:18" s="56" customFormat="1" ht="15" customHeight="1">
      <c r="A557" s="32"/>
      <c r="B557" s="32"/>
      <c r="C557" s="32"/>
      <c r="D557" s="32"/>
      <c r="E557" s="32"/>
      <c r="F557" s="32"/>
      <c r="G557" s="32"/>
      <c r="H557" s="32"/>
      <c r="I557" s="32"/>
      <c r="J557" s="32"/>
      <c r="K557" s="32"/>
      <c r="L557" s="32"/>
      <c r="M557" s="32"/>
      <c r="N557" s="32"/>
      <c r="O557" s="32"/>
      <c r="P557" s="32"/>
      <c r="Q557" s="32"/>
      <c r="R557" s="32"/>
    </row>
    <row r="558" spans="1:18" s="56" customFormat="1" ht="15" customHeight="1">
      <c r="A558" s="32"/>
      <c r="B558" s="32"/>
      <c r="C558" s="32"/>
      <c r="D558" s="32"/>
      <c r="E558" s="32"/>
      <c r="F558" s="32"/>
      <c r="G558" s="32"/>
      <c r="H558" s="32"/>
      <c r="I558" s="32"/>
      <c r="J558" s="32"/>
      <c r="K558" s="32"/>
      <c r="L558" s="32"/>
      <c r="M558" s="32"/>
      <c r="N558" s="32"/>
      <c r="O558" s="32"/>
      <c r="P558" s="32"/>
      <c r="Q558" s="32"/>
      <c r="R558" s="32"/>
    </row>
    <row r="559" spans="1:18" s="56" customFormat="1" ht="15" customHeight="1">
      <c r="A559" s="32"/>
      <c r="B559" s="32"/>
      <c r="C559" s="32"/>
      <c r="D559" s="32"/>
      <c r="E559" s="32"/>
      <c r="F559" s="32"/>
      <c r="G559" s="32"/>
      <c r="H559" s="32"/>
      <c r="I559" s="32"/>
      <c r="J559" s="32"/>
      <c r="K559" s="32"/>
      <c r="L559" s="32"/>
      <c r="M559" s="32"/>
      <c r="N559" s="32"/>
      <c r="O559" s="32"/>
      <c r="P559" s="32"/>
      <c r="Q559" s="32"/>
      <c r="R559" s="32"/>
    </row>
    <row r="560" spans="1:18" s="56" customFormat="1" ht="15" customHeight="1">
      <c r="A560" s="32"/>
      <c r="B560" s="32"/>
      <c r="C560" s="32"/>
      <c r="D560" s="32"/>
      <c r="E560" s="32"/>
      <c r="F560" s="32"/>
      <c r="G560" s="32"/>
      <c r="H560" s="32"/>
      <c r="I560" s="32"/>
      <c r="J560" s="32"/>
      <c r="K560" s="32"/>
      <c r="L560" s="32"/>
      <c r="M560" s="32"/>
      <c r="N560" s="32"/>
      <c r="O560" s="32"/>
      <c r="P560" s="32"/>
      <c r="Q560" s="32"/>
      <c r="R560" s="32"/>
    </row>
    <row r="561" spans="1:18" s="56" customFormat="1" ht="15" customHeight="1">
      <c r="A561" s="32"/>
      <c r="B561" s="32"/>
      <c r="C561" s="32"/>
      <c r="D561" s="32"/>
      <c r="E561" s="32"/>
      <c r="F561" s="32"/>
      <c r="G561" s="32"/>
      <c r="H561" s="32"/>
      <c r="I561" s="32"/>
      <c r="J561" s="32"/>
      <c r="K561" s="32"/>
      <c r="L561" s="32"/>
      <c r="M561" s="32"/>
      <c r="N561" s="32"/>
      <c r="O561" s="32"/>
      <c r="P561" s="32"/>
      <c r="Q561" s="32"/>
      <c r="R561" s="32"/>
    </row>
    <row r="562" spans="1:18" s="56" customFormat="1" ht="15" customHeight="1">
      <c r="A562" s="32"/>
      <c r="B562" s="32"/>
      <c r="C562" s="32"/>
      <c r="D562" s="32"/>
      <c r="E562" s="32"/>
      <c r="F562" s="32"/>
      <c r="G562" s="32"/>
      <c r="H562" s="32"/>
      <c r="I562" s="32"/>
      <c r="J562" s="32"/>
      <c r="K562" s="32"/>
      <c r="L562" s="32"/>
      <c r="M562" s="32"/>
      <c r="N562" s="32"/>
      <c r="O562" s="32"/>
      <c r="P562" s="32"/>
      <c r="Q562" s="32"/>
      <c r="R562" s="32"/>
    </row>
    <row r="563" spans="1:18" s="56" customFormat="1" ht="15" customHeight="1">
      <c r="A563" s="32"/>
      <c r="B563" s="32"/>
      <c r="C563" s="32"/>
      <c r="D563" s="32"/>
      <c r="E563" s="32"/>
      <c r="F563" s="32"/>
      <c r="G563" s="32"/>
      <c r="H563" s="32"/>
      <c r="I563" s="32"/>
      <c r="J563" s="32"/>
      <c r="K563" s="32"/>
      <c r="L563" s="32"/>
      <c r="M563" s="32"/>
      <c r="N563" s="32"/>
      <c r="O563" s="32"/>
      <c r="P563" s="32"/>
      <c r="Q563" s="32"/>
      <c r="R563" s="32"/>
    </row>
    <row r="564" spans="1:18" s="56" customFormat="1" ht="15" customHeight="1">
      <c r="A564" s="32"/>
      <c r="B564" s="32"/>
      <c r="C564" s="32"/>
      <c r="D564" s="32"/>
      <c r="E564" s="32"/>
      <c r="F564" s="32"/>
      <c r="G564" s="32"/>
      <c r="H564" s="32"/>
      <c r="I564" s="32"/>
      <c r="J564" s="32"/>
      <c r="K564" s="32"/>
      <c r="L564" s="32"/>
      <c r="M564" s="32"/>
      <c r="N564" s="32"/>
      <c r="O564" s="32"/>
      <c r="P564" s="32"/>
      <c r="Q564" s="32"/>
      <c r="R564" s="32"/>
    </row>
    <row r="565" spans="1:18" s="56" customFormat="1" ht="15" customHeight="1">
      <c r="A565" s="32"/>
      <c r="B565" s="32"/>
      <c r="C565" s="32"/>
      <c r="D565" s="32"/>
      <c r="E565" s="32"/>
      <c r="F565" s="32"/>
      <c r="G565" s="32"/>
      <c r="H565" s="32"/>
      <c r="I565" s="32"/>
      <c r="J565" s="32"/>
      <c r="K565" s="32"/>
      <c r="L565" s="32"/>
      <c r="M565" s="32"/>
      <c r="N565" s="32"/>
      <c r="O565" s="32"/>
      <c r="P565" s="32"/>
      <c r="Q565" s="32"/>
      <c r="R565" s="32"/>
    </row>
    <row r="566" spans="1:18" s="56" customFormat="1" ht="15" customHeight="1">
      <c r="A566" s="32"/>
      <c r="B566" s="32"/>
      <c r="C566" s="32"/>
      <c r="D566" s="32"/>
      <c r="E566" s="32"/>
      <c r="F566" s="32"/>
      <c r="G566" s="32"/>
      <c r="H566" s="32"/>
      <c r="I566" s="32"/>
      <c r="J566" s="32"/>
      <c r="K566" s="32"/>
      <c r="L566" s="32"/>
      <c r="M566" s="32"/>
      <c r="N566" s="32"/>
      <c r="O566" s="32"/>
      <c r="P566" s="32"/>
      <c r="Q566" s="32"/>
      <c r="R566" s="32"/>
    </row>
    <row r="567" spans="1:18" s="56" customFormat="1" ht="15" customHeight="1">
      <c r="A567" s="32"/>
      <c r="B567" s="32"/>
      <c r="C567" s="32"/>
      <c r="D567" s="32"/>
      <c r="E567" s="32"/>
      <c r="F567" s="32"/>
      <c r="G567" s="32"/>
      <c r="H567" s="32"/>
      <c r="I567" s="32"/>
      <c r="J567" s="32"/>
      <c r="K567" s="32"/>
      <c r="L567" s="32"/>
      <c r="M567" s="32"/>
      <c r="N567" s="32"/>
      <c r="O567" s="32"/>
      <c r="P567" s="32"/>
      <c r="Q567" s="32"/>
      <c r="R567" s="32"/>
    </row>
    <row r="568" spans="1:18" s="56" customFormat="1" ht="15" customHeight="1">
      <c r="A568" s="32"/>
      <c r="B568" s="32"/>
      <c r="C568" s="32"/>
      <c r="D568" s="32"/>
      <c r="E568" s="32"/>
      <c r="F568" s="32"/>
      <c r="G568" s="32"/>
      <c r="H568" s="32"/>
      <c r="I568" s="32"/>
      <c r="J568" s="32"/>
      <c r="K568" s="32"/>
      <c r="L568" s="32"/>
      <c r="M568" s="32"/>
      <c r="N568" s="32"/>
      <c r="O568" s="32"/>
      <c r="P568" s="32"/>
      <c r="Q568" s="32"/>
      <c r="R568" s="32"/>
    </row>
    <row r="569" spans="1:18" s="56" customFormat="1" ht="15" customHeight="1">
      <c r="A569" s="32"/>
      <c r="B569" s="32"/>
      <c r="C569" s="32"/>
      <c r="D569" s="32"/>
      <c r="E569" s="32"/>
      <c r="F569" s="32"/>
      <c r="G569" s="32"/>
      <c r="H569" s="32"/>
      <c r="I569" s="32"/>
      <c r="J569" s="32"/>
      <c r="K569" s="32"/>
      <c r="L569" s="32"/>
      <c r="M569" s="32"/>
      <c r="N569" s="32"/>
      <c r="O569" s="32"/>
      <c r="P569" s="32"/>
      <c r="Q569" s="32"/>
      <c r="R569" s="32"/>
    </row>
    <row r="570" spans="1:18" s="56" customFormat="1" ht="15" customHeight="1">
      <c r="A570" s="32"/>
      <c r="B570" s="32"/>
      <c r="C570" s="32"/>
      <c r="D570" s="32"/>
      <c r="E570" s="32"/>
      <c r="F570" s="32"/>
      <c r="G570" s="32"/>
      <c r="H570" s="32"/>
      <c r="I570" s="32"/>
      <c r="J570" s="32"/>
      <c r="K570" s="32"/>
      <c r="L570" s="32"/>
      <c r="M570" s="32"/>
      <c r="N570" s="32"/>
      <c r="O570" s="32"/>
      <c r="P570" s="32"/>
      <c r="Q570" s="32"/>
      <c r="R570" s="32"/>
    </row>
    <row r="571" spans="1:18" s="56" customFormat="1" ht="15" customHeight="1">
      <c r="A571" s="32"/>
      <c r="B571" s="32"/>
      <c r="C571" s="32"/>
      <c r="D571" s="32"/>
      <c r="E571" s="32"/>
      <c r="F571" s="32"/>
      <c r="G571" s="32"/>
      <c r="H571" s="32"/>
      <c r="I571" s="32"/>
      <c r="J571" s="32"/>
      <c r="K571" s="32"/>
      <c r="L571" s="32"/>
      <c r="M571" s="32"/>
      <c r="N571" s="32"/>
      <c r="O571" s="32"/>
      <c r="P571" s="32"/>
      <c r="Q571" s="32"/>
      <c r="R571" s="32"/>
    </row>
    <row r="572" spans="1:18" s="56" customFormat="1" ht="15" customHeight="1">
      <c r="A572" s="32"/>
      <c r="B572" s="32"/>
      <c r="C572" s="32"/>
      <c r="D572" s="32"/>
      <c r="E572" s="32"/>
      <c r="F572" s="32"/>
      <c r="G572" s="32"/>
      <c r="H572" s="32"/>
      <c r="I572" s="32"/>
      <c r="J572" s="32"/>
      <c r="K572" s="32"/>
      <c r="L572" s="32"/>
      <c r="M572" s="32"/>
      <c r="N572" s="32"/>
      <c r="O572" s="32"/>
      <c r="P572" s="32"/>
      <c r="Q572" s="32"/>
      <c r="R572" s="32"/>
    </row>
    <row r="573" spans="1:18" s="56" customFormat="1" ht="15" customHeight="1">
      <c r="A573" s="32"/>
      <c r="B573" s="32"/>
      <c r="C573" s="32"/>
      <c r="D573" s="32"/>
      <c r="E573" s="32"/>
      <c r="F573" s="32"/>
      <c r="G573" s="32"/>
      <c r="H573" s="32"/>
      <c r="I573" s="32"/>
      <c r="J573" s="32"/>
      <c r="K573" s="32"/>
      <c r="L573" s="32"/>
      <c r="M573" s="32"/>
      <c r="N573" s="32"/>
      <c r="O573" s="32"/>
      <c r="P573" s="32"/>
      <c r="Q573" s="32"/>
      <c r="R573" s="32"/>
    </row>
    <row r="574" spans="1:18" s="56" customFormat="1" ht="15" customHeight="1">
      <c r="A574" s="32"/>
      <c r="B574" s="32"/>
      <c r="C574" s="32"/>
      <c r="D574" s="32"/>
      <c r="E574" s="32"/>
      <c r="F574" s="32"/>
      <c r="G574" s="32"/>
      <c r="H574" s="32"/>
      <c r="I574" s="32"/>
      <c r="J574" s="32"/>
      <c r="K574" s="32"/>
      <c r="L574" s="32"/>
      <c r="M574" s="32"/>
      <c r="N574" s="32"/>
      <c r="O574" s="32"/>
      <c r="P574" s="32"/>
      <c r="Q574" s="32"/>
      <c r="R574" s="32"/>
    </row>
    <row r="575" spans="1:18" s="56" customFormat="1" ht="15" customHeight="1">
      <c r="A575" s="32"/>
      <c r="B575" s="32"/>
      <c r="C575" s="32"/>
      <c r="D575" s="32"/>
      <c r="E575" s="32"/>
      <c r="F575" s="32"/>
      <c r="G575" s="32"/>
      <c r="H575" s="32"/>
      <c r="I575" s="32"/>
      <c r="J575" s="32"/>
      <c r="K575" s="32"/>
      <c r="L575" s="32"/>
      <c r="M575" s="32"/>
      <c r="N575" s="32"/>
      <c r="O575" s="32"/>
      <c r="P575" s="32"/>
      <c r="Q575" s="32"/>
      <c r="R575" s="32"/>
    </row>
    <row r="576" spans="1:18" s="56" customFormat="1" ht="15" customHeight="1">
      <c r="A576" s="32"/>
      <c r="B576" s="32"/>
      <c r="C576" s="32"/>
      <c r="D576" s="32"/>
      <c r="E576" s="32"/>
      <c r="F576" s="32"/>
      <c r="G576" s="32"/>
      <c r="H576" s="32"/>
      <c r="I576" s="32"/>
      <c r="J576" s="32"/>
      <c r="K576" s="32"/>
      <c r="L576" s="32"/>
      <c r="M576" s="32"/>
      <c r="N576" s="32"/>
      <c r="O576" s="32"/>
      <c r="P576" s="32"/>
      <c r="Q576" s="32"/>
      <c r="R576" s="32"/>
    </row>
    <row r="577" spans="1:18" s="56" customFormat="1" ht="15" customHeight="1">
      <c r="A577" s="32"/>
      <c r="B577" s="32"/>
      <c r="C577" s="32"/>
      <c r="D577" s="32"/>
      <c r="E577" s="32"/>
      <c r="F577" s="32"/>
      <c r="G577" s="32"/>
      <c r="H577" s="32"/>
      <c r="I577" s="32"/>
      <c r="J577" s="32"/>
      <c r="K577" s="32"/>
      <c r="L577" s="32"/>
      <c r="M577" s="32"/>
      <c r="N577" s="32"/>
      <c r="O577" s="32"/>
      <c r="P577" s="32"/>
      <c r="Q577" s="32"/>
      <c r="R577" s="32"/>
    </row>
    <row r="578" spans="1:18" s="56" customFormat="1" ht="15" customHeight="1">
      <c r="A578" s="32"/>
      <c r="B578" s="32"/>
      <c r="C578" s="32"/>
      <c r="D578" s="32"/>
      <c r="E578" s="32"/>
      <c r="F578" s="32"/>
      <c r="G578" s="32"/>
      <c r="H578" s="32"/>
      <c r="I578" s="32"/>
      <c r="J578" s="32"/>
      <c r="K578" s="32"/>
      <c r="L578" s="32"/>
      <c r="M578" s="32"/>
      <c r="N578" s="32"/>
      <c r="O578" s="32"/>
      <c r="P578" s="32"/>
      <c r="Q578" s="32"/>
      <c r="R578" s="32"/>
    </row>
    <row r="579" spans="1:18" s="56" customFormat="1" ht="15" customHeight="1">
      <c r="A579" s="32"/>
      <c r="B579" s="32"/>
      <c r="C579" s="32"/>
      <c r="D579" s="32"/>
      <c r="E579" s="32"/>
      <c r="F579" s="32"/>
      <c r="G579" s="32"/>
      <c r="H579" s="32"/>
      <c r="I579" s="32"/>
      <c r="J579" s="32"/>
      <c r="K579" s="32"/>
      <c r="L579" s="32"/>
      <c r="M579" s="32"/>
      <c r="N579" s="32"/>
      <c r="O579" s="32"/>
      <c r="P579" s="32"/>
      <c r="Q579" s="32"/>
      <c r="R579" s="32"/>
    </row>
    <row r="580" spans="1:18" s="56" customFormat="1" ht="15" customHeight="1">
      <c r="A580" s="32"/>
      <c r="B580" s="32"/>
      <c r="C580" s="32"/>
      <c r="D580" s="32"/>
      <c r="E580" s="32"/>
      <c r="F580" s="32"/>
      <c r="G580" s="32"/>
      <c r="H580" s="32"/>
      <c r="I580" s="32"/>
      <c r="J580" s="32"/>
      <c r="K580" s="32"/>
      <c r="L580" s="32"/>
      <c r="M580" s="32"/>
      <c r="N580" s="32"/>
      <c r="O580" s="32"/>
      <c r="P580" s="32"/>
      <c r="Q580" s="32"/>
      <c r="R580" s="32"/>
    </row>
    <row r="581" spans="1:18" s="56" customFormat="1" ht="15" customHeight="1">
      <c r="A581" s="32"/>
      <c r="B581" s="32"/>
      <c r="C581" s="32"/>
      <c r="D581" s="32"/>
      <c r="E581" s="32"/>
      <c r="F581" s="32"/>
      <c r="G581" s="32"/>
      <c r="H581" s="32"/>
      <c r="I581" s="32"/>
      <c r="J581" s="32"/>
      <c r="K581" s="32"/>
      <c r="L581" s="32"/>
      <c r="M581" s="32"/>
      <c r="N581" s="32"/>
      <c r="O581" s="32"/>
      <c r="P581" s="32"/>
      <c r="Q581" s="32"/>
      <c r="R581" s="32"/>
    </row>
    <row r="582" spans="1:18" s="56" customFormat="1" ht="15" customHeight="1">
      <c r="A582" s="32"/>
      <c r="B582" s="32"/>
      <c r="C582" s="32"/>
      <c r="D582" s="32"/>
      <c r="E582" s="32"/>
      <c r="F582" s="32"/>
      <c r="G582" s="32"/>
      <c r="H582" s="32"/>
      <c r="I582" s="32"/>
      <c r="J582" s="32"/>
      <c r="K582" s="32"/>
      <c r="L582" s="32"/>
      <c r="M582" s="32"/>
      <c r="N582" s="32"/>
      <c r="O582" s="32"/>
      <c r="P582" s="32"/>
      <c r="Q582" s="32"/>
      <c r="R582" s="32"/>
    </row>
    <row r="583" spans="1:18" s="56" customFormat="1" ht="15" customHeight="1">
      <c r="A583" s="32"/>
      <c r="B583" s="32"/>
      <c r="C583" s="32"/>
      <c r="D583" s="32"/>
      <c r="E583" s="32"/>
      <c r="F583" s="32"/>
      <c r="G583" s="32"/>
      <c r="H583" s="32"/>
      <c r="I583" s="32"/>
      <c r="J583" s="32"/>
      <c r="K583" s="32"/>
      <c r="L583" s="32"/>
      <c r="M583" s="32"/>
      <c r="N583" s="32"/>
      <c r="O583" s="32"/>
      <c r="P583" s="32"/>
      <c r="Q583" s="32"/>
      <c r="R583" s="32"/>
    </row>
    <row r="584" spans="1:18" s="56" customFormat="1" ht="15" customHeight="1">
      <c r="A584" s="32"/>
      <c r="B584" s="32"/>
      <c r="C584" s="32"/>
      <c r="D584" s="32"/>
      <c r="E584" s="32"/>
      <c r="F584" s="32"/>
      <c r="G584" s="32"/>
      <c r="H584" s="32"/>
      <c r="I584" s="32"/>
      <c r="J584" s="32"/>
      <c r="K584" s="32"/>
      <c r="L584" s="32"/>
      <c r="M584" s="32"/>
      <c r="N584" s="32"/>
      <c r="O584" s="32"/>
      <c r="P584" s="32"/>
      <c r="Q584" s="32"/>
      <c r="R584" s="32"/>
    </row>
    <row r="585" spans="1:18" s="56" customFormat="1" ht="15" customHeight="1">
      <c r="A585" s="32"/>
      <c r="B585" s="32"/>
      <c r="C585" s="32"/>
      <c r="D585" s="32"/>
      <c r="E585" s="32"/>
      <c r="F585" s="32"/>
      <c r="G585" s="32"/>
      <c r="H585" s="32"/>
      <c r="I585" s="32"/>
      <c r="J585" s="32"/>
      <c r="K585" s="32"/>
      <c r="L585" s="32"/>
      <c r="M585" s="32"/>
      <c r="N585" s="32"/>
      <c r="O585" s="32"/>
      <c r="P585" s="32"/>
      <c r="Q585" s="32"/>
      <c r="R585" s="32"/>
    </row>
    <row r="586" spans="1:18" s="56" customFormat="1" ht="15" customHeight="1">
      <c r="A586" s="32"/>
      <c r="B586" s="32"/>
      <c r="C586" s="32"/>
      <c r="D586" s="32"/>
      <c r="E586" s="32"/>
      <c r="F586" s="32"/>
      <c r="G586" s="32"/>
      <c r="H586" s="32"/>
      <c r="I586" s="32"/>
      <c r="J586" s="32"/>
      <c r="K586" s="32"/>
      <c r="L586" s="32"/>
      <c r="M586" s="32"/>
      <c r="N586" s="32"/>
      <c r="O586" s="32"/>
      <c r="P586" s="32"/>
      <c r="Q586" s="32"/>
      <c r="R586" s="32"/>
    </row>
    <row r="587" spans="1:18" s="56" customFormat="1" ht="15" customHeight="1">
      <c r="A587" s="32"/>
      <c r="B587" s="32"/>
      <c r="C587" s="32"/>
      <c r="D587" s="32"/>
      <c r="E587" s="32"/>
      <c r="F587" s="32"/>
      <c r="G587" s="32"/>
      <c r="H587" s="32"/>
      <c r="I587" s="32"/>
      <c r="J587" s="32"/>
      <c r="K587" s="32"/>
      <c r="L587" s="32"/>
      <c r="M587" s="32"/>
      <c r="N587" s="32"/>
      <c r="O587" s="32"/>
      <c r="P587" s="32"/>
      <c r="Q587" s="32"/>
      <c r="R587" s="32"/>
    </row>
    <row r="588" spans="1:18" s="56" customFormat="1" ht="15" customHeight="1">
      <c r="A588" s="32"/>
      <c r="B588" s="32"/>
      <c r="C588" s="32"/>
      <c r="D588" s="32"/>
      <c r="E588" s="32"/>
      <c r="F588" s="32"/>
      <c r="G588" s="32"/>
      <c r="H588" s="32"/>
      <c r="I588" s="32"/>
      <c r="J588" s="32"/>
      <c r="K588" s="32"/>
      <c r="L588" s="32"/>
      <c r="M588" s="32"/>
      <c r="N588" s="32"/>
      <c r="O588" s="32"/>
      <c r="P588" s="32"/>
      <c r="Q588" s="32"/>
      <c r="R588" s="32"/>
    </row>
    <row r="589" spans="1:18" s="56" customFormat="1" ht="15" customHeight="1">
      <c r="A589" s="32"/>
      <c r="B589" s="32"/>
      <c r="C589" s="32"/>
      <c r="D589" s="32"/>
      <c r="E589" s="32"/>
      <c r="F589" s="32"/>
      <c r="G589" s="32"/>
      <c r="H589" s="32"/>
      <c r="I589" s="32"/>
      <c r="J589" s="32"/>
      <c r="K589" s="32"/>
      <c r="L589" s="32"/>
      <c r="M589" s="32"/>
      <c r="N589" s="32"/>
      <c r="O589" s="32"/>
      <c r="P589" s="32"/>
      <c r="Q589" s="32"/>
      <c r="R589" s="32"/>
    </row>
    <row r="590" spans="1:18" s="56" customFormat="1" ht="15" customHeight="1">
      <c r="A590" s="32"/>
      <c r="B590" s="32"/>
      <c r="C590" s="32"/>
      <c r="D590" s="32"/>
      <c r="E590" s="32"/>
      <c r="F590" s="32"/>
      <c r="G590" s="32"/>
      <c r="H590" s="32"/>
      <c r="I590" s="32"/>
      <c r="J590" s="32"/>
      <c r="K590" s="32"/>
      <c r="L590" s="32"/>
      <c r="M590" s="32"/>
      <c r="N590" s="32"/>
      <c r="O590" s="32"/>
      <c r="P590" s="32"/>
      <c r="Q590" s="32"/>
      <c r="R590" s="32"/>
    </row>
    <row r="591" spans="1:18" s="56" customFormat="1" ht="15" customHeight="1">
      <c r="A591" s="32"/>
      <c r="B591" s="32"/>
      <c r="C591" s="32"/>
      <c r="D591" s="32"/>
      <c r="E591" s="32"/>
      <c r="F591" s="32"/>
      <c r="G591" s="32"/>
      <c r="H591" s="32"/>
      <c r="I591" s="32"/>
      <c r="J591" s="32"/>
      <c r="K591" s="32"/>
      <c r="L591" s="32"/>
      <c r="M591" s="32"/>
      <c r="N591" s="32"/>
      <c r="O591" s="32"/>
      <c r="P591" s="32"/>
      <c r="Q591" s="32"/>
      <c r="R591" s="32"/>
    </row>
    <row r="592" spans="1:18" s="56" customFormat="1" ht="15" customHeight="1">
      <c r="A592" s="32"/>
      <c r="B592" s="32"/>
      <c r="C592" s="32"/>
      <c r="D592" s="32"/>
      <c r="E592" s="32"/>
      <c r="F592" s="32"/>
      <c r="G592" s="32"/>
      <c r="H592" s="32"/>
      <c r="I592" s="32"/>
      <c r="J592" s="32"/>
      <c r="K592" s="32"/>
      <c r="L592" s="32"/>
      <c r="M592" s="32"/>
      <c r="N592" s="32"/>
      <c r="O592" s="32"/>
      <c r="P592" s="32"/>
      <c r="Q592" s="32"/>
      <c r="R592" s="32"/>
    </row>
    <row r="593" spans="1:18" s="56" customFormat="1" ht="15" customHeight="1">
      <c r="A593" s="32"/>
      <c r="B593" s="32"/>
      <c r="C593" s="32"/>
      <c r="D593" s="32"/>
      <c r="E593" s="32"/>
      <c r="F593" s="32"/>
      <c r="G593" s="32"/>
      <c r="H593" s="32"/>
      <c r="I593" s="32"/>
      <c r="J593" s="32"/>
      <c r="K593" s="32"/>
      <c r="L593" s="32"/>
      <c r="M593" s="32"/>
      <c r="N593" s="32"/>
      <c r="O593" s="32"/>
      <c r="P593" s="32"/>
      <c r="Q593" s="32"/>
      <c r="R593" s="32"/>
    </row>
    <row r="594" spans="1:18" s="56" customFormat="1" ht="15" customHeight="1">
      <c r="A594" s="32"/>
      <c r="B594" s="32"/>
      <c r="C594" s="32"/>
      <c r="D594" s="32"/>
      <c r="E594" s="32"/>
      <c r="F594" s="32"/>
      <c r="G594" s="32"/>
      <c r="H594" s="32"/>
      <c r="I594" s="32"/>
      <c r="J594" s="32"/>
      <c r="K594" s="32"/>
      <c r="L594" s="32"/>
      <c r="M594" s="32"/>
      <c r="N594" s="32"/>
      <c r="O594" s="32"/>
      <c r="P594" s="32"/>
      <c r="Q594" s="32"/>
      <c r="R594" s="32"/>
    </row>
    <row r="595" spans="1:18" s="56" customFormat="1" ht="15" customHeight="1">
      <c r="A595" s="32"/>
      <c r="B595" s="32"/>
      <c r="C595" s="32"/>
      <c r="D595" s="32"/>
      <c r="E595" s="32"/>
      <c r="F595" s="32"/>
      <c r="G595" s="32"/>
      <c r="H595" s="32"/>
      <c r="I595" s="32"/>
      <c r="J595" s="32"/>
      <c r="K595" s="32"/>
      <c r="L595" s="32"/>
      <c r="M595" s="32"/>
      <c r="N595" s="32"/>
      <c r="O595" s="32"/>
      <c r="P595" s="32"/>
      <c r="Q595" s="32"/>
      <c r="R595" s="32"/>
    </row>
    <row r="596" spans="1:18" s="56" customFormat="1" ht="15" customHeight="1">
      <c r="A596" s="32"/>
      <c r="B596" s="32"/>
      <c r="C596" s="32"/>
      <c r="D596" s="32"/>
      <c r="E596" s="32"/>
      <c r="F596" s="32"/>
      <c r="G596" s="32"/>
      <c r="H596" s="32"/>
      <c r="I596" s="32"/>
      <c r="J596" s="32"/>
      <c r="K596" s="32"/>
      <c r="L596" s="32"/>
      <c r="M596" s="32"/>
      <c r="N596" s="32"/>
      <c r="O596" s="32"/>
      <c r="P596" s="32"/>
      <c r="Q596" s="32"/>
      <c r="R596" s="32"/>
    </row>
    <row r="597" spans="1:18" s="56" customFormat="1" ht="15" customHeight="1">
      <c r="A597" s="32"/>
      <c r="B597" s="32"/>
      <c r="C597" s="32"/>
      <c r="D597" s="32"/>
      <c r="E597" s="32"/>
      <c r="F597" s="32"/>
      <c r="G597" s="32"/>
      <c r="H597" s="32"/>
      <c r="I597" s="32"/>
      <c r="J597" s="32"/>
      <c r="K597" s="32"/>
      <c r="L597" s="32"/>
      <c r="M597" s="32"/>
      <c r="N597" s="32"/>
      <c r="O597" s="32"/>
      <c r="P597" s="32"/>
      <c r="Q597" s="32"/>
      <c r="R597" s="32"/>
    </row>
    <row r="598" spans="1:18" s="56" customFormat="1" ht="15" customHeight="1">
      <c r="A598" s="32"/>
      <c r="B598" s="32"/>
      <c r="C598" s="32"/>
      <c r="D598" s="32"/>
      <c r="E598" s="32"/>
      <c r="F598" s="32"/>
      <c r="G598" s="32"/>
      <c r="H598" s="32"/>
      <c r="I598" s="32"/>
      <c r="J598" s="32"/>
      <c r="K598" s="32"/>
      <c r="L598" s="32"/>
      <c r="M598" s="32"/>
      <c r="N598" s="32"/>
      <c r="O598" s="32"/>
      <c r="P598" s="32"/>
      <c r="Q598" s="32"/>
      <c r="R598" s="32"/>
    </row>
    <row r="599" spans="1:18" s="56" customFormat="1" ht="15" customHeight="1">
      <c r="A599" s="32"/>
      <c r="B599" s="32"/>
      <c r="C599" s="32"/>
      <c r="D599" s="32"/>
      <c r="E599" s="32"/>
      <c r="F599" s="32"/>
      <c r="G599" s="32"/>
      <c r="H599" s="32"/>
      <c r="I599" s="32"/>
      <c r="J599" s="32"/>
      <c r="K599" s="32"/>
      <c r="L599" s="32"/>
      <c r="M599" s="32"/>
      <c r="N599" s="32"/>
      <c r="O599" s="32"/>
      <c r="P599" s="32"/>
      <c r="Q599" s="32"/>
      <c r="R599" s="32"/>
    </row>
    <row r="600" spans="1:18" s="56" customFormat="1" ht="15" customHeight="1">
      <c r="A600" s="32"/>
      <c r="B600" s="32"/>
      <c r="C600" s="32"/>
      <c r="D600" s="32"/>
      <c r="E600" s="32"/>
      <c r="F600" s="32"/>
      <c r="G600" s="32"/>
      <c r="H600" s="32"/>
      <c r="I600" s="32"/>
      <c r="J600" s="32"/>
      <c r="K600" s="32"/>
      <c r="L600" s="32"/>
      <c r="M600" s="32"/>
      <c r="N600" s="32"/>
      <c r="O600" s="32"/>
      <c r="P600" s="32"/>
      <c r="Q600" s="32"/>
      <c r="R600" s="32"/>
    </row>
    <row r="601" spans="1:18" s="56" customFormat="1" ht="15" customHeight="1">
      <c r="A601" s="32"/>
      <c r="B601" s="32"/>
      <c r="C601" s="32"/>
      <c r="D601" s="32"/>
      <c r="E601" s="32"/>
      <c r="F601" s="32"/>
      <c r="G601" s="32"/>
      <c r="H601" s="32"/>
      <c r="I601" s="32"/>
      <c r="J601" s="32"/>
      <c r="K601" s="32"/>
      <c r="L601" s="32"/>
      <c r="M601" s="32"/>
      <c r="N601" s="32"/>
      <c r="O601" s="32"/>
      <c r="P601" s="32"/>
      <c r="Q601" s="32"/>
      <c r="R601" s="32"/>
    </row>
    <row r="602" spans="1:18" s="56" customFormat="1" ht="15" customHeight="1">
      <c r="A602" s="32"/>
      <c r="B602" s="32"/>
      <c r="C602" s="32"/>
      <c r="D602" s="32"/>
      <c r="E602" s="32"/>
      <c r="F602" s="32"/>
      <c r="G602" s="32"/>
      <c r="H602" s="32"/>
      <c r="I602" s="32"/>
      <c r="J602" s="32"/>
      <c r="K602" s="32"/>
      <c r="L602" s="32"/>
      <c r="M602" s="32"/>
      <c r="N602" s="32"/>
      <c r="O602" s="32"/>
      <c r="P602" s="32"/>
      <c r="Q602" s="32"/>
      <c r="R602" s="32"/>
    </row>
    <row r="603" spans="1:18" s="56" customFormat="1" ht="15" customHeight="1">
      <c r="A603" s="32"/>
      <c r="B603" s="32"/>
      <c r="C603" s="32"/>
      <c r="D603" s="32"/>
      <c r="E603" s="32"/>
      <c r="F603" s="32"/>
      <c r="G603" s="32"/>
      <c r="H603" s="32"/>
      <c r="I603" s="32"/>
      <c r="J603" s="32"/>
      <c r="K603" s="32"/>
      <c r="L603" s="32"/>
      <c r="M603" s="32"/>
      <c r="N603" s="32"/>
      <c r="O603" s="32"/>
      <c r="P603" s="32"/>
      <c r="Q603" s="32"/>
      <c r="R603" s="32"/>
    </row>
    <row r="604" spans="1:18" s="56" customFormat="1" ht="15" customHeight="1">
      <c r="A604" s="32"/>
      <c r="B604" s="32"/>
      <c r="C604" s="32"/>
      <c r="D604" s="32"/>
      <c r="E604" s="32"/>
      <c r="F604" s="32"/>
      <c r="G604" s="32"/>
      <c r="H604" s="32"/>
      <c r="I604" s="32"/>
      <c r="J604" s="32"/>
      <c r="K604" s="32"/>
      <c r="L604" s="32"/>
      <c r="M604" s="32"/>
      <c r="N604" s="32"/>
      <c r="O604" s="32"/>
      <c r="P604" s="32"/>
      <c r="Q604" s="32"/>
      <c r="R604" s="32"/>
    </row>
    <row r="605" spans="1:18" s="56" customFormat="1" ht="15" customHeight="1">
      <c r="A605" s="32"/>
      <c r="B605" s="32"/>
      <c r="C605" s="32"/>
      <c r="D605" s="32"/>
      <c r="E605" s="32"/>
      <c r="F605" s="32"/>
      <c r="G605" s="32"/>
      <c r="H605" s="32"/>
      <c r="I605" s="32"/>
      <c r="J605" s="32"/>
      <c r="K605" s="32"/>
      <c r="L605" s="32"/>
      <c r="M605" s="32"/>
      <c r="N605" s="32"/>
      <c r="O605" s="32"/>
      <c r="P605" s="32"/>
      <c r="Q605" s="32"/>
      <c r="R605" s="32"/>
    </row>
    <row r="606" spans="1:18" s="56" customFormat="1" ht="15" customHeight="1">
      <c r="A606" s="32"/>
      <c r="B606" s="32"/>
      <c r="C606" s="32"/>
      <c r="D606" s="32"/>
      <c r="E606" s="32"/>
      <c r="F606" s="32"/>
      <c r="G606" s="32"/>
      <c r="H606" s="32"/>
      <c r="I606" s="32"/>
      <c r="J606" s="32"/>
      <c r="K606" s="32"/>
      <c r="L606" s="32"/>
      <c r="M606" s="32"/>
      <c r="N606" s="32"/>
      <c r="O606" s="32"/>
      <c r="P606" s="32"/>
      <c r="Q606" s="32"/>
      <c r="R606" s="32"/>
    </row>
    <row r="607" spans="1:18" s="56" customFormat="1" ht="15" customHeight="1">
      <c r="A607" s="32"/>
      <c r="B607" s="32"/>
      <c r="C607" s="32"/>
      <c r="D607" s="32"/>
      <c r="E607" s="32"/>
      <c r="F607" s="32"/>
      <c r="G607" s="32"/>
      <c r="H607" s="32"/>
      <c r="I607" s="32"/>
      <c r="J607" s="32"/>
      <c r="K607" s="32"/>
      <c r="L607" s="32"/>
      <c r="M607" s="32"/>
      <c r="N607" s="32"/>
      <c r="O607" s="32"/>
      <c r="P607" s="32"/>
      <c r="Q607" s="32"/>
      <c r="R607" s="32"/>
    </row>
    <row r="608" spans="1:18" s="56" customFormat="1" ht="15" customHeight="1">
      <c r="A608" s="32"/>
      <c r="B608" s="32"/>
      <c r="C608" s="32"/>
      <c r="D608" s="32"/>
      <c r="E608" s="32"/>
      <c r="F608" s="32"/>
      <c r="G608" s="32"/>
      <c r="H608" s="32"/>
      <c r="I608" s="32"/>
      <c r="J608" s="32"/>
      <c r="K608" s="32"/>
      <c r="L608" s="32"/>
      <c r="M608" s="32"/>
      <c r="N608" s="32"/>
      <c r="O608" s="32"/>
      <c r="P608" s="32"/>
      <c r="Q608" s="32"/>
      <c r="R608" s="32"/>
    </row>
    <row r="609" spans="1:18" s="56" customFormat="1" ht="15" customHeight="1">
      <c r="A609" s="32"/>
      <c r="B609" s="32"/>
      <c r="C609" s="32"/>
      <c r="D609" s="32"/>
      <c r="E609" s="32"/>
      <c r="F609" s="32"/>
      <c r="G609" s="32"/>
      <c r="H609" s="32"/>
      <c r="I609" s="32"/>
      <c r="J609" s="32"/>
      <c r="K609" s="32"/>
      <c r="L609" s="32"/>
      <c r="M609" s="32"/>
      <c r="N609" s="32"/>
      <c r="O609" s="32"/>
      <c r="P609" s="32"/>
      <c r="Q609" s="32"/>
      <c r="R609" s="32"/>
    </row>
    <row r="610" spans="1:18" s="56" customFormat="1" ht="15" customHeight="1">
      <c r="A610" s="32"/>
      <c r="B610" s="32"/>
      <c r="C610" s="32"/>
      <c r="D610" s="32"/>
      <c r="E610" s="32"/>
      <c r="F610" s="32"/>
      <c r="G610" s="32"/>
      <c r="H610" s="32"/>
      <c r="I610" s="32"/>
      <c r="J610" s="32"/>
      <c r="K610" s="32"/>
      <c r="L610" s="32"/>
      <c r="M610" s="32"/>
      <c r="N610" s="32"/>
      <c r="O610" s="32"/>
      <c r="P610" s="32"/>
      <c r="Q610" s="32"/>
      <c r="R610" s="32"/>
    </row>
    <row r="611" spans="1:18" s="56" customFormat="1" ht="15" customHeight="1">
      <c r="A611" s="32"/>
      <c r="B611" s="32"/>
      <c r="C611" s="32"/>
      <c r="D611" s="32"/>
      <c r="E611" s="32"/>
      <c r="F611" s="32"/>
      <c r="G611" s="32"/>
      <c r="H611" s="32"/>
      <c r="I611" s="32"/>
      <c r="J611" s="32"/>
      <c r="K611" s="32"/>
      <c r="L611" s="32"/>
      <c r="M611" s="32"/>
      <c r="N611" s="32"/>
      <c r="O611" s="32"/>
      <c r="P611" s="32"/>
      <c r="Q611" s="32"/>
      <c r="R611" s="32"/>
    </row>
    <row r="612" spans="1:18" s="56" customFormat="1" ht="15" customHeight="1">
      <c r="A612" s="32"/>
      <c r="B612" s="32"/>
      <c r="C612" s="32"/>
      <c r="D612" s="32"/>
      <c r="E612" s="32"/>
      <c r="F612" s="32"/>
      <c r="G612" s="32"/>
      <c r="H612" s="32"/>
      <c r="I612" s="32"/>
      <c r="J612" s="32"/>
      <c r="K612" s="32"/>
      <c r="L612" s="32"/>
      <c r="M612" s="32"/>
      <c r="N612" s="32"/>
      <c r="O612" s="32"/>
      <c r="P612" s="32"/>
      <c r="Q612" s="32"/>
      <c r="R612" s="32"/>
    </row>
    <row r="613" spans="1:18" s="56" customFormat="1" ht="15" customHeight="1">
      <c r="A613" s="32"/>
      <c r="B613" s="32"/>
      <c r="C613" s="32"/>
      <c r="D613" s="32"/>
      <c r="E613" s="32"/>
      <c r="F613" s="32"/>
      <c r="G613" s="32"/>
      <c r="H613" s="32"/>
      <c r="I613" s="32"/>
      <c r="J613" s="32"/>
      <c r="K613" s="32"/>
      <c r="L613" s="32"/>
      <c r="M613" s="32"/>
      <c r="N613" s="32"/>
      <c r="O613" s="32"/>
      <c r="P613" s="32"/>
      <c r="Q613" s="32"/>
      <c r="R613" s="32"/>
    </row>
    <row r="614" spans="1:18" s="56" customFormat="1" ht="15" customHeight="1">
      <c r="A614" s="32"/>
      <c r="B614" s="32"/>
      <c r="C614" s="32"/>
      <c r="D614" s="32"/>
      <c r="E614" s="32"/>
      <c r="F614" s="32"/>
      <c r="G614" s="32"/>
      <c r="H614" s="32"/>
      <c r="I614" s="32"/>
      <c r="J614" s="32"/>
      <c r="K614" s="32"/>
      <c r="L614" s="32"/>
      <c r="M614" s="32"/>
      <c r="N614" s="32"/>
      <c r="O614" s="32"/>
      <c r="P614" s="32"/>
      <c r="Q614" s="32"/>
      <c r="R614" s="32"/>
    </row>
    <row r="615" spans="1:18" s="56" customFormat="1" ht="15" customHeight="1">
      <c r="A615" s="32"/>
      <c r="B615" s="32"/>
      <c r="C615" s="32"/>
      <c r="D615" s="32"/>
      <c r="E615" s="32"/>
      <c r="F615" s="32"/>
      <c r="G615" s="32"/>
      <c r="H615" s="32"/>
      <c r="I615" s="32"/>
      <c r="J615" s="32"/>
      <c r="K615" s="32"/>
      <c r="L615" s="32"/>
      <c r="M615" s="32"/>
      <c r="N615" s="32"/>
      <c r="O615" s="32"/>
      <c r="P615" s="32"/>
      <c r="Q615" s="32"/>
      <c r="R615" s="32"/>
    </row>
    <row r="616" spans="1:18" s="56" customFormat="1" ht="15" customHeight="1">
      <c r="A616" s="32"/>
      <c r="B616" s="32"/>
      <c r="C616" s="32"/>
      <c r="D616" s="32"/>
      <c r="E616" s="32"/>
      <c r="F616" s="32"/>
      <c r="G616" s="32"/>
      <c r="H616" s="32"/>
      <c r="I616" s="32"/>
      <c r="J616" s="32"/>
      <c r="K616" s="32"/>
      <c r="L616" s="32"/>
      <c r="M616" s="32"/>
      <c r="N616" s="32"/>
      <c r="O616" s="32"/>
      <c r="P616" s="32"/>
      <c r="Q616" s="32"/>
      <c r="R616" s="32"/>
    </row>
    <row r="617" spans="1:18" s="56" customFormat="1" ht="15" customHeight="1">
      <c r="A617" s="32"/>
      <c r="B617" s="32"/>
      <c r="C617" s="32"/>
      <c r="D617" s="32"/>
      <c r="E617" s="32"/>
      <c r="F617" s="32"/>
      <c r="G617" s="32"/>
      <c r="H617" s="32"/>
      <c r="I617" s="32"/>
      <c r="J617" s="32"/>
      <c r="K617" s="32"/>
      <c r="L617" s="32"/>
      <c r="M617" s="32"/>
      <c r="N617" s="32"/>
      <c r="O617" s="32"/>
      <c r="P617" s="32"/>
      <c r="Q617" s="32"/>
      <c r="R617" s="32"/>
    </row>
    <row r="618" spans="1:18" s="56" customFormat="1" ht="15" customHeight="1">
      <c r="A618" s="32"/>
      <c r="B618" s="32"/>
      <c r="C618" s="32"/>
      <c r="D618" s="32"/>
      <c r="E618" s="32"/>
      <c r="F618" s="32"/>
      <c r="G618" s="32"/>
      <c r="H618" s="32"/>
      <c r="I618" s="32"/>
      <c r="J618" s="32"/>
      <c r="K618" s="32"/>
      <c r="L618" s="32"/>
      <c r="M618" s="32"/>
      <c r="N618" s="32"/>
      <c r="O618" s="32"/>
      <c r="P618" s="32"/>
      <c r="Q618" s="32"/>
      <c r="R618" s="32"/>
    </row>
    <row r="619" spans="1:18" s="56" customFormat="1" ht="15" customHeight="1">
      <c r="A619" s="32"/>
      <c r="B619" s="32"/>
      <c r="C619" s="32"/>
      <c r="D619" s="32"/>
      <c r="E619" s="32"/>
      <c r="F619" s="32"/>
      <c r="G619" s="32"/>
      <c r="H619" s="32"/>
      <c r="I619" s="32"/>
      <c r="J619" s="32"/>
      <c r="K619" s="32"/>
      <c r="L619" s="32"/>
      <c r="M619" s="32"/>
      <c r="N619" s="32"/>
      <c r="O619" s="32"/>
      <c r="P619" s="32"/>
      <c r="Q619" s="32"/>
      <c r="R619" s="32"/>
    </row>
    <row r="620" spans="1:18" s="56" customFormat="1" ht="15" customHeight="1">
      <c r="A620" s="32"/>
      <c r="B620" s="32"/>
      <c r="C620" s="32"/>
      <c r="D620" s="32"/>
      <c r="E620" s="32"/>
      <c r="F620" s="32"/>
      <c r="G620" s="32"/>
      <c r="H620" s="32"/>
      <c r="I620" s="32"/>
      <c r="J620" s="32"/>
      <c r="K620" s="32"/>
      <c r="L620" s="32"/>
      <c r="M620" s="32"/>
      <c r="N620" s="32"/>
      <c r="O620" s="32"/>
      <c r="P620" s="32"/>
      <c r="Q620" s="32"/>
      <c r="R620" s="32"/>
    </row>
    <row r="621" spans="1:18" s="56" customFormat="1" ht="15" customHeight="1">
      <c r="A621" s="32"/>
      <c r="B621" s="32"/>
      <c r="C621" s="32"/>
      <c r="D621" s="32"/>
      <c r="E621" s="32"/>
      <c r="F621" s="32"/>
      <c r="G621" s="32"/>
      <c r="H621" s="32"/>
      <c r="I621" s="32"/>
      <c r="J621" s="32"/>
      <c r="K621" s="32"/>
      <c r="L621" s="32"/>
      <c r="M621" s="32"/>
      <c r="N621" s="32"/>
      <c r="O621" s="32"/>
      <c r="P621" s="32"/>
      <c r="Q621" s="32"/>
      <c r="R621" s="32"/>
    </row>
    <row r="622" spans="1:18" s="56" customFormat="1" ht="15" customHeight="1">
      <c r="A622" s="32"/>
      <c r="B622" s="32"/>
      <c r="C622" s="32"/>
      <c r="D622" s="32"/>
      <c r="E622" s="32"/>
      <c r="F622" s="32"/>
      <c r="G622" s="32"/>
      <c r="H622" s="32"/>
      <c r="I622" s="32"/>
      <c r="J622" s="32"/>
      <c r="K622" s="32"/>
      <c r="L622" s="32"/>
      <c r="M622" s="32"/>
      <c r="N622" s="32"/>
      <c r="O622" s="32"/>
      <c r="P622" s="32"/>
      <c r="Q622" s="32"/>
      <c r="R622" s="32"/>
    </row>
    <row r="623" spans="1:18" s="56" customFormat="1" ht="15" customHeight="1">
      <c r="A623" s="32"/>
      <c r="B623" s="32"/>
      <c r="C623" s="32"/>
      <c r="D623" s="32"/>
      <c r="E623" s="32"/>
      <c r="F623" s="32"/>
      <c r="G623" s="32"/>
      <c r="H623" s="32"/>
      <c r="I623" s="32"/>
      <c r="J623" s="32"/>
      <c r="K623" s="32"/>
      <c r="L623" s="32"/>
      <c r="M623" s="32"/>
      <c r="N623" s="32"/>
      <c r="O623" s="32"/>
      <c r="P623" s="32"/>
      <c r="Q623" s="32"/>
      <c r="R623" s="32"/>
    </row>
    <row r="624" spans="1:18" s="56" customFormat="1" ht="15" customHeight="1">
      <c r="A624" s="32"/>
      <c r="B624" s="32"/>
      <c r="C624" s="32"/>
      <c r="D624" s="32"/>
      <c r="E624" s="32"/>
      <c r="F624" s="32"/>
      <c r="G624" s="32"/>
      <c r="H624" s="32"/>
      <c r="I624" s="32"/>
      <c r="J624" s="32"/>
      <c r="K624" s="32"/>
      <c r="L624" s="32"/>
      <c r="M624" s="32"/>
      <c r="N624" s="32"/>
      <c r="O624" s="32"/>
      <c r="P624" s="32"/>
      <c r="Q624" s="32"/>
      <c r="R624" s="32"/>
    </row>
    <row r="625" spans="1:18" s="56" customFormat="1" ht="15" customHeight="1">
      <c r="A625" s="32"/>
      <c r="B625" s="32"/>
      <c r="C625" s="32"/>
      <c r="D625" s="32"/>
      <c r="E625" s="32"/>
      <c r="F625" s="32"/>
      <c r="G625" s="32"/>
      <c r="H625" s="32"/>
      <c r="I625" s="32"/>
      <c r="J625" s="32"/>
      <c r="K625" s="32"/>
      <c r="L625" s="32"/>
      <c r="M625" s="32"/>
      <c r="N625" s="32"/>
      <c r="O625" s="32"/>
      <c r="P625" s="32"/>
      <c r="Q625" s="32"/>
      <c r="R625" s="32"/>
    </row>
    <row r="626" spans="1:18" s="56" customFormat="1" ht="15" customHeight="1">
      <c r="A626" s="32"/>
      <c r="B626" s="32"/>
      <c r="C626" s="32"/>
      <c r="D626" s="32"/>
      <c r="E626" s="32"/>
      <c r="F626" s="32"/>
      <c r="G626" s="32"/>
      <c r="H626" s="32"/>
      <c r="I626" s="32"/>
      <c r="J626" s="32"/>
      <c r="K626" s="32"/>
      <c r="L626" s="32"/>
      <c r="M626" s="32"/>
      <c r="N626" s="32"/>
      <c r="O626" s="32"/>
      <c r="P626" s="32"/>
      <c r="Q626" s="32"/>
      <c r="R626" s="32"/>
    </row>
    <row r="627" spans="1:18" s="56" customFormat="1" ht="15" customHeight="1">
      <c r="A627" s="32"/>
      <c r="B627" s="32"/>
      <c r="C627" s="32"/>
      <c r="D627" s="32"/>
      <c r="E627" s="32"/>
      <c r="F627" s="32"/>
      <c r="G627" s="32"/>
      <c r="H627" s="32"/>
      <c r="I627" s="32"/>
      <c r="J627" s="32"/>
      <c r="K627" s="32"/>
      <c r="L627" s="32"/>
      <c r="M627" s="32"/>
      <c r="N627" s="32"/>
      <c r="O627" s="32"/>
      <c r="P627" s="32"/>
      <c r="Q627" s="32"/>
      <c r="R627" s="32"/>
    </row>
    <row r="628" spans="1:18" s="56" customFormat="1" ht="15" customHeight="1">
      <c r="A628" s="32"/>
      <c r="B628" s="32"/>
      <c r="C628" s="32"/>
      <c r="D628" s="32"/>
      <c r="E628" s="32"/>
      <c r="F628" s="32"/>
      <c r="G628" s="32"/>
      <c r="H628" s="32"/>
      <c r="I628" s="32"/>
      <c r="J628" s="32"/>
      <c r="K628" s="32"/>
      <c r="L628" s="32"/>
      <c r="M628" s="32"/>
      <c r="N628" s="32"/>
      <c r="O628" s="32"/>
      <c r="P628" s="32"/>
      <c r="Q628" s="32"/>
      <c r="R628" s="32"/>
    </row>
    <row r="629" spans="1:18" s="56" customFormat="1" ht="15" customHeight="1">
      <c r="A629" s="32"/>
      <c r="B629" s="32"/>
      <c r="C629" s="32"/>
      <c r="D629" s="32"/>
      <c r="E629" s="32"/>
      <c r="F629" s="32"/>
      <c r="G629" s="32"/>
      <c r="H629" s="32"/>
      <c r="I629" s="32"/>
      <c r="J629" s="32"/>
      <c r="K629" s="32"/>
      <c r="L629" s="32"/>
      <c r="M629" s="32"/>
      <c r="N629" s="32"/>
      <c r="O629" s="32"/>
      <c r="P629" s="32"/>
      <c r="Q629" s="32"/>
      <c r="R629" s="32"/>
    </row>
    <row r="630" spans="1:18" s="56" customFormat="1" ht="15" customHeight="1">
      <c r="A630" s="32"/>
      <c r="B630" s="32"/>
      <c r="C630" s="32"/>
      <c r="D630" s="32"/>
      <c r="E630" s="32"/>
      <c r="F630" s="32"/>
      <c r="G630" s="32"/>
      <c r="H630" s="32"/>
      <c r="I630" s="32"/>
      <c r="J630" s="32"/>
      <c r="K630" s="32"/>
      <c r="L630" s="32"/>
      <c r="M630" s="32"/>
      <c r="N630" s="32"/>
      <c r="O630" s="32"/>
      <c r="P630" s="32"/>
      <c r="Q630" s="32"/>
      <c r="R630" s="32"/>
    </row>
    <row r="631" spans="1:18" s="56" customFormat="1" ht="15" customHeight="1">
      <c r="A631" s="32"/>
      <c r="B631" s="32"/>
      <c r="C631" s="32"/>
      <c r="D631" s="32"/>
      <c r="E631" s="32"/>
      <c r="F631" s="32"/>
      <c r="G631" s="32"/>
      <c r="H631" s="32"/>
      <c r="I631" s="32"/>
      <c r="J631" s="32"/>
      <c r="K631" s="32"/>
      <c r="L631" s="32"/>
      <c r="M631" s="32"/>
      <c r="N631" s="32"/>
      <c r="O631" s="32"/>
      <c r="P631" s="32"/>
      <c r="Q631" s="32"/>
      <c r="R631" s="32"/>
    </row>
    <row r="632" spans="1:18" s="56" customFormat="1" ht="15" customHeight="1">
      <c r="A632" s="32"/>
      <c r="B632" s="32"/>
      <c r="C632" s="32"/>
      <c r="D632" s="32"/>
      <c r="E632" s="32"/>
      <c r="F632" s="32"/>
      <c r="G632" s="32"/>
      <c r="H632" s="32"/>
      <c r="I632" s="32"/>
      <c r="J632" s="32"/>
      <c r="K632" s="32"/>
      <c r="L632" s="32"/>
      <c r="M632" s="32"/>
      <c r="N632" s="32"/>
      <c r="O632" s="32"/>
      <c r="P632" s="32"/>
      <c r="Q632" s="32"/>
      <c r="R632" s="32"/>
    </row>
    <row r="633" spans="1:18" s="56" customFormat="1" ht="15" customHeight="1">
      <c r="A633" s="32"/>
      <c r="B633" s="32"/>
      <c r="C633" s="32"/>
      <c r="D633" s="32"/>
      <c r="E633" s="32"/>
      <c r="F633" s="32"/>
      <c r="G633" s="32"/>
      <c r="H633" s="32"/>
      <c r="I633" s="32"/>
      <c r="J633" s="32"/>
      <c r="K633" s="32"/>
      <c r="L633" s="32"/>
      <c r="M633" s="32"/>
      <c r="N633" s="32"/>
      <c r="O633" s="32"/>
      <c r="P633" s="32"/>
      <c r="Q633" s="32"/>
      <c r="R633" s="32"/>
    </row>
    <row r="634" spans="1:18" s="56" customFormat="1" ht="15" customHeight="1">
      <c r="A634" s="32"/>
      <c r="B634" s="32"/>
      <c r="C634" s="32"/>
      <c r="D634" s="32"/>
      <c r="E634" s="32"/>
      <c r="F634" s="32"/>
      <c r="G634" s="32"/>
      <c r="H634" s="32"/>
      <c r="I634" s="32"/>
      <c r="J634" s="32"/>
      <c r="K634" s="32"/>
      <c r="L634" s="32"/>
      <c r="M634" s="32"/>
      <c r="N634" s="32"/>
      <c r="O634" s="32"/>
      <c r="P634" s="32"/>
      <c r="Q634" s="32"/>
      <c r="R634" s="32"/>
    </row>
    <row r="635" spans="1:18" s="56" customFormat="1" ht="15" customHeight="1">
      <c r="A635" s="32"/>
      <c r="B635" s="32"/>
      <c r="C635" s="32"/>
      <c r="D635" s="32"/>
      <c r="E635" s="32"/>
      <c r="F635" s="32"/>
      <c r="G635" s="32"/>
      <c r="H635" s="32"/>
      <c r="I635" s="32"/>
      <c r="J635" s="32"/>
      <c r="K635" s="32"/>
      <c r="L635" s="32"/>
      <c r="M635" s="32"/>
      <c r="N635" s="32"/>
      <c r="O635" s="32"/>
      <c r="P635" s="32"/>
      <c r="Q635" s="32"/>
      <c r="R635" s="32"/>
    </row>
    <row r="636" spans="1:18" s="56" customFormat="1" ht="15" customHeight="1">
      <c r="A636" s="32"/>
      <c r="B636" s="32"/>
      <c r="C636" s="32"/>
      <c r="D636" s="32"/>
      <c r="E636" s="32"/>
      <c r="F636" s="32"/>
      <c r="G636" s="32"/>
      <c r="H636" s="32"/>
      <c r="I636" s="32"/>
      <c r="J636" s="32"/>
      <c r="K636" s="32"/>
      <c r="L636" s="32"/>
      <c r="M636" s="32"/>
      <c r="N636" s="32"/>
      <c r="O636" s="32"/>
      <c r="P636" s="32"/>
      <c r="Q636" s="32"/>
      <c r="R636" s="32"/>
    </row>
    <row r="637" spans="1:18" s="56" customFormat="1" ht="15" customHeight="1">
      <c r="A637" s="32"/>
      <c r="B637" s="32"/>
      <c r="C637" s="32"/>
      <c r="D637" s="32"/>
      <c r="E637" s="32"/>
      <c r="F637" s="32"/>
      <c r="G637" s="32"/>
      <c r="H637" s="32"/>
      <c r="I637" s="32"/>
      <c r="J637" s="32"/>
      <c r="K637" s="32"/>
      <c r="L637" s="32"/>
      <c r="M637" s="32"/>
      <c r="N637" s="32"/>
      <c r="O637" s="32"/>
      <c r="P637" s="32"/>
      <c r="Q637" s="32"/>
      <c r="R637" s="32"/>
    </row>
    <row r="638" spans="1:18" s="56" customFormat="1" ht="15" customHeight="1">
      <c r="A638" s="32"/>
      <c r="B638" s="32"/>
      <c r="C638" s="32"/>
      <c r="D638" s="32"/>
      <c r="E638" s="32"/>
      <c r="F638" s="32"/>
      <c r="G638" s="32"/>
      <c r="H638" s="32"/>
      <c r="I638" s="32"/>
      <c r="J638" s="32"/>
      <c r="K638" s="32"/>
      <c r="L638" s="32"/>
      <c r="M638" s="32"/>
      <c r="N638" s="32"/>
      <c r="O638" s="32"/>
      <c r="P638" s="32"/>
      <c r="Q638" s="32"/>
      <c r="R638" s="32"/>
    </row>
    <row r="639" spans="1:18" s="56" customFormat="1" ht="15" customHeight="1">
      <c r="A639" s="32"/>
      <c r="B639" s="32"/>
      <c r="C639" s="32"/>
      <c r="D639" s="32"/>
      <c r="E639" s="32"/>
      <c r="F639" s="32"/>
      <c r="G639" s="32"/>
      <c r="H639" s="32"/>
      <c r="I639" s="32"/>
      <c r="J639" s="32"/>
      <c r="K639" s="32"/>
      <c r="L639" s="32"/>
      <c r="M639" s="32"/>
      <c r="N639" s="32"/>
      <c r="O639" s="32"/>
      <c r="P639" s="32"/>
      <c r="Q639" s="32"/>
      <c r="R639" s="32"/>
    </row>
    <row r="640" spans="1:18" s="56" customFormat="1" ht="15" customHeight="1">
      <c r="A640" s="32"/>
      <c r="B640" s="32"/>
      <c r="C640" s="32"/>
      <c r="D640" s="32"/>
      <c r="E640" s="32"/>
      <c r="F640" s="32"/>
      <c r="G640" s="32"/>
      <c r="H640" s="32"/>
      <c r="I640" s="32"/>
      <c r="J640" s="32"/>
      <c r="K640" s="32"/>
      <c r="L640" s="32"/>
      <c r="M640" s="32"/>
      <c r="N640" s="32"/>
      <c r="O640" s="32"/>
      <c r="P640" s="32"/>
      <c r="Q640" s="32"/>
      <c r="R640" s="32"/>
    </row>
    <row r="641" spans="1:18" s="56" customFormat="1" ht="15" customHeight="1">
      <c r="A641" s="32"/>
      <c r="B641" s="32"/>
      <c r="C641" s="32"/>
      <c r="D641" s="32"/>
      <c r="E641" s="32"/>
      <c r="F641" s="32"/>
      <c r="G641" s="32"/>
      <c r="H641" s="32"/>
      <c r="I641" s="32"/>
      <c r="J641" s="32"/>
      <c r="K641" s="32"/>
      <c r="L641" s="32"/>
      <c r="M641" s="32"/>
      <c r="N641" s="32"/>
      <c r="O641" s="32"/>
      <c r="P641" s="32"/>
      <c r="Q641" s="32"/>
      <c r="R641" s="32"/>
    </row>
    <row r="642" spans="1:18" s="56" customFormat="1" ht="15" customHeight="1">
      <c r="A642" s="32"/>
      <c r="B642" s="32"/>
      <c r="C642" s="32"/>
      <c r="D642" s="32"/>
      <c r="E642" s="32"/>
      <c r="F642" s="32"/>
      <c r="G642" s="32"/>
      <c r="H642" s="32"/>
      <c r="I642" s="32"/>
      <c r="J642" s="32"/>
      <c r="K642" s="32"/>
      <c r="L642" s="32"/>
      <c r="M642" s="32"/>
      <c r="N642" s="32"/>
      <c r="O642" s="32"/>
      <c r="P642" s="32"/>
      <c r="Q642" s="32"/>
      <c r="R642" s="32"/>
    </row>
    <row r="643" spans="1:18" s="56" customFormat="1" ht="15" customHeight="1">
      <c r="A643" s="32"/>
      <c r="B643" s="32"/>
      <c r="C643" s="32"/>
      <c r="D643" s="32"/>
      <c r="E643" s="32"/>
      <c r="F643" s="32"/>
      <c r="G643" s="32"/>
      <c r="H643" s="32"/>
      <c r="I643" s="32"/>
      <c r="J643" s="32"/>
      <c r="K643" s="32"/>
      <c r="L643" s="32"/>
      <c r="M643" s="32"/>
      <c r="N643" s="32"/>
      <c r="O643" s="32"/>
      <c r="P643" s="32"/>
      <c r="Q643" s="32"/>
      <c r="R643" s="32"/>
    </row>
    <row r="644" spans="1:18" s="56" customFormat="1" ht="15" customHeight="1">
      <c r="A644" s="32"/>
      <c r="B644" s="32"/>
      <c r="C644" s="32"/>
      <c r="D644" s="32"/>
      <c r="E644" s="32"/>
      <c r="F644" s="32"/>
      <c r="G644" s="32"/>
      <c r="H644" s="32"/>
      <c r="I644" s="32"/>
      <c r="J644" s="32"/>
      <c r="K644" s="32"/>
      <c r="L644" s="32"/>
      <c r="M644" s="32"/>
      <c r="N644" s="32"/>
      <c r="O644" s="32"/>
      <c r="P644" s="32"/>
      <c r="Q644" s="32"/>
      <c r="R644" s="32"/>
    </row>
    <row r="645" spans="1:18" s="56" customFormat="1" ht="15" customHeight="1">
      <c r="A645" s="32"/>
      <c r="B645" s="32"/>
      <c r="C645" s="32"/>
      <c r="D645" s="32"/>
      <c r="E645" s="32"/>
      <c r="F645" s="32"/>
      <c r="G645" s="32"/>
      <c r="H645" s="32"/>
      <c r="I645" s="32"/>
      <c r="J645" s="32"/>
      <c r="K645" s="32"/>
      <c r="L645" s="32"/>
      <c r="M645" s="32"/>
      <c r="N645" s="32"/>
      <c r="O645" s="32"/>
      <c r="P645" s="32"/>
      <c r="Q645" s="32"/>
      <c r="R645" s="32"/>
    </row>
    <row r="646" spans="1:18" s="56" customFormat="1" ht="15" customHeight="1">
      <c r="A646" s="32"/>
      <c r="B646" s="32"/>
      <c r="C646" s="32"/>
      <c r="D646" s="32"/>
      <c r="E646" s="32"/>
      <c r="F646" s="32"/>
      <c r="G646" s="32"/>
      <c r="H646" s="32"/>
      <c r="I646" s="32"/>
      <c r="J646" s="32"/>
      <c r="K646" s="32"/>
      <c r="L646" s="32"/>
      <c r="M646" s="32"/>
      <c r="N646" s="32"/>
      <c r="O646" s="32"/>
      <c r="P646" s="32"/>
      <c r="Q646" s="32"/>
      <c r="R646" s="32"/>
    </row>
    <row r="647" spans="1:18" s="56" customFormat="1" ht="15" customHeight="1">
      <c r="A647" s="32"/>
      <c r="B647" s="32"/>
      <c r="C647" s="32"/>
      <c r="D647" s="32"/>
      <c r="E647" s="32"/>
      <c r="F647" s="32"/>
      <c r="G647" s="32"/>
      <c r="H647" s="32"/>
      <c r="I647" s="32"/>
      <c r="J647" s="32"/>
      <c r="K647" s="32"/>
      <c r="L647" s="32"/>
      <c r="M647" s="32"/>
      <c r="N647" s="32"/>
      <c r="O647" s="32"/>
      <c r="P647" s="32"/>
      <c r="Q647" s="32"/>
      <c r="R647" s="32"/>
    </row>
    <row r="648" spans="1:18" s="56" customFormat="1" ht="15" customHeight="1">
      <c r="A648" s="32"/>
      <c r="B648" s="32"/>
      <c r="C648" s="32"/>
      <c r="D648" s="32"/>
      <c r="E648" s="32"/>
      <c r="F648" s="32"/>
      <c r="G648" s="32"/>
      <c r="H648" s="32"/>
      <c r="I648" s="32"/>
      <c r="J648" s="32"/>
      <c r="K648" s="32"/>
      <c r="L648" s="32"/>
      <c r="M648" s="32"/>
      <c r="N648" s="32"/>
      <c r="O648" s="32"/>
      <c r="P648" s="32"/>
      <c r="Q648" s="32"/>
      <c r="R648" s="32"/>
    </row>
    <row r="649" spans="1:18" s="56" customFormat="1" ht="15" customHeight="1">
      <c r="A649" s="32"/>
      <c r="B649" s="32"/>
      <c r="C649" s="32"/>
      <c r="D649" s="32"/>
      <c r="E649" s="32"/>
      <c r="F649" s="32"/>
      <c r="G649" s="32"/>
      <c r="H649" s="32"/>
      <c r="I649" s="32"/>
      <c r="J649" s="32"/>
      <c r="K649" s="32"/>
      <c r="L649" s="32"/>
      <c r="M649" s="32"/>
      <c r="N649" s="32"/>
      <c r="O649" s="32"/>
      <c r="P649" s="32"/>
      <c r="Q649" s="32"/>
      <c r="R649" s="32"/>
    </row>
    <row r="650" spans="1:18" s="56" customFormat="1" ht="15" customHeight="1">
      <c r="A650" s="32"/>
      <c r="B650" s="32"/>
      <c r="C650" s="32"/>
      <c r="D650" s="32"/>
      <c r="E650" s="32"/>
      <c r="F650" s="32"/>
      <c r="G650" s="32"/>
      <c r="H650" s="32"/>
      <c r="I650" s="32"/>
      <c r="J650" s="32"/>
      <c r="K650" s="32"/>
      <c r="L650" s="32"/>
      <c r="M650" s="32"/>
      <c r="N650" s="32"/>
      <c r="O650" s="32"/>
      <c r="P650" s="32"/>
      <c r="Q650" s="32"/>
      <c r="R650" s="32"/>
    </row>
    <row r="651" spans="1:18" s="56" customFormat="1" ht="15" customHeight="1">
      <c r="A651" s="32"/>
      <c r="B651" s="32"/>
      <c r="C651" s="32"/>
      <c r="D651" s="32"/>
      <c r="E651" s="32"/>
      <c r="F651" s="32"/>
      <c r="G651" s="32"/>
      <c r="H651" s="32"/>
      <c r="I651" s="32"/>
      <c r="J651" s="32"/>
      <c r="K651" s="32"/>
      <c r="L651" s="32"/>
      <c r="M651" s="32"/>
      <c r="N651" s="32"/>
      <c r="O651" s="32"/>
      <c r="P651" s="32"/>
      <c r="Q651" s="32"/>
      <c r="R651" s="32"/>
    </row>
    <row r="652" spans="1:18" s="56" customFormat="1" ht="15" customHeight="1">
      <c r="A652" s="32"/>
      <c r="B652" s="32"/>
      <c r="C652" s="32"/>
      <c r="D652" s="32"/>
      <c r="E652" s="32"/>
      <c r="F652" s="32"/>
      <c r="G652" s="32"/>
      <c r="H652" s="32"/>
      <c r="I652" s="32"/>
      <c r="J652" s="32"/>
      <c r="K652" s="32"/>
      <c r="L652" s="32"/>
      <c r="M652" s="32"/>
      <c r="N652" s="32"/>
      <c r="O652" s="32"/>
      <c r="P652" s="32"/>
      <c r="Q652" s="32"/>
      <c r="R652" s="32"/>
    </row>
    <row r="653" spans="1:18" s="56" customFormat="1" ht="15" customHeight="1">
      <c r="A653" s="32"/>
      <c r="B653" s="32"/>
      <c r="C653" s="32"/>
      <c r="D653" s="32"/>
      <c r="E653" s="32"/>
      <c r="F653" s="32"/>
      <c r="G653" s="32"/>
      <c r="H653" s="32"/>
      <c r="I653" s="32"/>
      <c r="J653" s="32"/>
      <c r="K653" s="32"/>
      <c r="L653" s="32"/>
      <c r="M653" s="32"/>
      <c r="N653" s="32"/>
      <c r="O653" s="32"/>
      <c r="P653" s="32"/>
      <c r="Q653" s="32"/>
      <c r="R653" s="32"/>
    </row>
    <row r="654" spans="1:18" s="56" customFormat="1" ht="15" customHeight="1">
      <c r="A654" s="32"/>
      <c r="B654" s="32"/>
      <c r="C654" s="32"/>
      <c r="D654" s="32"/>
      <c r="E654" s="32"/>
      <c r="F654" s="32"/>
      <c r="G654" s="32"/>
      <c r="H654" s="32"/>
      <c r="I654" s="32"/>
      <c r="J654" s="32"/>
      <c r="K654" s="32"/>
      <c r="L654" s="32"/>
      <c r="M654" s="32"/>
      <c r="N654" s="32"/>
      <c r="O654" s="32"/>
      <c r="P654" s="32"/>
      <c r="Q654" s="32"/>
      <c r="R654" s="32"/>
    </row>
    <row r="655" spans="1:18" s="56" customFormat="1" ht="15" customHeight="1">
      <c r="A655" s="32"/>
      <c r="B655" s="32"/>
      <c r="C655" s="32"/>
      <c r="D655" s="32"/>
      <c r="E655" s="32"/>
      <c r="F655" s="32"/>
      <c r="G655" s="32"/>
      <c r="H655" s="32"/>
      <c r="I655" s="32"/>
      <c r="J655" s="32"/>
      <c r="K655" s="32"/>
      <c r="L655" s="32"/>
      <c r="M655" s="32"/>
      <c r="N655" s="32"/>
      <c r="O655" s="32"/>
      <c r="P655" s="32"/>
      <c r="Q655" s="32"/>
      <c r="R655" s="32"/>
    </row>
    <row r="656" spans="1:18" s="56" customFormat="1" ht="15" customHeight="1">
      <c r="A656" s="32"/>
      <c r="B656" s="32"/>
      <c r="C656" s="32"/>
      <c r="D656" s="32"/>
      <c r="E656" s="32"/>
      <c r="F656" s="32"/>
      <c r="G656" s="32"/>
      <c r="H656" s="32"/>
      <c r="I656" s="32"/>
      <c r="J656" s="32"/>
      <c r="K656" s="32"/>
      <c r="L656" s="32"/>
      <c r="M656" s="32"/>
      <c r="N656" s="32"/>
      <c r="O656" s="32"/>
      <c r="P656" s="32"/>
      <c r="Q656" s="32"/>
      <c r="R656" s="32"/>
    </row>
    <row r="657" spans="1:18" s="56" customFormat="1" ht="15" customHeight="1">
      <c r="A657" s="32"/>
      <c r="B657" s="32"/>
      <c r="C657" s="32"/>
      <c r="D657" s="32"/>
      <c r="E657" s="32"/>
      <c r="F657" s="32"/>
      <c r="G657" s="32"/>
      <c r="H657" s="32"/>
      <c r="I657" s="32"/>
      <c r="J657" s="32"/>
      <c r="K657" s="32"/>
      <c r="L657" s="32"/>
      <c r="M657" s="32"/>
      <c r="N657" s="32"/>
      <c r="O657" s="32"/>
      <c r="P657" s="32"/>
      <c r="Q657" s="32"/>
      <c r="R657" s="32"/>
    </row>
    <row r="658" spans="1:18" s="56" customFormat="1" ht="15" customHeight="1">
      <c r="A658" s="32"/>
      <c r="B658" s="32"/>
      <c r="C658" s="32"/>
      <c r="D658" s="32"/>
      <c r="E658" s="32"/>
      <c r="F658" s="32"/>
      <c r="G658" s="32"/>
      <c r="H658" s="32"/>
      <c r="I658" s="32"/>
      <c r="J658" s="32"/>
      <c r="K658" s="32"/>
      <c r="L658" s="32"/>
      <c r="M658" s="32"/>
      <c r="N658" s="32"/>
      <c r="O658" s="32"/>
      <c r="P658" s="32"/>
      <c r="Q658" s="32"/>
      <c r="R658" s="32"/>
    </row>
    <row r="659" spans="1:18" s="56" customFormat="1" ht="15" customHeight="1">
      <c r="A659" s="32"/>
      <c r="B659" s="32"/>
      <c r="C659" s="32"/>
      <c r="D659" s="32"/>
      <c r="E659" s="32"/>
      <c r="F659" s="32"/>
      <c r="G659" s="32"/>
      <c r="H659" s="32"/>
      <c r="I659" s="32"/>
      <c r="J659" s="32"/>
      <c r="K659" s="32"/>
      <c r="L659" s="32"/>
      <c r="M659" s="32"/>
      <c r="N659" s="32"/>
      <c r="O659" s="32"/>
      <c r="P659" s="32"/>
      <c r="Q659" s="32"/>
      <c r="R659" s="32"/>
    </row>
    <row r="660" spans="1:18" s="56" customFormat="1" ht="15" customHeight="1">
      <c r="A660" s="32"/>
      <c r="B660" s="32"/>
      <c r="C660" s="32"/>
      <c r="D660" s="32"/>
      <c r="E660" s="32"/>
      <c r="F660" s="32"/>
      <c r="G660" s="32"/>
      <c r="H660" s="32"/>
      <c r="I660" s="32"/>
      <c r="J660" s="32"/>
      <c r="K660" s="32"/>
      <c r="L660" s="32"/>
      <c r="M660" s="32"/>
      <c r="N660" s="32"/>
      <c r="O660" s="32"/>
      <c r="P660" s="32"/>
      <c r="Q660" s="32"/>
      <c r="R660" s="32"/>
    </row>
    <row r="661" spans="1:18" s="56" customFormat="1" ht="15" customHeight="1">
      <c r="A661" s="32"/>
      <c r="B661" s="32"/>
      <c r="C661" s="32"/>
      <c r="D661" s="32"/>
      <c r="E661" s="32"/>
      <c r="F661" s="32"/>
      <c r="G661" s="32"/>
      <c r="H661" s="32"/>
      <c r="I661" s="32"/>
      <c r="J661" s="32"/>
      <c r="K661" s="32"/>
      <c r="L661" s="32"/>
      <c r="M661" s="32"/>
      <c r="N661" s="32"/>
      <c r="O661" s="32"/>
      <c r="P661" s="32"/>
      <c r="Q661" s="32"/>
      <c r="R661" s="32"/>
    </row>
    <row r="662" spans="1:18" s="56" customFormat="1" ht="15" customHeight="1">
      <c r="A662" s="32"/>
      <c r="B662" s="32"/>
      <c r="C662" s="32"/>
      <c r="D662" s="32"/>
      <c r="E662" s="32"/>
      <c r="F662" s="32"/>
      <c r="G662" s="32"/>
      <c r="H662" s="32"/>
      <c r="I662" s="32"/>
      <c r="J662" s="32"/>
      <c r="K662" s="32"/>
      <c r="L662" s="32"/>
      <c r="M662" s="32"/>
      <c r="N662" s="32"/>
      <c r="O662" s="32"/>
      <c r="P662" s="32"/>
      <c r="Q662" s="32"/>
      <c r="R662" s="32"/>
    </row>
    <row r="663" spans="1:18" s="56" customFormat="1" ht="15" customHeight="1">
      <c r="A663" s="32"/>
      <c r="B663" s="32"/>
      <c r="C663" s="32"/>
      <c r="D663" s="32"/>
      <c r="E663" s="32"/>
      <c r="F663" s="32"/>
      <c r="G663" s="32"/>
      <c r="H663" s="32"/>
      <c r="I663" s="32"/>
      <c r="J663" s="32"/>
      <c r="K663" s="32"/>
      <c r="L663" s="32"/>
      <c r="M663" s="32"/>
      <c r="N663" s="32"/>
      <c r="O663" s="32"/>
      <c r="P663" s="32"/>
      <c r="Q663" s="32"/>
      <c r="R663" s="32"/>
    </row>
    <row r="664" spans="1:18" s="56" customFormat="1" ht="15" customHeight="1">
      <c r="A664" s="32"/>
      <c r="B664" s="32"/>
      <c r="C664" s="32"/>
      <c r="D664" s="32"/>
      <c r="E664" s="32"/>
      <c r="F664" s="32"/>
      <c r="G664" s="32"/>
      <c r="H664" s="32"/>
      <c r="I664" s="32"/>
      <c r="J664" s="32"/>
      <c r="K664" s="32"/>
      <c r="L664" s="32"/>
      <c r="M664" s="32"/>
      <c r="N664" s="32"/>
      <c r="O664" s="32"/>
      <c r="P664" s="32"/>
      <c r="Q664" s="32"/>
      <c r="R664" s="32"/>
    </row>
    <row r="665" spans="1:18" s="56" customFormat="1" ht="15" customHeight="1">
      <c r="A665" s="32"/>
      <c r="B665" s="32"/>
      <c r="C665" s="32"/>
      <c r="D665" s="32"/>
      <c r="E665" s="32"/>
      <c r="F665" s="32"/>
      <c r="G665" s="32"/>
      <c r="H665" s="32"/>
      <c r="I665" s="32"/>
      <c r="J665" s="32"/>
      <c r="K665" s="32"/>
      <c r="L665" s="32"/>
      <c r="M665" s="32"/>
      <c r="N665" s="32"/>
      <c r="O665" s="32"/>
      <c r="P665" s="32"/>
      <c r="Q665" s="32"/>
      <c r="R665" s="32"/>
    </row>
    <row r="666" spans="1:18" s="56" customFormat="1" ht="15" customHeight="1">
      <c r="A666" s="32"/>
      <c r="B666" s="32"/>
      <c r="C666" s="32"/>
      <c r="D666" s="32"/>
      <c r="E666" s="32"/>
      <c r="F666" s="32"/>
      <c r="G666" s="32"/>
      <c r="H666" s="32"/>
      <c r="I666" s="32"/>
      <c r="J666" s="32"/>
      <c r="K666" s="32"/>
      <c r="L666" s="32"/>
      <c r="M666" s="32"/>
      <c r="N666" s="32"/>
      <c r="O666" s="32"/>
      <c r="P666" s="32"/>
      <c r="Q666" s="32"/>
      <c r="R666" s="32"/>
    </row>
    <row r="667" spans="1:18" s="56" customFormat="1" ht="15" customHeight="1">
      <c r="A667" s="32"/>
      <c r="B667" s="32"/>
      <c r="C667" s="32"/>
      <c r="D667" s="32"/>
      <c r="E667" s="32"/>
      <c r="F667" s="32"/>
      <c r="G667" s="32"/>
      <c r="H667" s="32"/>
      <c r="I667" s="32"/>
      <c r="J667" s="32"/>
      <c r="K667" s="32"/>
      <c r="L667" s="32"/>
      <c r="M667" s="32"/>
      <c r="N667" s="32"/>
      <c r="O667" s="32"/>
      <c r="P667" s="32"/>
      <c r="Q667" s="32"/>
      <c r="R667" s="32"/>
    </row>
    <row r="668" spans="1:18" s="56" customFormat="1" ht="15" customHeight="1">
      <c r="A668" s="32"/>
      <c r="B668" s="32"/>
      <c r="C668" s="32"/>
      <c r="D668" s="32"/>
      <c r="E668" s="32"/>
      <c r="F668" s="32"/>
      <c r="G668" s="32"/>
      <c r="H668" s="32"/>
      <c r="I668" s="32"/>
      <c r="J668" s="32"/>
      <c r="K668" s="32"/>
      <c r="L668" s="32"/>
      <c r="M668" s="32"/>
      <c r="N668" s="32"/>
      <c r="O668" s="32"/>
      <c r="P668" s="32"/>
      <c r="Q668" s="32"/>
      <c r="R668" s="32"/>
    </row>
    <row r="669" spans="1:18" s="56" customFormat="1" ht="15" customHeight="1">
      <c r="A669" s="32"/>
      <c r="B669" s="32"/>
      <c r="C669" s="32"/>
      <c r="D669" s="32"/>
      <c r="E669" s="32"/>
      <c r="F669" s="32"/>
      <c r="G669" s="32"/>
      <c r="H669" s="32"/>
      <c r="I669" s="32"/>
      <c r="J669" s="32"/>
      <c r="K669" s="32"/>
      <c r="L669" s="32"/>
      <c r="M669" s="32"/>
      <c r="N669" s="32"/>
      <c r="O669" s="32"/>
      <c r="P669" s="32"/>
      <c r="Q669" s="32"/>
      <c r="R669" s="32"/>
    </row>
    <row r="670" spans="1:18" s="56" customFormat="1" ht="15" customHeight="1">
      <c r="A670" s="32"/>
      <c r="B670" s="32"/>
      <c r="C670" s="32"/>
      <c r="D670" s="32"/>
      <c r="E670" s="32"/>
      <c r="F670" s="32"/>
      <c r="G670" s="32"/>
      <c r="H670" s="32"/>
      <c r="I670" s="32"/>
      <c r="J670" s="32"/>
      <c r="K670" s="32"/>
      <c r="L670" s="32"/>
      <c r="M670" s="32"/>
      <c r="N670" s="32"/>
      <c r="O670" s="32"/>
      <c r="P670" s="32"/>
      <c r="Q670" s="32"/>
      <c r="R670" s="32"/>
    </row>
    <row r="671" spans="1:18" s="56" customFormat="1" ht="15" customHeight="1">
      <c r="A671" s="32"/>
      <c r="B671" s="32"/>
      <c r="C671" s="32"/>
      <c r="D671" s="32"/>
      <c r="E671" s="32"/>
      <c r="F671" s="32"/>
      <c r="G671" s="32"/>
      <c r="H671" s="32"/>
      <c r="I671" s="32"/>
      <c r="J671" s="32"/>
      <c r="K671" s="32"/>
      <c r="L671" s="32"/>
      <c r="M671" s="32"/>
      <c r="N671" s="32"/>
      <c r="O671" s="32"/>
      <c r="P671" s="32"/>
      <c r="Q671" s="32"/>
      <c r="R671" s="32"/>
    </row>
    <row r="672" spans="1:18" s="56" customFormat="1" ht="15" customHeight="1">
      <c r="A672" s="32"/>
      <c r="B672" s="32"/>
      <c r="C672" s="32"/>
      <c r="D672" s="32"/>
      <c r="E672" s="32"/>
      <c r="F672" s="32"/>
      <c r="G672" s="32"/>
      <c r="H672" s="32"/>
      <c r="I672" s="32"/>
      <c r="J672" s="32"/>
      <c r="K672" s="32"/>
      <c r="L672" s="32"/>
      <c r="M672" s="32"/>
      <c r="N672" s="32"/>
      <c r="O672" s="32"/>
      <c r="P672" s="32"/>
      <c r="Q672" s="32"/>
      <c r="R672" s="32"/>
    </row>
    <row r="673" spans="1:18" s="56" customFormat="1" ht="15" customHeight="1">
      <c r="A673" s="32"/>
      <c r="B673" s="32"/>
      <c r="C673" s="32"/>
      <c r="D673" s="32"/>
      <c r="E673" s="32"/>
      <c r="F673" s="32"/>
      <c r="G673" s="32"/>
      <c r="H673" s="32"/>
      <c r="I673" s="32"/>
      <c r="J673" s="32"/>
      <c r="K673" s="32"/>
      <c r="L673" s="32"/>
      <c r="M673" s="32"/>
      <c r="N673" s="32"/>
      <c r="O673" s="32"/>
      <c r="P673" s="32"/>
      <c r="Q673" s="32"/>
      <c r="R673" s="32"/>
    </row>
    <row r="674" spans="1:18" s="56" customFormat="1" ht="15" customHeight="1">
      <c r="A674" s="32"/>
      <c r="B674" s="32"/>
      <c r="C674" s="32"/>
      <c r="D674" s="32"/>
      <c r="E674" s="32"/>
      <c r="F674" s="32"/>
      <c r="G674" s="32"/>
      <c r="H674" s="32"/>
      <c r="I674" s="32"/>
      <c r="J674" s="32"/>
      <c r="K674" s="32"/>
      <c r="L674" s="32"/>
      <c r="M674" s="32"/>
      <c r="N674" s="32"/>
      <c r="O674" s="32"/>
      <c r="P674" s="32"/>
      <c r="Q674" s="32"/>
      <c r="R674" s="32"/>
    </row>
    <row r="675" spans="1:18" s="56" customFormat="1" ht="15" customHeight="1">
      <c r="A675" s="32"/>
      <c r="B675" s="32"/>
      <c r="C675" s="32"/>
      <c r="D675" s="32"/>
      <c r="E675" s="32"/>
      <c r="F675" s="32"/>
      <c r="G675" s="32"/>
      <c r="H675" s="32"/>
      <c r="I675" s="32"/>
      <c r="J675" s="32"/>
      <c r="K675" s="32"/>
      <c r="L675" s="32"/>
      <c r="M675" s="32"/>
      <c r="N675" s="32"/>
      <c r="O675" s="32"/>
      <c r="P675" s="32"/>
      <c r="Q675" s="32"/>
      <c r="R675" s="32"/>
    </row>
    <row r="676" spans="1:18" s="56" customFormat="1" ht="15" customHeight="1">
      <c r="A676" s="32"/>
      <c r="B676" s="32"/>
      <c r="C676" s="32"/>
      <c r="D676" s="32"/>
      <c r="E676" s="32"/>
      <c r="F676" s="32"/>
      <c r="G676" s="32"/>
      <c r="H676" s="32"/>
      <c r="I676" s="32"/>
      <c r="J676" s="32"/>
      <c r="K676" s="32"/>
      <c r="L676" s="32"/>
      <c r="M676" s="32"/>
      <c r="N676" s="32"/>
      <c r="O676" s="32"/>
      <c r="P676" s="32"/>
      <c r="Q676" s="32"/>
      <c r="R676" s="32"/>
    </row>
    <row r="677" spans="1:18" s="56" customFormat="1" ht="15" customHeight="1">
      <c r="A677" s="32"/>
      <c r="B677" s="32"/>
      <c r="C677" s="32"/>
      <c r="D677" s="32"/>
      <c r="E677" s="32"/>
      <c r="F677" s="32"/>
      <c r="G677" s="32"/>
      <c r="H677" s="32"/>
      <c r="I677" s="32"/>
      <c r="J677" s="32"/>
      <c r="K677" s="32"/>
      <c r="L677" s="32"/>
      <c r="M677" s="32"/>
      <c r="N677" s="32"/>
      <c r="O677" s="32"/>
      <c r="P677" s="32"/>
      <c r="Q677" s="32"/>
      <c r="R677" s="32"/>
    </row>
    <row r="678" spans="1:18" s="56" customFormat="1" ht="15" customHeight="1">
      <c r="A678" s="32"/>
      <c r="B678" s="32"/>
      <c r="C678" s="32"/>
      <c r="D678" s="32"/>
      <c r="E678" s="32"/>
      <c r="F678" s="32"/>
      <c r="G678" s="32"/>
      <c r="H678" s="32"/>
      <c r="I678" s="32"/>
      <c r="J678" s="32"/>
      <c r="K678" s="32"/>
      <c r="L678" s="32"/>
      <c r="M678" s="32"/>
      <c r="N678" s="32"/>
      <c r="O678" s="32"/>
      <c r="P678" s="32"/>
      <c r="Q678" s="32"/>
      <c r="R678" s="32"/>
    </row>
    <row r="679" spans="1:18" s="56" customFormat="1" ht="15" customHeight="1">
      <c r="A679" s="32"/>
      <c r="B679" s="32"/>
      <c r="C679" s="32"/>
      <c r="D679" s="32"/>
      <c r="E679" s="32"/>
      <c r="F679" s="32"/>
      <c r="G679" s="32"/>
      <c r="H679" s="32"/>
      <c r="I679" s="32"/>
      <c r="J679" s="32"/>
      <c r="K679" s="32"/>
      <c r="L679" s="32"/>
      <c r="M679" s="32"/>
      <c r="N679" s="32"/>
      <c r="O679" s="32"/>
      <c r="P679" s="32"/>
      <c r="Q679" s="32"/>
      <c r="R679" s="32"/>
    </row>
    <row r="680" spans="1:18" s="56" customFormat="1" ht="15" customHeight="1">
      <c r="A680" s="32"/>
      <c r="B680" s="32"/>
      <c r="C680" s="32"/>
      <c r="D680" s="32"/>
      <c r="E680" s="32"/>
      <c r="F680" s="32"/>
      <c r="G680" s="32"/>
      <c r="H680" s="32"/>
      <c r="I680" s="32"/>
      <c r="J680" s="32"/>
      <c r="K680" s="32"/>
      <c r="L680" s="32"/>
      <c r="M680" s="32"/>
      <c r="N680" s="32"/>
      <c r="O680" s="32"/>
      <c r="P680" s="32"/>
      <c r="Q680" s="32"/>
      <c r="R680" s="32"/>
    </row>
    <row r="681" spans="1:18" s="56" customFormat="1" ht="15" customHeight="1">
      <c r="A681" s="32"/>
      <c r="B681" s="32"/>
      <c r="C681" s="32"/>
      <c r="D681" s="32"/>
      <c r="E681" s="32"/>
      <c r="F681" s="32"/>
      <c r="G681" s="32"/>
      <c r="H681" s="32"/>
      <c r="I681" s="32"/>
      <c r="J681" s="32"/>
      <c r="K681" s="32"/>
      <c r="L681" s="32"/>
      <c r="M681" s="32"/>
      <c r="N681" s="32"/>
      <c r="O681" s="32"/>
      <c r="P681" s="32"/>
      <c r="Q681" s="32"/>
      <c r="R681" s="32"/>
    </row>
    <row r="682" spans="1:18" s="56" customFormat="1" ht="15" customHeight="1">
      <c r="A682" s="32"/>
      <c r="B682" s="32"/>
      <c r="C682" s="32"/>
      <c r="D682" s="32"/>
      <c r="E682" s="32"/>
      <c r="F682" s="32"/>
      <c r="G682" s="32"/>
      <c r="H682" s="32"/>
      <c r="I682" s="32"/>
      <c r="J682" s="32"/>
      <c r="K682" s="32"/>
      <c r="L682" s="32"/>
      <c r="M682" s="32"/>
      <c r="N682" s="32"/>
      <c r="O682" s="32"/>
      <c r="P682" s="32"/>
      <c r="Q682" s="32"/>
      <c r="R682" s="32"/>
    </row>
    <row r="683" spans="1:18" s="56" customFormat="1" ht="15" customHeight="1">
      <c r="A683" s="32"/>
      <c r="B683" s="32"/>
      <c r="C683" s="32"/>
      <c r="D683" s="32"/>
      <c r="E683" s="32"/>
      <c r="F683" s="32"/>
      <c r="G683" s="32"/>
      <c r="H683" s="32"/>
      <c r="I683" s="32"/>
      <c r="J683" s="32"/>
      <c r="K683" s="32"/>
      <c r="L683" s="32"/>
      <c r="M683" s="32"/>
      <c r="N683" s="32"/>
      <c r="O683" s="32"/>
      <c r="P683" s="32"/>
      <c r="Q683" s="32"/>
      <c r="R683" s="32"/>
    </row>
    <row r="684" spans="1:18" s="56" customFormat="1" ht="15" customHeight="1">
      <c r="A684" s="32"/>
      <c r="B684" s="32"/>
      <c r="C684" s="32"/>
      <c r="D684" s="32"/>
      <c r="E684" s="32"/>
      <c r="F684" s="32"/>
      <c r="G684" s="32"/>
      <c r="H684" s="32"/>
      <c r="I684" s="32"/>
      <c r="J684" s="32"/>
      <c r="K684" s="32"/>
      <c r="L684" s="32"/>
      <c r="M684" s="32"/>
      <c r="N684" s="32"/>
      <c r="O684" s="32"/>
      <c r="P684" s="32"/>
      <c r="Q684" s="32"/>
      <c r="R684" s="32"/>
    </row>
    <row r="685" spans="1:18" s="56" customFormat="1" ht="15" customHeight="1">
      <c r="A685" s="32"/>
      <c r="B685" s="32"/>
      <c r="C685" s="32"/>
      <c r="D685" s="32"/>
      <c r="E685" s="32"/>
      <c r="F685" s="32"/>
      <c r="G685" s="32"/>
      <c r="H685" s="32"/>
      <c r="I685" s="32"/>
      <c r="J685" s="32"/>
      <c r="K685" s="32"/>
      <c r="L685" s="32"/>
      <c r="M685" s="32"/>
      <c r="N685" s="32"/>
      <c r="O685" s="32"/>
      <c r="P685" s="32"/>
      <c r="Q685" s="32"/>
      <c r="R685" s="32"/>
    </row>
    <row r="686" spans="1:18" s="56" customFormat="1" ht="15" customHeight="1">
      <c r="A686" s="32"/>
      <c r="B686" s="32"/>
      <c r="C686" s="32"/>
      <c r="D686" s="32"/>
      <c r="E686" s="32"/>
      <c r="F686" s="32"/>
      <c r="G686" s="32"/>
      <c r="H686" s="32"/>
      <c r="I686" s="32"/>
      <c r="J686" s="32"/>
      <c r="K686" s="32"/>
      <c r="L686" s="32"/>
      <c r="M686" s="32"/>
      <c r="N686" s="32"/>
      <c r="O686" s="32"/>
      <c r="P686" s="32"/>
      <c r="Q686" s="32"/>
      <c r="R686" s="32"/>
    </row>
    <row r="687" spans="1:18" s="56" customFormat="1" ht="15" customHeight="1">
      <c r="A687" s="32"/>
      <c r="B687" s="32"/>
      <c r="C687" s="32"/>
      <c r="D687" s="32"/>
      <c r="E687" s="32"/>
      <c r="F687" s="32"/>
      <c r="G687" s="32"/>
      <c r="H687" s="32"/>
      <c r="I687" s="32"/>
      <c r="J687" s="32"/>
      <c r="K687" s="32"/>
      <c r="L687" s="32"/>
      <c r="M687" s="32"/>
      <c r="N687" s="32"/>
      <c r="O687" s="32"/>
      <c r="P687" s="32"/>
      <c r="Q687" s="32"/>
      <c r="R687" s="32"/>
    </row>
    <row r="688" spans="1:18" s="56" customFormat="1" ht="15" customHeight="1">
      <c r="A688" s="32"/>
      <c r="B688" s="32"/>
      <c r="C688" s="32"/>
      <c r="D688" s="32"/>
      <c r="E688" s="32"/>
      <c r="F688" s="32"/>
      <c r="G688" s="32"/>
      <c r="H688" s="32"/>
      <c r="I688" s="32"/>
      <c r="J688" s="32"/>
      <c r="K688" s="32"/>
      <c r="L688" s="32"/>
      <c r="M688" s="32"/>
      <c r="N688" s="32"/>
      <c r="O688" s="32"/>
      <c r="P688" s="32"/>
      <c r="Q688" s="32"/>
      <c r="R688" s="32"/>
    </row>
    <row r="689" spans="1:18" s="56" customFormat="1" ht="15" customHeight="1">
      <c r="A689" s="32"/>
      <c r="B689" s="32"/>
      <c r="C689" s="32"/>
      <c r="D689" s="32"/>
      <c r="E689" s="32"/>
      <c r="F689" s="32"/>
      <c r="G689" s="32"/>
      <c r="H689" s="32"/>
      <c r="I689" s="32"/>
      <c r="J689" s="32"/>
      <c r="K689" s="32"/>
      <c r="L689" s="32"/>
      <c r="M689" s="32"/>
      <c r="N689" s="32"/>
      <c r="O689" s="32"/>
      <c r="P689" s="32"/>
      <c r="Q689" s="32"/>
      <c r="R689" s="32"/>
    </row>
    <row r="690" spans="1:18" s="56" customFormat="1" ht="15" customHeight="1">
      <c r="A690" s="32"/>
      <c r="B690" s="32"/>
      <c r="C690" s="32"/>
      <c r="D690" s="32"/>
      <c r="E690" s="32"/>
      <c r="F690" s="32"/>
      <c r="G690" s="32"/>
      <c r="H690" s="32"/>
      <c r="I690" s="32"/>
      <c r="J690" s="32"/>
      <c r="K690" s="32"/>
      <c r="L690" s="32"/>
      <c r="M690" s="32"/>
      <c r="N690" s="32"/>
      <c r="O690" s="32"/>
      <c r="P690" s="32"/>
      <c r="Q690" s="32"/>
      <c r="R690" s="32"/>
    </row>
    <row r="691" spans="1:18" s="56" customFormat="1" ht="15" customHeight="1">
      <c r="A691" s="32"/>
      <c r="B691" s="32"/>
      <c r="C691" s="32"/>
      <c r="D691" s="32"/>
      <c r="E691" s="32"/>
      <c r="F691" s="32"/>
      <c r="G691" s="32"/>
      <c r="H691" s="32"/>
      <c r="I691" s="32"/>
      <c r="J691" s="32"/>
      <c r="K691" s="32"/>
      <c r="L691" s="32"/>
      <c r="M691" s="32"/>
      <c r="N691" s="32"/>
      <c r="O691" s="32"/>
      <c r="P691" s="32"/>
      <c r="Q691" s="32"/>
      <c r="R691" s="32"/>
    </row>
    <row r="692" spans="1:18" s="56" customFormat="1" ht="15" customHeight="1">
      <c r="A692" s="32"/>
      <c r="B692" s="32"/>
      <c r="C692" s="32"/>
      <c r="D692" s="32"/>
      <c r="E692" s="32"/>
      <c r="F692" s="32"/>
      <c r="G692" s="32"/>
      <c r="H692" s="32"/>
      <c r="I692" s="32"/>
      <c r="J692" s="32"/>
      <c r="K692" s="32"/>
      <c r="L692" s="32"/>
      <c r="M692" s="32"/>
      <c r="N692" s="32"/>
      <c r="O692" s="32"/>
      <c r="P692" s="32"/>
      <c r="Q692" s="32"/>
      <c r="R692" s="32"/>
    </row>
    <row r="693" spans="1:18" s="56" customFormat="1" ht="15" customHeight="1">
      <c r="A693" s="32"/>
      <c r="B693" s="32"/>
      <c r="C693" s="32"/>
      <c r="D693" s="32"/>
      <c r="E693" s="32"/>
      <c r="F693" s="32"/>
      <c r="G693" s="32"/>
      <c r="H693" s="32"/>
      <c r="I693" s="32"/>
      <c r="J693" s="32"/>
      <c r="K693" s="32"/>
      <c r="L693" s="32"/>
      <c r="M693" s="32"/>
      <c r="N693" s="32"/>
      <c r="O693" s="32"/>
      <c r="P693" s="32"/>
      <c r="Q693" s="32"/>
      <c r="R693" s="32"/>
    </row>
    <row r="694" spans="1:18" s="56" customFormat="1" ht="15" customHeight="1">
      <c r="A694" s="32"/>
      <c r="B694" s="32"/>
      <c r="C694" s="32"/>
      <c r="D694" s="32"/>
      <c r="E694" s="32"/>
      <c r="F694" s="32"/>
      <c r="G694" s="32"/>
      <c r="H694" s="32"/>
      <c r="I694" s="32"/>
      <c r="J694" s="32"/>
      <c r="K694" s="32"/>
      <c r="L694" s="32"/>
      <c r="M694" s="32"/>
      <c r="N694" s="32"/>
      <c r="O694" s="32"/>
      <c r="P694" s="32"/>
      <c r="Q694" s="32"/>
      <c r="R694" s="32"/>
    </row>
    <row r="695" spans="1:18" s="56" customFormat="1" ht="15" customHeight="1">
      <c r="A695" s="32"/>
      <c r="B695" s="32"/>
      <c r="C695" s="32"/>
      <c r="D695" s="32"/>
      <c r="E695" s="32"/>
      <c r="F695" s="32"/>
      <c r="G695" s="32"/>
      <c r="H695" s="32"/>
      <c r="I695" s="32"/>
      <c r="J695" s="32"/>
      <c r="K695" s="32"/>
      <c r="L695" s="32"/>
      <c r="M695" s="32"/>
      <c r="N695" s="32"/>
      <c r="O695" s="32"/>
      <c r="P695" s="32"/>
      <c r="Q695" s="32"/>
      <c r="R695" s="32"/>
    </row>
    <row r="696" spans="1:18" s="56" customFormat="1" ht="15" customHeight="1">
      <c r="A696" s="32"/>
      <c r="B696" s="32"/>
      <c r="C696" s="32"/>
      <c r="D696" s="32"/>
      <c r="E696" s="32"/>
      <c r="F696" s="32"/>
      <c r="G696" s="32"/>
      <c r="H696" s="32"/>
      <c r="I696" s="32"/>
      <c r="J696" s="32"/>
      <c r="K696" s="32"/>
      <c r="L696" s="32"/>
      <c r="M696" s="32"/>
      <c r="N696" s="32"/>
      <c r="O696" s="32"/>
      <c r="P696" s="32"/>
      <c r="Q696" s="32"/>
      <c r="R696" s="32"/>
    </row>
    <row r="697" spans="1:18" s="56" customFormat="1" ht="15" customHeight="1">
      <c r="A697" s="32"/>
      <c r="B697" s="32"/>
      <c r="C697" s="32"/>
      <c r="D697" s="32"/>
      <c r="E697" s="32"/>
      <c r="F697" s="32"/>
      <c r="G697" s="32"/>
      <c r="H697" s="32"/>
      <c r="I697" s="32"/>
      <c r="J697" s="32"/>
      <c r="K697" s="32"/>
      <c r="L697" s="32"/>
      <c r="M697" s="32"/>
      <c r="N697" s="32"/>
      <c r="O697" s="32"/>
      <c r="P697" s="32"/>
      <c r="Q697" s="32"/>
      <c r="R697" s="32"/>
    </row>
    <row r="698" spans="1:18" s="56" customFormat="1" ht="15" customHeight="1">
      <c r="A698" s="32"/>
      <c r="B698" s="32"/>
      <c r="C698" s="32"/>
      <c r="D698" s="32"/>
      <c r="E698" s="32"/>
      <c r="F698" s="32"/>
      <c r="G698" s="32"/>
      <c r="H698" s="32"/>
      <c r="I698" s="32"/>
      <c r="J698" s="32"/>
      <c r="K698" s="32"/>
      <c r="L698" s="32"/>
      <c r="M698" s="32"/>
      <c r="N698" s="32"/>
      <c r="O698" s="32"/>
      <c r="P698" s="32"/>
      <c r="Q698" s="32"/>
      <c r="R698" s="32"/>
    </row>
    <row r="699" spans="1:18" s="56" customFormat="1" ht="15" customHeight="1">
      <c r="A699" s="32"/>
      <c r="B699" s="32"/>
      <c r="C699" s="32"/>
      <c r="D699" s="32"/>
      <c r="E699" s="32"/>
      <c r="F699" s="32"/>
      <c r="G699" s="32"/>
      <c r="H699" s="32"/>
      <c r="I699" s="32"/>
      <c r="J699" s="32"/>
      <c r="K699" s="32"/>
      <c r="L699" s="32"/>
      <c r="M699" s="32"/>
      <c r="N699" s="32"/>
      <c r="O699" s="32"/>
      <c r="P699" s="32"/>
      <c r="Q699" s="32"/>
      <c r="R699" s="32"/>
    </row>
    <row r="700" spans="1:18" s="56" customFormat="1" ht="15" customHeight="1">
      <c r="A700" s="32"/>
      <c r="B700" s="32"/>
      <c r="C700" s="32"/>
      <c r="D700" s="32"/>
      <c r="E700" s="32"/>
      <c r="F700" s="32"/>
      <c r="G700" s="32"/>
      <c r="H700" s="32"/>
      <c r="I700" s="32"/>
      <c r="J700" s="32"/>
      <c r="K700" s="32"/>
      <c r="L700" s="32"/>
      <c r="M700" s="32"/>
      <c r="N700" s="32"/>
      <c r="O700" s="32"/>
      <c r="P700" s="32"/>
      <c r="Q700" s="32"/>
      <c r="R700" s="32"/>
    </row>
    <row r="701" spans="1:18" s="56" customFormat="1" ht="15" customHeight="1">
      <c r="A701" s="32"/>
      <c r="B701" s="32"/>
      <c r="C701" s="32"/>
      <c r="D701" s="32"/>
      <c r="E701" s="32"/>
      <c r="F701" s="32"/>
      <c r="G701" s="32"/>
      <c r="H701" s="32"/>
      <c r="I701" s="32"/>
      <c r="J701" s="32"/>
      <c r="K701" s="32"/>
      <c r="L701" s="32"/>
      <c r="M701" s="32"/>
      <c r="N701" s="32"/>
      <c r="O701" s="32"/>
      <c r="P701" s="32"/>
      <c r="Q701" s="32"/>
      <c r="R701" s="32"/>
    </row>
    <row r="702" spans="1:18" s="56" customFormat="1" ht="15" customHeight="1">
      <c r="A702" s="32"/>
      <c r="B702" s="32"/>
      <c r="C702" s="32"/>
      <c r="D702" s="32"/>
      <c r="E702" s="32"/>
      <c r="F702" s="32"/>
      <c r="G702" s="32"/>
      <c r="H702" s="32"/>
      <c r="I702" s="32"/>
      <c r="J702" s="32"/>
      <c r="K702" s="32"/>
      <c r="L702" s="32"/>
      <c r="M702" s="32"/>
      <c r="N702" s="32"/>
      <c r="O702" s="32"/>
      <c r="P702" s="32"/>
      <c r="Q702" s="32"/>
      <c r="R702" s="32"/>
    </row>
    <row r="703" spans="1:18" s="56" customFormat="1" ht="15" customHeight="1">
      <c r="A703" s="32"/>
      <c r="B703" s="32"/>
      <c r="C703" s="32"/>
      <c r="D703" s="32"/>
      <c r="E703" s="32"/>
      <c r="F703" s="32"/>
      <c r="G703" s="32"/>
      <c r="H703" s="32"/>
      <c r="I703" s="32"/>
      <c r="J703" s="32"/>
      <c r="K703" s="32"/>
      <c r="L703" s="32"/>
      <c r="M703" s="32"/>
      <c r="N703" s="32"/>
      <c r="O703" s="32"/>
      <c r="P703" s="32"/>
      <c r="Q703" s="32"/>
      <c r="R703" s="32"/>
    </row>
    <row r="704" spans="1:18" s="56" customFormat="1" ht="15" customHeight="1">
      <c r="A704" s="32"/>
      <c r="B704" s="32"/>
      <c r="C704" s="32"/>
      <c r="D704" s="32"/>
      <c r="E704" s="32"/>
      <c r="F704" s="32"/>
      <c r="G704" s="32"/>
      <c r="H704" s="32"/>
      <c r="I704" s="32"/>
      <c r="J704" s="32"/>
      <c r="K704" s="32"/>
      <c r="L704" s="32"/>
      <c r="M704" s="32"/>
      <c r="N704" s="32"/>
      <c r="O704" s="32"/>
      <c r="P704" s="32"/>
      <c r="Q704" s="32"/>
      <c r="R704" s="32"/>
    </row>
    <row r="705" spans="1:18" s="56" customFormat="1" ht="15" customHeight="1">
      <c r="A705" s="32"/>
      <c r="B705" s="32"/>
      <c r="C705" s="32"/>
      <c r="D705" s="32"/>
      <c r="E705" s="32"/>
      <c r="F705" s="32"/>
      <c r="G705" s="32"/>
      <c r="H705" s="32"/>
      <c r="I705" s="32"/>
      <c r="J705" s="32"/>
      <c r="K705" s="32"/>
      <c r="L705" s="32"/>
      <c r="M705" s="32"/>
      <c r="N705" s="32"/>
      <c r="O705" s="32"/>
      <c r="P705" s="32"/>
      <c r="Q705" s="32"/>
      <c r="R705" s="32"/>
    </row>
    <row r="706" spans="1:18" s="56" customFormat="1" ht="15" customHeight="1">
      <c r="A706" s="32"/>
      <c r="B706" s="32"/>
      <c r="C706" s="32"/>
      <c r="D706" s="32"/>
      <c r="E706" s="32"/>
      <c r="F706" s="32"/>
      <c r="G706" s="32"/>
      <c r="H706" s="32"/>
      <c r="I706" s="32"/>
      <c r="J706" s="32"/>
      <c r="K706" s="32"/>
      <c r="L706" s="32"/>
      <c r="M706" s="32"/>
      <c r="N706" s="32"/>
      <c r="O706" s="32"/>
      <c r="P706" s="32"/>
      <c r="Q706" s="32"/>
      <c r="R706" s="32"/>
    </row>
    <row r="707" spans="1:18" s="56" customFormat="1" ht="15" customHeight="1">
      <c r="A707" s="32"/>
      <c r="B707" s="32"/>
      <c r="C707" s="32"/>
      <c r="D707" s="32"/>
      <c r="E707" s="32"/>
      <c r="F707" s="32"/>
      <c r="G707" s="32"/>
      <c r="H707" s="32"/>
      <c r="I707" s="32"/>
      <c r="J707" s="32"/>
      <c r="K707" s="32"/>
      <c r="L707" s="32"/>
      <c r="M707" s="32"/>
      <c r="N707" s="32"/>
      <c r="O707" s="32"/>
      <c r="P707" s="32"/>
      <c r="Q707" s="32"/>
      <c r="R707" s="32"/>
    </row>
    <row r="708" spans="1:18" s="56" customFormat="1" ht="15" customHeight="1">
      <c r="A708" s="32"/>
      <c r="B708" s="32"/>
      <c r="C708" s="32"/>
      <c r="D708" s="32"/>
      <c r="E708" s="32"/>
      <c r="F708" s="32"/>
      <c r="G708" s="32"/>
      <c r="H708" s="32"/>
      <c r="I708" s="32"/>
      <c r="J708" s="32"/>
      <c r="K708" s="32"/>
      <c r="L708" s="32"/>
      <c r="M708" s="32"/>
      <c r="N708" s="32"/>
      <c r="O708" s="32"/>
      <c r="P708" s="32"/>
      <c r="Q708" s="32"/>
      <c r="R708" s="32"/>
    </row>
    <row r="709" spans="1:18" s="56" customFormat="1" ht="15" customHeight="1">
      <c r="A709" s="32"/>
      <c r="B709" s="32"/>
      <c r="C709" s="32"/>
      <c r="D709" s="32"/>
      <c r="E709" s="32"/>
      <c r="F709" s="32"/>
      <c r="G709" s="32"/>
      <c r="H709" s="32"/>
      <c r="I709" s="32"/>
      <c r="J709" s="32"/>
      <c r="K709" s="32"/>
      <c r="L709" s="32"/>
      <c r="M709" s="32"/>
      <c r="N709" s="32"/>
      <c r="O709" s="32"/>
      <c r="P709" s="32"/>
      <c r="Q709" s="32"/>
      <c r="R709" s="32"/>
    </row>
    <row r="710" spans="1:18" s="56" customFormat="1" ht="15" customHeight="1">
      <c r="A710" s="32"/>
      <c r="B710" s="32"/>
      <c r="C710" s="32"/>
      <c r="D710" s="32"/>
      <c r="E710" s="32"/>
      <c r="F710" s="32"/>
      <c r="G710" s="32"/>
      <c r="H710" s="32"/>
      <c r="I710" s="32"/>
      <c r="J710" s="32"/>
      <c r="K710" s="32"/>
      <c r="L710" s="32"/>
      <c r="M710" s="32"/>
      <c r="N710" s="32"/>
      <c r="O710" s="32"/>
      <c r="P710" s="32"/>
      <c r="Q710" s="32"/>
      <c r="R710" s="32"/>
    </row>
    <row r="711" spans="1:18" s="56" customFormat="1" ht="15" customHeight="1">
      <c r="A711" s="32"/>
      <c r="B711" s="32"/>
      <c r="C711" s="32"/>
      <c r="D711" s="32"/>
      <c r="E711" s="32"/>
      <c r="F711" s="32"/>
      <c r="G711" s="32"/>
      <c r="H711" s="32"/>
      <c r="I711" s="32"/>
      <c r="J711" s="32"/>
      <c r="K711" s="32"/>
      <c r="L711" s="32"/>
      <c r="M711" s="32"/>
      <c r="N711" s="32"/>
      <c r="O711" s="32"/>
      <c r="P711" s="32"/>
      <c r="Q711" s="32"/>
      <c r="R711" s="32"/>
    </row>
    <row r="712" spans="1:18" s="56" customFormat="1" ht="15" customHeight="1">
      <c r="A712" s="32"/>
      <c r="B712" s="32"/>
      <c r="C712" s="32"/>
      <c r="D712" s="32"/>
      <c r="E712" s="32"/>
      <c r="F712" s="32"/>
      <c r="G712" s="32"/>
      <c r="H712" s="32"/>
      <c r="I712" s="32"/>
      <c r="J712" s="32"/>
      <c r="K712" s="32"/>
      <c r="L712" s="32"/>
      <c r="M712" s="32"/>
      <c r="N712" s="32"/>
      <c r="O712" s="32"/>
      <c r="P712" s="32"/>
      <c r="Q712" s="32"/>
      <c r="R712" s="32"/>
    </row>
    <row r="713" spans="1:18" s="56" customFormat="1" ht="15" customHeight="1">
      <c r="A713" s="32"/>
      <c r="B713" s="32"/>
      <c r="C713" s="32"/>
      <c r="D713" s="32"/>
      <c r="E713" s="32"/>
      <c r="F713" s="32"/>
      <c r="G713" s="32"/>
      <c r="H713" s="32"/>
      <c r="I713" s="32"/>
      <c r="J713" s="32"/>
      <c r="K713" s="32"/>
      <c r="L713" s="32"/>
      <c r="M713" s="32"/>
      <c r="N713" s="32"/>
      <c r="O713" s="32"/>
      <c r="P713" s="32"/>
      <c r="Q713" s="32"/>
      <c r="R713" s="32"/>
    </row>
    <row r="714" spans="1:18" s="56" customFormat="1" ht="15" customHeight="1">
      <c r="A714" s="32"/>
      <c r="B714" s="32"/>
      <c r="C714" s="32"/>
      <c r="D714" s="32"/>
      <c r="E714" s="32"/>
      <c r="F714" s="32"/>
      <c r="G714" s="32"/>
      <c r="H714" s="32"/>
      <c r="I714" s="32"/>
      <c r="J714" s="32"/>
      <c r="K714" s="32"/>
      <c r="L714" s="32"/>
      <c r="M714" s="32"/>
      <c r="N714" s="32"/>
      <c r="O714" s="32"/>
      <c r="P714" s="32"/>
      <c r="Q714" s="32"/>
      <c r="R714" s="32"/>
    </row>
    <row r="715" spans="1:18" s="56" customFormat="1" ht="15" customHeight="1">
      <c r="A715" s="32"/>
      <c r="B715" s="32"/>
      <c r="C715" s="32"/>
      <c r="D715" s="32"/>
      <c r="E715" s="32"/>
      <c r="F715" s="32"/>
      <c r="G715" s="32"/>
      <c r="H715" s="32"/>
      <c r="I715" s="32"/>
      <c r="J715" s="32"/>
      <c r="K715" s="32"/>
      <c r="L715" s="32"/>
      <c r="M715" s="32"/>
      <c r="N715" s="32"/>
      <c r="O715" s="32"/>
      <c r="P715" s="32"/>
      <c r="Q715" s="32"/>
      <c r="R715" s="32"/>
    </row>
    <row r="716" spans="1:18" s="56" customFormat="1" ht="15" customHeight="1">
      <c r="A716" s="32"/>
      <c r="B716" s="32"/>
      <c r="C716" s="32"/>
      <c r="D716" s="32"/>
      <c r="E716" s="32"/>
      <c r="F716" s="32"/>
      <c r="G716" s="32"/>
      <c r="H716" s="32"/>
      <c r="I716" s="32"/>
      <c r="J716" s="32"/>
      <c r="K716" s="32"/>
      <c r="L716" s="32"/>
      <c r="M716" s="32"/>
      <c r="N716" s="32"/>
      <c r="O716" s="32"/>
      <c r="P716" s="32"/>
      <c r="Q716" s="32"/>
      <c r="R716" s="32"/>
    </row>
    <row r="717" spans="1:18" s="56" customFormat="1" ht="15" customHeight="1">
      <c r="A717" s="32"/>
      <c r="B717" s="32"/>
      <c r="C717" s="32"/>
      <c r="D717" s="32"/>
      <c r="E717" s="32"/>
      <c r="F717" s="32"/>
      <c r="G717" s="32"/>
      <c r="H717" s="32"/>
      <c r="I717" s="32"/>
      <c r="J717" s="32"/>
      <c r="K717" s="32"/>
      <c r="L717" s="32"/>
      <c r="M717" s="32"/>
      <c r="N717" s="32"/>
      <c r="O717" s="32"/>
      <c r="P717" s="32"/>
      <c r="Q717" s="32"/>
      <c r="R717" s="32"/>
    </row>
    <row r="718" spans="1:18" s="56" customFormat="1" ht="15" customHeight="1">
      <c r="A718" s="32"/>
      <c r="B718" s="32"/>
      <c r="C718" s="32"/>
      <c r="D718" s="32"/>
      <c r="E718" s="32"/>
      <c r="F718" s="32"/>
      <c r="G718" s="32"/>
      <c r="H718" s="32"/>
      <c r="I718" s="32"/>
      <c r="J718" s="32"/>
      <c r="K718" s="32"/>
      <c r="L718" s="32"/>
      <c r="M718" s="32"/>
      <c r="N718" s="32"/>
      <c r="O718" s="32"/>
      <c r="P718" s="32"/>
      <c r="Q718" s="32"/>
      <c r="R718" s="32"/>
    </row>
    <row r="719" spans="1:18" s="56" customFormat="1" ht="15" customHeight="1">
      <c r="A719" s="32"/>
      <c r="B719" s="32"/>
      <c r="C719" s="32"/>
      <c r="D719" s="32"/>
      <c r="E719" s="32"/>
      <c r="F719" s="32"/>
      <c r="G719" s="32"/>
      <c r="H719" s="32"/>
      <c r="I719" s="32"/>
      <c r="J719" s="32"/>
      <c r="K719" s="32"/>
      <c r="L719" s="32"/>
      <c r="M719" s="32"/>
      <c r="N719" s="32"/>
      <c r="O719" s="32"/>
      <c r="P719" s="32"/>
      <c r="Q719" s="32"/>
      <c r="R719" s="32"/>
    </row>
    <row r="720" spans="1:18" s="56" customFormat="1" ht="15" customHeight="1">
      <c r="A720" s="32"/>
      <c r="B720" s="32"/>
      <c r="C720" s="32"/>
      <c r="D720" s="32"/>
      <c r="E720" s="32"/>
      <c r="F720" s="32"/>
      <c r="G720" s="32"/>
      <c r="H720" s="32"/>
      <c r="I720" s="32"/>
      <c r="J720" s="32"/>
      <c r="K720" s="32"/>
      <c r="L720" s="32"/>
      <c r="M720" s="32"/>
      <c r="N720" s="32"/>
      <c r="O720" s="32"/>
      <c r="P720" s="32"/>
      <c r="Q720" s="32"/>
      <c r="R720" s="32"/>
    </row>
    <row r="721" spans="1:18" s="56" customFormat="1" ht="15" customHeight="1">
      <c r="A721" s="32"/>
      <c r="B721" s="32"/>
      <c r="C721" s="32"/>
      <c r="D721" s="32"/>
      <c r="E721" s="32"/>
      <c r="F721" s="32"/>
      <c r="G721" s="32"/>
      <c r="H721" s="32"/>
      <c r="I721" s="32"/>
      <c r="J721" s="32"/>
      <c r="K721" s="32"/>
      <c r="L721" s="32"/>
      <c r="M721" s="32"/>
      <c r="N721" s="32"/>
      <c r="O721" s="32"/>
      <c r="P721" s="32"/>
      <c r="Q721" s="32"/>
      <c r="R721" s="32"/>
    </row>
    <row r="722" spans="1:18" s="56" customFormat="1" ht="15" customHeight="1">
      <c r="A722" s="32"/>
      <c r="B722" s="32"/>
      <c r="C722" s="32"/>
      <c r="D722" s="32"/>
      <c r="E722" s="32"/>
      <c r="F722" s="32"/>
      <c r="G722" s="32"/>
      <c r="H722" s="32"/>
      <c r="I722" s="32"/>
      <c r="J722" s="32"/>
      <c r="K722" s="32"/>
      <c r="L722" s="32"/>
      <c r="M722" s="32"/>
      <c r="N722" s="32"/>
      <c r="O722" s="32"/>
      <c r="P722" s="32"/>
      <c r="Q722" s="32"/>
      <c r="R722" s="32"/>
    </row>
    <row r="723" spans="1:18" s="56" customFormat="1" ht="15" customHeight="1">
      <c r="A723" s="32"/>
      <c r="B723" s="32"/>
      <c r="C723" s="32"/>
      <c r="D723" s="32"/>
      <c r="E723" s="32"/>
      <c r="F723" s="32"/>
      <c r="G723" s="32"/>
      <c r="H723" s="32"/>
      <c r="I723" s="32"/>
      <c r="J723" s="32"/>
      <c r="K723" s="32"/>
      <c r="L723" s="32"/>
      <c r="M723" s="32"/>
      <c r="N723" s="32"/>
      <c r="O723" s="32"/>
      <c r="P723" s="32"/>
      <c r="Q723" s="32"/>
      <c r="R723" s="32"/>
    </row>
    <row r="724" spans="1:18" s="56" customFormat="1" ht="15" customHeight="1">
      <c r="A724" s="32"/>
      <c r="B724" s="32"/>
      <c r="C724" s="32"/>
      <c r="D724" s="32"/>
      <c r="E724" s="32"/>
      <c r="F724" s="32"/>
      <c r="G724" s="32"/>
      <c r="H724" s="32"/>
      <c r="I724" s="32"/>
      <c r="J724" s="32"/>
      <c r="K724" s="32"/>
      <c r="L724" s="32"/>
      <c r="M724" s="32"/>
      <c r="N724" s="32"/>
      <c r="O724" s="32"/>
      <c r="P724" s="32"/>
      <c r="Q724" s="32"/>
      <c r="R724" s="32"/>
    </row>
    <row r="725" spans="1:18" s="56" customFormat="1" ht="15" customHeight="1">
      <c r="A725" s="32"/>
      <c r="B725" s="32"/>
      <c r="C725" s="32"/>
      <c r="D725" s="32"/>
      <c r="E725" s="32"/>
      <c r="F725" s="32"/>
      <c r="G725" s="32"/>
      <c r="H725" s="32"/>
      <c r="I725" s="32"/>
      <c r="J725" s="32"/>
      <c r="K725" s="32"/>
      <c r="L725" s="32"/>
      <c r="M725" s="32"/>
      <c r="N725" s="32"/>
      <c r="O725" s="32"/>
      <c r="P725" s="32"/>
      <c r="Q725" s="32"/>
      <c r="R725" s="32"/>
    </row>
    <row r="726" spans="1:18" s="56" customFormat="1" ht="15" customHeight="1">
      <c r="A726" s="32"/>
      <c r="B726" s="32"/>
      <c r="C726" s="32"/>
      <c r="D726" s="32"/>
      <c r="E726" s="32"/>
      <c r="F726" s="32"/>
      <c r="G726" s="32"/>
      <c r="H726" s="32"/>
      <c r="I726" s="32"/>
      <c r="J726" s="32"/>
      <c r="K726" s="32"/>
      <c r="L726" s="32"/>
      <c r="M726" s="32"/>
      <c r="N726" s="32"/>
      <c r="O726" s="32"/>
      <c r="P726" s="32"/>
      <c r="Q726" s="32"/>
      <c r="R726" s="32"/>
    </row>
    <row r="727" spans="1:18" s="56" customFormat="1" ht="15" customHeight="1">
      <c r="A727" s="32"/>
      <c r="B727" s="32"/>
      <c r="C727" s="32"/>
      <c r="D727" s="32"/>
      <c r="E727" s="32"/>
      <c r="F727" s="32"/>
      <c r="G727" s="32"/>
      <c r="H727" s="32"/>
      <c r="I727" s="32"/>
      <c r="J727" s="32"/>
      <c r="K727" s="32"/>
      <c r="L727" s="32"/>
      <c r="M727" s="32"/>
      <c r="N727" s="32"/>
      <c r="O727" s="32"/>
      <c r="P727" s="32"/>
      <c r="Q727" s="32"/>
      <c r="R727" s="32"/>
    </row>
    <row r="728" spans="1:18" s="56" customFormat="1" ht="15" customHeight="1">
      <c r="A728" s="32"/>
      <c r="B728" s="32"/>
      <c r="C728" s="32"/>
      <c r="D728" s="32"/>
      <c r="E728" s="32"/>
      <c r="F728" s="32"/>
      <c r="G728" s="32"/>
      <c r="H728" s="32"/>
      <c r="I728" s="32"/>
      <c r="J728" s="32"/>
      <c r="K728" s="32"/>
      <c r="L728" s="32"/>
      <c r="M728" s="32"/>
      <c r="N728" s="32"/>
      <c r="O728" s="32"/>
      <c r="P728" s="32"/>
      <c r="Q728" s="32"/>
      <c r="R728" s="32"/>
    </row>
    <row r="729" spans="1:18" s="56" customFormat="1" ht="15" customHeight="1">
      <c r="A729" s="32"/>
      <c r="B729" s="32"/>
      <c r="C729" s="32"/>
      <c r="D729" s="32"/>
      <c r="E729" s="32"/>
      <c r="F729" s="32"/>
      <c r="G729" s="32"/>
      <c r="H729" s="32"/>
      <c r="I729" s="32"/>
      <c r="J729" s="32"/>
      <c r="K729" s="32"/>
      <c r="L729" s="32"/>
      <c r="M729" s="32"/>
      <c r="N729" s="32"/>
      <c r="O729" s="32"/>
      <c r="P729" s="32"/>
      <c r="Q729" s="32"/>
      <c r="R729" s="32"/>
    </row>
    <row r="730" spans="1:18" s="56" customFormat="1" ht="15" customHeight="1">
      <c r="A730" s="32"/>
      <c r="B730" s="32"/>
      <c r="C730" s="32"/>
      <c r="D730" s="32"/>
      <c r="E730" s="32"/>
      <c r="F730" s="32"/>
      <c r="G730" s="32"/>
      <c r="H730" s="32"/>
      <c r="I730" s="32"/>
      <c r="J730" s="32"/>
      <c r="K730" s="32"/>
      <c r="L730" s="32"/>
      <c r="M730" s="32"/>
      <c r="N730" s="32"/>
      <c r="O730" s="32"/>
      <c r="P730" s="32"/>
      <c r="Q730" s="32"/>
      <c r="R730" s="32"/>
    </row>
    <row r="731" spans="1:18" s="56" customFormat="1" ht="15" customHeight="1">
      <c r="A731" s="32"/>
      <c r="B731" s="32"/>
      <c r="C731" s="32"/>
      <c r="D731" s="32"/>
      <c r="E731" s="32"/>
      <c r="F731" s="32"/>
      <c r="G731" s="32"/>
      <c r="H731" s="32"/>
      <c r="I731" s="32"/>
      <c r="J731" s="32"/>
      <c r="K731" s="32"/>
      <c r="L731" s="32"/>
      <c r="M731" s="32"/>
      <c r="N731" s="32"/>
      <c r="O731" s="32"/>
      <c r="P731" s="32"/>
      <c r="Q731" s="32"/>
      <c r="R731" s="32"/>
    </row>
    <row r="732" spans="1:18" s="56" customFormat="1" ht="15" customHeight="1">
      <c r="A732" s="32"/>
      <c r="B732" s="32"/>
      <c r="C732" s="32"/>
      <c r="D732" s="32"/>
      <c r="E732" s="32"/>
      <c r="F732" s="32"/>
      <c r="G732" s="32"/>
      <c r="H732" s="32"/>
      <c r="I732" s="32"/>
      <c r="J732" s="32"/>
      <c r="K732" s="32"/>
      <c r="L732" s="32"/>
      <c r="M732" s="32"/>
      <c r="N732" s="32"/>
      <c r="O732" s="32"/>
      <c r="P732" s="32"/>
      <c r="Q732" s="32"/>
      <c r="R732" s="32"/>
    </row>
    <row r="733" spans="1:18" s="56" customFormat="1" ht="15" customHeight="1">
      <c r="A733" s="32"/>
      <c r="B733" s="32"/>
      <c r="C733" s="32"/>
      <c r="D733" s="32"/>
      <c r="E733" s="32"/>
      <c r="F733" s="32"/>
      <c r="G733" s="32"/>
      <c r="H733" s="32"/>
      <c r="I733" s="32"/>
      <c r="J733" s="32"/>
      <c r="K733" s="32"/>
      <c r="L733" s="32"/>
      <c r="M733" s="32"/>
      <c r="N733" s="32"/>
      <c r="O733" s="32"/>
      <c r="P733" s="32"/>
      <c r="Q733" s="32"/>
      <c r="R733" s="32"/>
    </row>
    <row r="734" spans="1:18" s="56" customFormat="1" ht="15" customHeight="1">
      <c r="A734" s="32"/>
      <c r="B734" s="32"/>
      <c r="C734" s="32"/>
      <c r="D734" s="32"/>
      <c r="E734" s="32"/>
      <c r="F734" s="32"/>
      <c r="G734" s="32"/>
      <c r="H734" s="32"/>
      <c r="I734" s="32"/>
      <c r="J734" s="32"/>
      <c r="K734" s="32"/>
      <c r="L734" s="32"/>
      <c r="M734" s="32"/>
      <c r="N734" s="32"/>
      <c r="O734" s="32"/>
      <c r="P734" s="32"/>
      <c r="Q734" s="32"/>
      <c r="R734" s="32"/>
    </row>
    <row r="735" spans="1:18" s="56" customFormat="1" ht="15" customHeight="1">
      <c r="A735" s="32"/>
      <c r="B735" s="32"/>
      <c r="C735" s="32"/>
      <c r="D735" s="32"/>
      <c r="E735" s="32"/>
      <c r="F735" s="32"/>
      <c r="G735" s="32"/>
      <c r="H735" s="32"/>
      <c r="I735" s="32"/>
      <c r="J735" s="32"/>
      <c r="K735" s="32"/>
      <c r="L735" s="32"/>
      <c r="M735" s="32"/>
      <c r="N735" s="32"/>
      <c r="O735" s="32"/>
      <c r="P735" s="32"/>
      <c r="Q735" s="32"/>
      <c r="R735" s="32"/>
    </row>
    <row r="736" spans="1:18" s="56" customFormat="1" ht="15" customHeight="1">
      <c r="A736" s="32"/>
      <c r="B736" s="32"/>
      <c r="C736" s="32"/>
      <c r="D736" s="32"/>
      <c r="E736" s="32"/>
      <c r="F736" s="32"/>
      <c r="G736" s="32"/>
      <c r="H736" s="32"/>
      <c r="I736" s="32"/>
      <c r="J736" s="32"/>
      <c r="K736" s="32"/>
      <c r="L736" s="32"/>
      <c r="M736" s="32"/>
      <c r="N736" s="32"/>
      <c r="O736" s="32"/>
      <c r="P736" s="32"/>
      <c r="Q736" s="32"/>
      <c r="R736" s="32"/>
    </row>
    <row r="737" spans="1:18" s="56" customFormat="1" ht="15" customHeight="1">
      <c r="A737" s="32"/>
      <c r="B737" s="32"/>
      <c r="C737" s="32"/>
      <c r="D737" s="32"/>
      <c r="E737" s="32"/>
      <c r="F737" s="32"/>
      <c r="G737" s="32"/>
      <c r="H737" s="32"/>
      <c r="I737" s="32"/>
      <c r="J737" s="32"/>
      <c r="K737" s="32"/>
      <c r="L737" s="32"/>
      <c r="M737" s="32"/>
      <c r="N737" s="32"/>
      <c r="O737" s="32"/>
      <c r="P737" s="32"/>
      <c r="Q737" s="32"/>
      <c r="R737" s="32"/>
    </row>
    <row r="738" spans="1:18" s="56" customFormat="1" ht="15" customHeight="1">
      <c r="A738" s="32"/>
      <c r="B738" s="32"/>
      <c r="C738" s="32"/>
      <c r="D738" s="32"/>
      <c r="E738" s="32"/>
      <c r="F738" s="32"/>
      <c r="G738" s="32"/>
      <c r="H738" s="32"/>
      <c r="I738" s="32"/>
      <c r="J738" s="32"/>
      <c r="K738" s="32"/>
      <c r="L738" s="32"/>
      <c r="M738" s="32"/>
      <c r="N738" s="32"/>
      <c r="O738" s="32"/>
      <c r="P738" s="32"/>
      <c r="Q738" s="32"/>
      <c r="R738" s="32"/>
    </row>
    <row r="739" spans="1:18" s="56" customFormat="1" ht="15" customHeight="1">
      <c r="A739" s="32"/>
      <c r="B739" s="32"/>
      <c r="C739" s="32"/>
      <c r="D739" s="32"/>
      <c r="E739" s="32"/>
      <c r="F739" s="32"/>
      <c r="G739" s="32"/>
      <c r="H739" s="32"/>
      <c r="I739" s="32"/>
      <c r="J739" s="32"/>
      <c r="K739" s="32"/>
      <c r="L739" s="32"/>
      <c r="M739" s="32"/>
      <c r="N739" s="32"/>
      <c r="O739" s="32"/>
      <c r="P739" s="32"/>
      <c r="Q739" s="32"/>
      <c r="R739" s="32"/>
    </row>
    <row r="740" spans="1:18" s="56" customFormat="1" ht="15" customHeight="1">
      <c r="A740" s="32"/>
      <c r="B740" s="32"/>
      <c r="C740" s="32"/>
      <c r="D740" s="32"/>
      <c r="E740" s="32"/>
      <c r="F740" s="32"/>
      <c r="G740" s="32"/>
      <c r="H740" s="32"/>
      <c r="I740" s="32"/>
      <c r="J740" s="32"/>
      <c r="K740" s="32"/>
      <c r="L740" s="32"/>
      <c r="M740" s="32"/>
      <c r="N740" s="32"/>
      <c r="O740" s="32"/>
      <c r="P740" s="32"/>
      <c r="Q740" s="32"/>
      <c r="R740" s="32"/>
    </row>
    <row r="741" spans="1:18" s="56" customFormat="1" ht="15" customHeight="1">
      <c r="A741" s="32"/>
      <c r="B741" s="32"/>
      <c r="C741" s="32"/>
      <c r="D741" s="32"/>
      <c r="E741" s="32"/>
      <c r="F741" s="32"/>
      <c r="G741" s="32"/>
      <c r="H741" s="32"/>
      <c r="I741" s="32"/>
      <c r="J741" s="32"/>
      <c r="K741" s="32"/>
      <c r="L741" s="32"/>
      <c r="M741" s="32"/>
      <c r="N741" s="32"/>
      <c r="O741" s="32"/>
      <c r="P741" s="32"/>
      <c r="Q741" s="32"/>
      <c r="R741" s="32"/>
    </row>
    <row r="742" spans="1:18" s="56" customFormat="1" ht="15" customHeight="1">
      <c r="A742" s="32"/>
      <c r="B742" s="32"/>
      <c r="C742" s="32"/>
      <c r="D742" s="32"/>
      <c r="E742" s="32"/>
      <c r="F742" s="32"/>
      <c r="G742" s="32"/>
      <c r="H742" s="32"/>
      <c r="I742" s="32"/>
      <c r="J742" s="32"/>
      <c r="K742" s="32"/>
      <c r="L742" s="32"/>
      <c r="M742" s="32"/>
      <c r="N742" s="32"/>
      <c r="O742" s="32"/>
      <c r="P742" s="32"/>
      <c r="Q742" s="32"/>
      <c r="R742" s="32"/>
    </row>
    <row r="743" spans="1:18" s="56" customFormat="1" ht="15" customHeight="1">
      <c r="A743" s="32"/>
      <c r="B743" s="32"/>
      <c r="C743" s="32"/>
      <c r="D743" s="32"/>
      <c r="E743" s="32"/>
      <c r="F743" s="32"/>
      <c r="G743" s="32"/>
      <c r="H743" s="32"/>
      <c r="I743" s="32"/>
      <c r="J743" s="32"/>
      <c r="K743" s="32"/>
      <c r="L743" s="32"/>
      <c r="M743" s="32"/>
      <c r="N743" s="32"/>
      <c r="O743" s="32"/>
      <c r="P743" s="32"/>
      <c r="Q743" s="32"/>
      <c r="R743" s="32"/>
    </row>
    <row r="744" spans="1:18" s="56" customFormat="1" ht="15" customHeight="1">
      <c r="A744" s="32"/>
      <c r="B744" s="32"/>
      <c r="C744" s="32"/>
      <c r="D744" s="32"/>
      <c r="E744" s="32"/>
      <c r="F744" s="32"/>
      <c r="G744" s="32"/>
      <c r="H744" s="32"/>
      <c r="I744" s="32"/>
      <c r="J744" s="32"/>
      <c r="K744" s="32"/>
      <c r="L744" s="32"/>
      <c r="M744" s="32"/>
      <c r="N744" s="32"/>
      <c r="O744" s="32"/>
      <c r="P744" s="32"/>
      <c r="Q744" s="32"/>
      <c r="R744" s="32"/>
    </row>
    <row r="745" spans="1:18" s="56" customFormat="1" ht="15" customHeight="1">
      <c r="A745" s="32"/>
      <c r="B745" s="32"/>
      <c r="C745" s="32"/>
      <c r="D745" s="32"/>
      <c r="E745" s="32"/>
      <c r="F745" s="32"/>
      <c r="G745" s="32"/>
      <c r="H745" s="32"/>
      <c r="I745" s="32"/>
      <c r="J745" s="32"/>
      <c r="K745" s="32"/>
      <c r="L745" s="32"/>
      <c r="M745" s="32"/>
      <c r="N745" s="32"/>
      <c r="O745" s="32"/>
      <c r="P745" s="32"/>
      <c r="Q745" s="32"/>
      <c r="R745" s="32"/>
    </row>
    <row r="746" spans="1:18" s="56" customFormat="1" ht="15" customHeight="1">
      <c r="A746" s="32"/>
      <c r="B746" s="32"/>
      <c r="C746" s="32"/>
      <c r="D746" s="32"/>
      <c r="E746" s="32"/>
      <c r="F746" s="32"/>
      <c r="G746" s="32"/>
      <c r="H746" s="32"/>
      <c r="I746" s="32"/>
      <c r="J746" s="32"/>
      <c r="K746" s="32"/>
      <c r="L746" s="32"/>
      <c r="M746" s="32"/>
      <c r="N746" s="32"/>
      <c r="O746" s="32"/>
      <c r="P746" s="32"/>
      <c r="Q746" s="32"/>
      <c r="R746" s="32"/>
    </row>
    <row r="747" spans="1:18" s="56" customFormat="1" ht="15" customHeight="1">
      <c r="A747" s="32"/>
      <c r="B747" s="32"/>
      <c r="C747" s="32"/>
      <c r="D747" s="32"/>
      <c r="E747" s="32"/>
      <c r="F747" s="32"/>
      <c r="G747" s="32"/>
      <c r="H747" s="32"/>
      <c r="I747" s="32"/>
      <c r="J747" s="32"/>
      <c r="K747" s="32"/>
      <c r="L747" s="32"/>
      <c r="M747" s="32"/>
      <c r="N747" s="32"/>
      <c r="O747" s="32"/>
      <c r="P747" s="32"/>
      <c r="Q747" s="32"/>
      <c r="R747" s="32"/>
    </row>
    <row r="748" spans="1:18" s="56" customFormat="1" ht="15" customHeight="1">
      <c r="A748" s="32"/>
      <c r="B748" s="32"/>
      <c r="C748" s="32"/>
      <c r="D748" s="32"/>
      <c r="E748" s="32"/>
      <c r="F748" s="32"/>
      <c r="G748" s="32"/>
      <c r="H748" s="32"/>
      <c r="I748" s="32"/>
      <c r="J748" s="32"/>
      <c r="K748" s="32"/>
      <c r="L748" s="32"/>
      <c r="M748" s="32"/>
      <c r="N748" s="32"/>
      <c r="O748" s="32"/>
      <c r="P748" s="32"/>
      <c r="Q748" s="32"/>
      <c r="R748" s="32"/>
    </row>
    <row r="749" spans="1:18" s="56" customFormat="1" ht="15" customHeight="1">
      <c r="A749" s="32"/>
      <c r="B749" s="32"/>
      <c r="C749" s="32"/>
      <c r="D749" s="32"/>
      <c r="E749" s="32"/>
      <c r="F749" s="32"/>
      <c r="G749" s="32"/>
      <c r="H749" s="32"/>
      <c r="I749" s="32"/>
      <c r="J749" s="32"/>
      <c r="K749" s="32"/>
      <c r="L749" s="32"/>
      <c r="M749" s="32"/>
      <c r="N749" s="32"/>
      <c r="O749" s="32"/>
      <c r="P749" s="32"/>
      <c r="Q749" s="32"/>
      <c r="R749" s="32"/>
    </row>
    <row r="750" spans="1:18" s="56" customFormat="1" ht="15" customHeight="1">
      <c r="A750" s="32"/>
      <c r="B750" s="32"/>
      <c r="C750" s="32"/>
      <c r="D750" s="32"/>
      <c r="E750" s="32"/>
      <c r="F750" s="32"/>
      <c r="G750" s="32"/>
      <c r="H750" s="32"/>
      <c r="I750" s="32"/>
      <c r="J750" s="32"/>
      <c r="K750" s="32"/>
      <c r="L750" s="32"/>
      <c r="M750" s="32"/>
      <c r="N750" s="32"/>
      <c r="O750" s="32"/>
      <c r="P750" s="32"/>
      <c r="Q750" s="32"/>
      <c r="R750" s="32"/>
    </row>
    <row r="751" spans="1:18" s="56" customFormat="1" ht="15" customHeight="1">
      <c r="A751" s="32"/>
      <c r="B751" s="32"/>
      <c r="C751" s="32"/>
      <c r="D751" s="32"/>
      <c r="E751" s="32"/>
      <c r="F751" s="32"/>
      <c r="G751" s="32"/>
      <c r="H751" s="32"/>
      <c r="I751" s="32"/>
      <c r="J751" s="32"/>
      <c r="K751" s="32"/>
      <c r="L751" s="32"/>
      <c r="M751" s="32"/>
      <c r="N751" s="32"/>
      <c r="O751" s="32"/>
      <c r="P751" s="32"/>
      <c r="Q751" s="32"/>
      <c r="R751" s="32"/>
    </row>
    <row r="752" spans="1:18" s="56" customFormat="1" ht="15" customHeight="1">
      <c r="A752" s="32"/>
      <c r="B752" s="32"/>
      <c r="C752" s="32"/>
      <c r="D752" s="32"/>
      <c r="E752" s="32"/>
      <c r="F752" s="32"/>
      <c r="G752" s="32"/>
      <c r="H752" s="32"/>
      <c r="I752" s="32"/>
      <c r="J752" s="32"/>
      <c r="K752" s="32"/>
      <c r="L752" s="32"/>
      <c r="M752" s="32"/>
      <c r="N752" s="32"/>
      <c r="O752" s="32"/>
      <c r="P752" s="32"/>
      <c r="Q752" s="32"/>
      <c r="R752" s="32"/>
    </row>
    <row r="753" spans="1:23" s="56" customFormat="1" ht="15" customHeight="1">
      <c r="A753" s="32"/>
      <c r="B753" s="32"/>
      <c r="C753" s="32"/>
      <c r="D753" s="32"/>
      <c r="E753" s="32"/>
      <c r="F753" s="32"/>
      <c r="G753" s="32"/>
      <c r="H753" s="32"/>
      <c r="I753" s="32"/>
      <c r="J753" s="32"/>
      <c r="K753" s="32"/>
      <c r="L753" s="32"/>
      <c r="M753" s="32"/>
      <c r="N753" s="32"/>
      <c r="O753" s="32"/>
      <c r="P753" s="32"/>
      <c r="Q753" s="32"/>
      <c r="R753" s="32"/>
    </row>
    <row r="754" spans="1:23" s="56" customFormat="1" ht="15" customHeight="1">
      <c r="A754" s="32"/>
      <c r="B754" s="32"/>
      <c r="C754" s="32"/>
      <c r="D754" s="32"/>
      <c r="E754" s="32"/>
      <c r="F754" s="32"/>
      <c r="G754" s="32"/>
      <c r="H754" s="32"/>
      <c r="I754" s="32"/>
      <c r="J754" s="32"/>
      <c r="K754" s="32"/>
      <c r="L754" s="32"/>
      <c r="M754" s="32"/>
      <c r="N754" s="32"/>
      <c r="O754" s="32"/>
      <c r="P754" s="32"/>
      <c r="Q754" s="32"/>
      <c r="R754" s="32"/>
    </row>
    <row r="755" spans="1:23" s="56" customFormat="1" ht="15" customHeight="1">
      <c r="A755" s="32"/>
      <c r="B755" s="32"/>
      <c r="C755" s="32"/>
      <c r="D755" s="32"/>
      <c r="E755" s="32"/>
      <c r="F755" s="32"/>
      <c r="G755" s="32"/>
      <c r="H755" s="32"/>
      <c r="I755" s="32"/>
      <c r="J755" s="32"/>
      <c r="K755" s="32"/>
      <c r="L755" s="32"/>
      <c r="M755" s="32"/>
      <c r="N755" s="32"/>
      <c r="O755" s="32"/>
      <c r="P755" s="32"/>
      <c r="Q755" s="32"/>
      <c r="R755" s="32"/>
    </row>
    <row r="756" spans="1:23" s="56" customFormat="1" ht="15" customHeight="1">
      <c r="A756" s="32"/>
      <c r="B756" s="32"/>
      <c r="C756" s="32"/>
      <c r="D756" s="32"/>
      <c r="E756" s="32"/>
      <c r="F756" s="32"/>
      <c r="G756" s="32"/>
      <c r="H756" s="32"/>
      <c r="I756" s="32"/>
      <c r="J756" s="32"/>
      <c r="K756" s="32"/>
      <c r="L756" s="32"/>
      <c r="M756" s="32"/>
      <c r="N756" s="32"/>
      <c r="O756" s="32"/>
      <c r="P756" s="32"/>
      <c r="Q756" s="32"/>
      <c r="R756" s="32"/>
    </row>
    <row r="757" spans="1:23" s="56" customFormat="1" ht="15" customHeight="1">
      <c r="A757" s="32"/>
      <c r="B757" s="32"/>
      <c r="C757" s="32"/>
      <c r="D757" s="32"/>
      <c r="E757" s="32"/>
      <c r="F757" s="32"/>
      <c r="G757" s="32"/>
      <c r="H757" s="32"/>
      <c r="I757" s="32"/>
      <c r="J757" s="32"/>
      <c r="K757" s="32"/>
      <c r="L757" s="32"/>
      <c r="M757" s="32"/>
      <c r="N757" s="32"/>
      <c r="O757" s="32"/>
      <c r="P757" s="32"/>
      <c r="Q757" s="32"/>
      <c r="R757" s="32"/>
    </row>
    <row r="758" spans="1:23" s="56" customFormat="1" ht="15" customHeight="1">
      <c r="A758" s="32"/>
      <c r="B758" s="32"/>
      <c r="C758" s="32"/>
      <c r="D758" s="32"/>
      <c r="E758" s="32"/>
      <c r="F758" s="32"/>
      <c r="G758" s="32"/>
      <c r="H758" s="32"/>
      <c r="I758" s="32"/>
      <c r="J758" s="32"/>
      <c r="K758" s="32"/>
      <c r="L758" s="32"/>
      <c r="M758" s="32"/>
      <c r="N758" s="32"/>
      <c r="O758" s="32"/>
      <c r="P758" s="32"/>
      <c r="Q758" s="32"/>
      <c r="R758" s="32"/>
    </row>
    <row r="759" spans="1:23" s="56" customFormat="1" ht="15" customHeight="1">
      <c r="A759" s="32"/>
      <c r="B759" s="32"/>
      <c r="C759" s="32"/>
      <c r="D759" s="32"/>
      <c r="E759" s="32"/>
      <c r="F759" s="32"/>
      <c r="G759" s="32"/>
      <c r="H759" s="32"/>
      <c r="I759" s="32"/>
      <c r="J759" s="32"/>
      <c r="K759" s="32"/>
      <c r="L759" s="32"/>
      <c r="M759" s="32"/>
      <c r="N759" s="32"/>
      <c r="O759" s="32"/>
      <c r="P759" s="32"/>
      <c r="Q759" s="32"/>
      <c r="R759" s="32"/>
    </row>
    <row r="760" spans="1:23" s="56" customFormat="1" ht="15" customHeight="1">
      <c r="A760" s="32"/>
      <c r="B760" s="32"/>
      <c r="C760" s="32"/>
      <c r="D760" s="32"/>
      <c r="E760" s="32"/>
      <c r="F760" s="32"/>
      <c r="G760" s="32"/>
      <c r="H760" s="32"/>
      <c r="I760" s="32"/>
      <c r="J760" s="32"/>
      <c r="K760" s="32"/>
      <c r="L760" s="32"/>
      <c r="M760" s="32"/>
      <c r="N760" s="32"/>
      <c r="O760" s="32"/>
      <c r="P760" s="32"/>
      <c r="Q760" s="32"/>
      <c r="R760" s="32"/>
    </row>
    <row r="761" spans="1:23" s="56" customFormat="1" ht="15" customHeight="1">
      <c r="A761" s="32"/>
      <c r="B761" s="32"/>
      <c r="C761" s="32"/>
      <c r="D761" s="32"/>
      <c r="E761" s="32"/>
      <c r="F761" s="32"/>
      <c r="G761" s="32"/>
      <c r="H761" s="32"/>
      <c r="I761" s="32"/>
      <c r="J761" s="32"/>
      <c r="K761" s="32"/>
      <c r="L761" s="32"/>
      <c r="M761" s="32"/>
      <c r="N761" s="32"/>
      <c r="O761" s="32"/>
      <c r="P761" s="32"/>
      <c r="Q761" s="32"/>
      <c r="R761" s="32"/>
    </row>
    <row r="762" spans="1:23" s="56" customFormat="1" ht="15" customHeight="1">
      <c r="A762" s="32"/>
      <c r="B762" s="32"/>
      <c r="C762" s="32"/>
      <c r="D762" s="32"/>
      <c r="E762" s="32"/>
      <c r="F762" s="32"/>
      <c r="G762" s="32"/>
      <c r="H762" s="32"/>
      <c r="I762" s="32"/>
      <c r="J762" s="32"/>
      <c r="K762" s="32"/>
      <c r="L762" s="32"/>
      <c r="M762" s="32"/>
      <c r="N762" s="32"/>
      <c r="O762" s="32"/>
      <c r="P762" s="32"/>
      <c r="Q762" s="32"/>
      <c r="R762" s="32"/>
    </row>
    <row r="763" spans="1:23" s="56" customFormat="1" ht="15" customHeight="1">
      <c r="A763" s="32"/>
      <c r="B763" s="32"/>
      <c r="C763" s="32"/>
      <c r="D763" s="32"/>
      <c r="E763" s="32"/>
      <c r="F763" s="32"/>
      <c r="G763" s="32"/>
      <c r="H763" s="32"/>
      <c r="I763" s="32"/>
      <c r="J763" s="32"/>
      <c r="K763" s="32"/>
      <c r="L763" s="32"/>
      <c r="M763" s="32"/>
      <c r="N763" s="32"/>
      <c r="O763" s="32"/>
      <c r="P763" s="32"/>
      <c r="Q763" s="32"/>
      <c r="R763" s="32"/>
      <c r="U763"/>
      <c r="V763"/>
      <c r="W763"/>
    </row>
    <row r="764" spans="1:23" s="56" customFormat="1" ht="15" customHeight="1">
      <c r="A764" s="32"/>
      <c r="B764" s="32"/>
      <c r="C764" s="32"/>
      <c r="D764" s="32"/>
      <c r="E764" s="32"/>
      <c r="F764" s="32"/>
      <c r="G764" s="32"/>
      <c r="H764" s="32"/>
      <c r="I764" s="32"/>
      <c r="J764" s="32"/>
      <c r="K764" s="32"/>
      <c r="L764" s="32"/>
      <c r="M764" s="32"/>
      <c r="N764" s="32"/>
      <c r="O764" s="32"/>
      <c r="P764" s="32"/>
      <c r="Q764" s="32"/>
      <c r="R764" s="32"/>
      <c r="U764"/>
      <c r="V764"/>
      <c r="W764"/>
    </row>
    <row r="765" spans="1:23" s="56" customFormat="1" ht="15" customHeight="1">
      <c r="A765" s="32"/>
      <c r="B765" s="32"/>
      <c r="C765" s="32"/>
      <c r="D765" s="32"/>
      <c r="E765" s="32"/>
      <c r="F765" s="32"/>
      <c r="G765" s="32"/>
      <c r="H765" s="32"/>
      <c r="I765" s="32"/>
      <c r="J765" s="32"/>
      <c r="K765" s="32"/>
      <c r="L765" s="32"/>
      <c r="M765" s="32"/>
      <c r="N765" s="32"/>
      <c r="O765" s="32"/>
      <c r="P765" s="32"/>
      <c r="Q765" s="32"/>
      <c r="R765" s="32"/>
      <c r="U765"/>
      <c r="V765"/>
      <c r="W765"/>
    </row>
    <row r="766" spans="1:23" s="56" customFormat="1" ht="15" customHeight="1">
      <c r="A766" s="32"/>
      <c r="B766" s="32"/>
      <c r="C766" s="32"/>
      <c r="D766" s="32"/>
      <c r="E766" s="32"/>
      <c r="F766" s="32"/>
      <c r="G766" s="32"/>
      <c r="H766" s="32"/>
      <c r="I766" s="32"/>
      <c r="J766" s="32"/>
      <c r="K766" s="32"/>
      <c r="L766" s="32"/>
      <c r="M766" s="32"/>
      <c r="N766" s="32"/>
      <c r="O766" s="32"/>
      <c r="P766" s="32"/>
      <c r="Q766" s="32"/>
      <c r="R766" s="32"/>
      <c r="U766"/>
      <c r="V766"/>
      <c r="W766"/>
    </row>
    <row r="767" spans="1:23" s="56" customFormat="1" ht="15" customHeight="1">
      <c r="A767" s="32"/>
      <c r="B767" s="32"/>
      <c r="C767" s="32"/>
      <c r="D767" s="32"/>
      <c r="E767" s="32"/>
      <c r="F767" s="32"/>
      <c r="G767" s="32"/>
      <c r="H767" s="32"/>
      <c r="I767" s="32"/>
      <c r="J767" s="32"/>
      <c r="K767" s="32"/>
      <c r="L767" s="32"/>
      <c r="M767" s="32"/>
      <c r="N767" s="32"/>
      <c r="O767" s="32"/>
      <c r="P767" s="32"/>
      <c r="Q767" s="32"/>
      <c r="R767" s="32"/>
      <c r="U767"/>
      <c r="V767"/>
      <c r="W767"/>
    </row>
    <row r="768" spans="1:23" s="56" customFormat="1" ht="15" customHeight="1">
      <c r="A768" s="32"/>
      <c r="B768" s="32"/>
      <c r="C768" s="32"/>
      <c r="D768" s="32"/>
      <c r="E768" s="32"/>
      <c r="F768" s="32"/>
      <c r="G768" s="32"/>
      <c r="H768" s="32"/>
      <c r="I768" s="32"/>
      <c r="J768" s="32"/>
      <c r="K768" s="32"/>
      <c r="L768" s="32"/>
      <c r="M768" s="32"/>
      <c r="N768" s="32"/>
      <c r="O768" s="32"/>
      <c r="P768" s="32"/>
      <c r="Q768" s="32"/>
      <c r="R768" s="32"/>
      <c r="U768"/>
      <c r="V768"/>
      <c r="W768"/>
    </row>
    <row r="769" spans="1:18" ht="15" customHeight="1">
      <c r="A769" s="32"/>
      <c r="B769" s="32"/>
      <c r="C769" s="32"/>
      <c r="D769" s="32"/>
      <c r="E769" s="32"/>
      <c r="F769" s="32"/>
      <c r="G769" s="32"/>
      <c r="H769" s="32"/>
      <c r="I769" s="32"/>
      <c r="J769" s="32"/>
      <c r="K769" s="32"/>
      <c r="L769" s="32"/>
      <c r="M769" s="32"/>
      <c r="N769" s="32"/>
      <c r="O769" s="32"/>
      <c r="P769" s="32"/>
      <c r="Q769" s="32"/>
      <c r="R769" s="32"/>
    </row>
    <row r="770" spans="1:18" ht="15" customHeight="1">
      <c r="A770" s="32"/>
      <c r="B770" s="32"/>
      <c r="C770" s="32"/>
      <c r="D770" s="32"/>
      <c r="E770" s="32"/>
      <c r="F770" s="32"/>
      <c r="G770" s="32"/>
      <c r="H770" s="32"/>
      <c r="I770" s="32"/>
      <c r="J770" s="32"/>
      <c r="K770" s="32"/>
      <c r="L770" s="32"/>
      <c r="M770" s="32"/>
      <c r="N770" s="32"/>
      <c r="O770" s="32"/>
      <c r="P770" s="32"/>
      <c r="Q770" s="32"/>
      <c r="R770" s="32"/>
    </row>
    <row r="771" spans="1:18" ht="15" customHeight="1">
      <c r="A771" s="32"/>
      <c r="B771" s="32"/>
      <c r="C771" s="32"/>
      <c r="D771" s="32"/>
      <c r="E771" s="32"/>
      <c r="F771" s="32"/>
      <c r="G771" s="32"/>
      <c r="H771" s="32"/>
      <c r="I771" s="32"/>
      <c r="J771" s="32"/>
      <c r="K771" s="32"/>
      <c r="L771" s="32"/>
      <c r="M771" s="32"/>
      <c r="N771" s="32"/>
      <c r="O771" s="32"/>
      <c r="P771" s="32"/>
      <c r="Q771" s="32"/>
      <c r="R771" s="32"/>
    </row>
    <row r="772" spans="1:18" ht="15" customHeight="1">
      <c r="A772" s="32"/>
      <c r="B772" s="32"/>
      <c r="C772" s="32"/>
      <c r="D772" s="32"/>
      <c r="E772" s="32"/>
      <c r="F772" s="32"/>
      <c r="G772" s="32"/>
      <c r="H772" s="32"/>
      <c r="I772" s="32"/>
      <c r="J772" s="32"/>
      <c r="K772" s="32"/>
      <c r="L772" s="32"/>
      <c r="M772" s="32"/>
      <c r="N772" s="32"/>
      <c r="O772" s="32"/>
      <c r="P772" s="32"/>
      <c r="Q772" s="32"/>
      <c r="R772" s="32"/>
    </row>
    <row r="773" spans="1:18" ht="15" customHeight="1">
      <c r="A773" s="32"/>
      <c r="B773" s="32"/>
      <c r="C773" s="32"/>
      <c r="D773" s="32"/>
      <c r="E773" s="32"/>
      <c r="F773" s="32"/>
      <c r="G773" s="32"/>
      <c r="H773" s="32"/>
      <c r="I773" s="32"/>
      <c r="J773" s="32"/>
      <c r="K773" s="32"/>
      <c r="L773" s="32"/>
      <c r="M773" s="32"/>
      <c r="N773" s="32"/>
      <c r="O773" s="32"/>
      <c r="P773" s="32"/>
      <c r="Q773" s="32"/>
      <c r="R773" s="32"/>
    </row>
    <row r="774" spans="1:18" ht="15" customHeight="1"/>
    <row r="775" spans="1:18" ht="15" customHeight="1"/>
    <row r="776" spans="1:18" ht="15" customHeight="1"/>
    <row r="777" spans="1:18" ht="15" customHeight="1"/>
    <row r="778" spans="1:18" ht="15" customHeight="1"/>
    <row r="779" spans="1:18" ht="15" customHeight="1"/>
    <row r="780" spans="1:18" ht="15" customHeight="1"/>
    <row r="781" spans="1:18" ht="15" customHeight="1"/>
  </sheetData>
  <mergeCells count="10">
    <mergeCell ref="U4:W4"/>
    <mergeCell ref="R1:R3"/>
    <mergeCell ref="U9:W9"/>
    <mergeCell ref="P1:P3"/>
    <mergeCell ref="Q1:Q3"/>
    <mergeCell ref="H1:K1"/>
    <mergeCell ref="H2:H3"/>
    <mergeCell ref="I2:I3"/>
    <mergeCell ref="J2:J3"/>
    <mergeCell ref="K2:K3"/>
  </mergeCell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XEX488"/>
  <sheetViews>
    <sheetView zoomScaleNormal="100" workbookViewId="0"/>
  </sheetViews>
  <sheetFormatPr defaultColWidth="0" defaultRowHeight="15" zeroHeight="1"/>
  <cols>
    <col min="1" max="2" width="3.42578125" style="6" customWidth="1"/>
    <col min="3" max="3" width="57.85546875" style="57" bestFit="1" customWidth="1"/>
    <col min="4" max="4" width="22.28515625" style="5" bestFit="1" customWidth="1"/>
    <col min="5" max="5" width="8.85546875" style="5" bestFit="1" customWidth="1"/>
    <col min="6" max="6" width="5" style="5" bestFit="1" customWidth="1"/>
    <col min="7" max="7" width="10.85546875" style="5" bestFit="1" customWidth="1"/>
    <col min="8" max="8" width="6.5703125" style="5" bestFit="1" customWidth="1"/>
    <col min="9" max="9" width="7.42578125" style="6" bestFit="1" customWidth="1"/>
    <col min="10" max="10" width="11.7109375" style="6" bestFit="1" customWidth="1"/>
    <col min="11" max="11" width="8.7109375" style="6" bestFit="1" customWidth="1"/>
    <col min="12" max="12" width="10.85546875" style="6" bestFit="1" customWidth="1"/>
    <col min="13" max="13" width="5.42578125" style="6" bestFit="1" customWidth="1"/>
    <col min="14" max="17" width="8.7109375" style="6" customWidth="1"/>
    <col min="18" max="18" width="1.7109375" style="6" customWidth="1"/>
    <col min="19" max="16378" width="10.7109375" style="6" hidden="1"/>
    <col min="16379" max="16384" width="15.28515625" style="6" hidden="1"/>
  </cols>
  <sheetData>
    <row r="1" spans="1:17" s="5" customFormat="1" ht="46.5" customHeight="1">
      <c r="C1" s="57"/>
      <c r="D1" s="62" t="s">
        <v>226</v>
      </c>
      <c r="E1" s="62" t="s">
        <v>285</v>
      </c>
      <c r="F1" s="62" t="s">
        <v>288</v>
      </c>
      <c r="G1" s="62" t="s">
        <v>291</v>
      </c>
      <c r="H1" s="62" t="s">
        <v>297</v>
      </c>
      <c r="I1" s="3" t="s">
        <v>204</v>
      </c>
      <c r="J1" s="3" t="s">
        <v>180</v>
      </c>
      <c r="K1" s="3" t="s">
        <v>181</v>
      </c>
      <c r="L1" s="3" t="s">
        <v>182</v>
      </c>
      <c r="M1" s="3" t="s">
        <v>183</v>
      </c>
      <c r="N1" s="3288" t="s">
        <v>326</v>
      </c>
      <c r="O1" s="3289"/>
      <c r="P1" s="3289"/>
      <c r="Q1" s="3289"/>
    </row>
    <row r="2" spans="1:17" ht="30" customHeight="1">
      <c r="D2" s="72" t="s">
        <v>219</v>
      </c>
      <c r="E2" s="73" t="s">
        <v>287</v>
      </c>
      <c r="F2" s="72" t="s">
        <v>289</v>
      </c>
      <c r="G2" s="72"/>
      <c r="H2" s="72"/>
      <c r="I2" s="2" t="s">
        <v>205</v>
      </c>
      <c r="J2" s="2" t="s">
        <v>194</v>
      </c>
      <c r="K2" s="2" t="s">
        <v>223</v>
      </c>
      <c r="L2" s="2" t="s">
        <v>221</v>
      </c>
      <c r="M2" s="2" t="s">
        <v>222</v>
      </c>
      <c r="N2" s="3290" t="s">
        <v>425</v>
      </c>
      <c r="O2" s="3290" t="s">
        <v>426</v>
      </c>
      <c r="P2" s="3290" t="s">
        <v>427</v>
      </c>
      <c r="Q2" s="3290" t="s">
        <v>428</v>
      </c>
    </row>
    <row r="3" spans="1:17" ht="17.25">
      <c r="D3" s="72" t="s">
        <v>219</v>
      </c>
      <c r="E3" s="72" t="s">
        <v>286</v>
      </c>
      <c r="F3" s="72" t="s">
        <v>218</v>
      </c>
      <c r="G3" s="72"/>
      <c r="H3" s="72"/>
      <c r="I3" s="2" t="s">
        <v>224</v>
      </c>
      <c r="J3" s="2" t="s">
        <v>225</v>
      </c>
      <c r="K3" s="2" t="s">
        <v>220</v>
      </c>
      <c r="L3" s="2" t="s">
        <v>218</v>
      </c>
      <c r="M3" s="2" t="s">
        <v>211</v>
      </c>
      <c r="N3" s="3291"/>
      <c r="O3" s="3291"/>
      <c r="P3" s="3291"/>
      <c r="Q3" s="3291"/>
    </row>
    <row r="4" spans="1:17">
      <c r="A4" s="4">
        <v>1</v>
      </c>
      <c r="B4" s="4">
        <f>IF(J4="",0,IF('Chart Information'!$V$14=A4,B3+1,IF(B3=0,0,IF(A4=A3,B3+1,0))))</f>
        <v>0</v>
      </c>
      <c r="C4" s="76" t="s">
        <v>299</v>
      </c>
      <c r="D4" s="4" t="s">
        <v>290</v>
      </c>
      <c r="E4" s="4">
        <v>406</v>
      </c>
      <c r="F4" s="55">
        <v>4</v>
      </c>
      <c r="G4" s="55" t="s">
        <v>293</v>
      </c>
      <c r="H4" s="55" t="s">
        <v>298</v>
      </c>
      <c r="I4" s="74">
        <v>1.2</v>
      </c>
      <c r="J4" s="74">
        <v>1.25</v>
      </c>
      <c r="K4" s="4">
        <v>775</v>
      </c>
      <c r="L4" s="74">
        <v>2.95</v>
      </c>
      <c r="M4" s="4">
        <v>35</v>
      </c>
      <c r="N4" s="4">
        <f>+K4</f>
        <v>775</v>
      </c>
      <c r="O4" s="74">
        <f>+J4</f>
        <v>1.25</v>
      </c>
      <c r="P4" s="4">
        <f>+K6</f>
        <v>1025</v>
      </c>
      <c r="Q4" s="74">
        <f>+J6</f>
        <v>1.75</v>
      </c>
    </row>
    <row r="5" spans="1:17">
      <c r="A5" s="4">
        <f>IF(D5="",A4,A4+1)</f>
        <v>1</v>
      </c>
      <c r="B5" s="4">
        <f>IF(J5="",0,IF('Chart Information'!$V$14=A5,B4+1,IF(B4=0,0,IF(A5=A4,B4+1,0))))</f>
        <v>0</v>
      </c>
      <c r="C5" s="76"/>
      <c r="D5" s="4"/>
      <c r="E5" s="4"/>
      <c r="F5" s="55"/>
      <c r="G5" s="55"/>
      <c r="H5" s="55"/>
      <c r="I5" s="74">
        <v>1.2</v>
      </c>
      <c r="J5" s="74">
        <v>1.5</v>
      </c>
      <c r="K5" s="4">
        <v>950</v>
      </c>
      <c r="L5" s="74">
        <v>3.25</v>
      </c>
      <c r="M5" s="4">
        <v>44</v>
      </c>
      <c r="N5" s="4"/>
      <c r="O5" s="74"/>
      <c r="P5" s="4"/>
      <c r="Q5" s="74"/>
    </row>
    <row r="6" spans="1:17">
      <c r="A6" s="4">
        <f>IF(D6="",A5,A5+1)</f>
        <v>1</v>
      </c>
      <c r="B6" s="4">
        <f>IF(J6="",0,IF('Chart Information'!$V$14=A6,B5+1,IF(B5=0,0,IF(A6=A5,B5+1,0))))</f>
        <v>0</v>
      </c>
      <c r="C6" s="76"/>
      <c r="D6" s="4"/>
      <c r="E6" s="4"/>
      <c r="F6" s="55"/>
      <c r="G6" s="55"/>
      <c r="H6" s="55"/>
      <c r="I6" s="74">
        <v>1.2</v>
      </c>
      <c r="J6" s="74">
        <v>1.75</v>
      </c>
      <c r="K6" s="4">
        <v>1025</v>
      </c>
      <c r="L6" s="74">
        <v>3.4</v>
      </c>
      <c r="M6" s="4">
        <v>52</v>
      </c>
      <c r="N6" s="4"/>
      <c r="O6" s="74"/>
      <c r="P6" s="4"/>
      <c r="Q6" s="74"/>
    </row>
    <row r="7" spans="1:17">
      <c r="A7" s="4">
        <f>IF(D7="",A6,A6+1)</f>
        <v>1</v>
      </c>
      <c r="B7" s="4">
        <f>IF(J7="",0,IF('Chart Information'!$V$14=A7,B6+1,IF(B6=0,0,IF(A7=A6,B6+1,0))))</f>
        <v>0</v>
      </c>
      <c r="C7" s="76"/>
      <c r="D7" s="4"/>
      <c r="E7" s="4"/>
      <c r="F7" s="55"/>
      <c r="G7" s="55"/>
      <c r="H7" s="55"/>
      <c r="I7" s="74">
        <v>1.2</v>
      </c>
      <c r="J7" s="74">
        <v>2</v>
      </c>
      <c r="K7" s="4">
        <v>975</v>
      </c>
      <c r="L7" s="74">
        <v>3.5</v>
      </c>
      <c r="M7" s="4">
        <v>35</v>
      </c>
      <c r="N7" s="4"/>
      <c r="O7" s="74"/>
      <c r="P7" s="4"/>
      <c r="Q7" s="74"/>
    </row>
    <row r="8" spans="1:17">
      <c r="A8" s="4">
        <f t="shared" ref="A8:A71" si="0">IF(D8="",A7,A7+1)</f>
        <v>1</v>
      </c>
      <c r="B8" s="4">
        <f>IF(J8="",0,IF('Chart Information'!$V$14=A8,B7+1,IF(B7=0,0,IF(A8=A7,B7+1,0))))</f>
        <v>0</v>
      </c>
      <c r="C8" s="76"/>
      <c r="D8" s="4"/>
      <c r="E8" s="4"/>
      <c r="F8" s="55"/>
      <c r="G8" s="55"/>
      <c r="H8" s="55"/>
      <c r="I8" s="74">
        <v>1.2</v>
      </c>
      <c r="J8" s="74">
        <v>2.25</v>
      </c>
      <c r="K8" s="4">
        <v>775</v>
      </c>
      <c r="L8" s="74">
        <v>3.5</v>
      </c>
      <c r="M8" s="4">
        <v>35</v>
      </c>
      <c r="N8" s="4"/>
      <c r="O8" s="74"/>
      <c r="P8" s="4"/>
      <c r="Q8" s="74"/>
    </row>
    <row r="9" spans="1:17">
      <c r="A9" s="4">
        <f t="shared" si="0"/>
        <v>1</v>
      </c>
      <c r="B9" s="4">
        <f>IF(J9="",0,IF('Chart Information'!$V$14=A9,B8+1,IF(B8=0,0,IF(A9=A8,B8+1,0))))</f>
        <v>0</v>
      </c>
      <c r="C9" s="76"/>
      <c r="D9" s="4"/>
      <c r="E9" s="4"/>
      <c r="F9" s="55"/>
      <c r="G9" s="55"/>
      <c r="H9" s="55"/>
      <c r="I9" s="74">
        <v>1.2</v>
      </c>
      <c r="J9" s="74">
        <v>2.5</v>
      </c>
      <c r="K9" s="4">
        <v>300</v>
      </c>
      <c r="L9" s="74">
        <v>3.5</v>
      </c>
      <c r="M9" s="4">
        <v>35</v>
      </c>
      <c r="N9" s="4"/>
      <c r="O9" s="74"/>
      <c r="P9" s="4"/>
      <c r="Q9" s="74"/>
    </row>
    <row r="10" spans="1:17">
      <c r="A10" s="4">
        <f t="shared" si="0"/>
        <v>2</v>
      </c>
      <c r="B10" s="4">
        <f>IF(J10="",0,IF('Chart Information'!$V$14=A10,B9+1,IF(B9=0,0,IF(A10=A9,B9+1,0))))</f>
        <v>0</v>
      </c>
      <c r="C10" s="76" t="s">
        <v>300</v>
      </c>
      <c r="D10" s="4" t="s">
        <v>294</v>
      </c>
      <c r="E10" s="4">
        <v>570</v>
      </c>
      <c r="F10" s="55">
        <v>7.5</v>
      </c>
      <c r="G10" s="55" t="s">
        <v>292</v>
      </c>
      <c r="H10" s="55" t="s">
        <v>298</v>
      </c>
      <c r="I10" s="74">
        <v>1.2</v>
      </c>
      <c r="J10" s="74">
        <v>2.25</v>
      </c>
      <c r="K10" s="4">
        <v>700</v>
      </c>
      <c r="L10" s="74">
        <v>6.25</v>
      </c>
      <c r="M10" s="4">
        <v>25</v>
      </c>
      <c r="N10" s="4">
        <f>+K10</f>
        <v>700</v>
      </c>
      <c r="O10" s="74">
        <f>+J10</f>
        <v>2.25</v>
      </c>
      <c r="P10" s="4">
        <f>+K16</f>
        <v>950</v>
      </c>
      <c r="Q10" s="74">
        <f>+J16</f>
        <v>3.75</v>
      </c>
    </row>
    <row r="11" spans="1:17">
      <c r="A11" s="4">
        <f t="shared" si="0"/>
        <v>2</v>
      </c>
      <c r="B11" s="4">
        <f>IF(J11="",0,IF('Chart Information'!$V$14=A11,B10+1,IF(B10=0,0,IF(A11=A10,B10+1,0))))</f>
        <v>0</v>
      </c>
      <c r="C11" s="76"/>
      <c r="D11" s="4"/>
      <c r="E11" s="4"/>
      <c r="F11" s="55"/>
      <c r="G11" s="55"/>
      <c r="H11" s="55"/>
      <c r="I11" s="74">
        <v>1.2</v>
      </c>
      <c r="J11" s="74">
        <v>2.5</v>
      </c>
      <c r="K11" s="4">
        <v>750</v>
      </c>
      <c r="L11" s="74">
        <v>6.5</v>
      </c>
      <c r="M11" s="4">
        <v>28</v>
      </c>
      <c r="N11" s="4"/>
      <c r="O11" s="74"/>
      <c r="P11" s="4"/>
      <c r="Q11" s="74"/>
    </row>
    <row r="12" spans="1:17">
      <c r="A12" s="4">
        <f t="shared" si="0"/>
        <v>2</v>
      </c>
      <c r="B12" s="4">
        <f>IF(J12="",0,IF('Chart Information'!$V$14=A12,B11+1,IF(B11=0,0,IF(A12=A11,B11+1,0))))</f>
        <v>0</v>
      </c>
      <c r="C12" s="76"/>
      <c r="D12" s="4"/>
      <c r="E12" s="4"/>
      <c r="F12" s="55"/>
      <c r="G12" s="55"/>
      <c r="H12" s="55"/>
      <c r="I12" s="74">
        <v>1.2</v>
      </c>
      <c r="J12" s="74">
        <v>2.75</v>
      </c>
      <c r="K12" s="4">
        <v>800</v>
      </c>
      <c r="L12" s="74">
        <v>6.5</v>
      </c>
      <c r="M12" s="4">
        <v>32</v>
      </c>
      <c r="N12" s="4"/>
      <c r="O12" s="74"/>
      <c r="P12" s="4"/>
      <c r="Q12" s="74"/>
    </row>
    <row r="13" spans="1:17">
      <c r="A13" s="4">
        <f t="shared" si="0"/>
        <v>2</v>
      </c>
      <c r="B13" s="4">
        <f>IF(J13="",0,IF('Chart Information'!$V$14=A13,B12+1,IF(B12=0,0,IF(A13=A12,B12+1,0))))</f>
        <v>0</v>
      </c>
      <c r="C13" s="76"/>
      <c r="D13" s="4"/>
      <c r="E13" s="4"/>
      <c r="F13" s="55"/>
      <c r="G13" s="55"/>
      <c r="H13" s="55"/>
      <c r="I13" s="74">
        <v>1.2</v>
      </c>
      <c r="J13" s="74">
        <v>3</v>
      </c>
      <c r="K13" s="4">
        <v>850</v>
      </c>
      <c r="L13" s="74">
        <v>6.75</v>
      </c>
      <c r="M13" s="4">
        <v>38</v>
      </c>
      <c r="N13" s="4"/>
      <c r="O13" s="74"/>
      <c r="P13" s="4"/>
      <c r="Q13" s="74"/>
    </row>
    <row r="14" spans="1:17">
      <c r="A14" s="4">
        <f t="shared" si="0"/>
        <v>2</v>
      </c>
      <c r="B14" s="4">
        <f>IF(J14="",0,IF('Chart Information'!$V$14=A14,B13+1,IF(B13=0,0,IF(A14=A13,B13+1,0))))</f>
        <v>0</v>
      </c>
      <c r="C14" s="76"/>
      <c r="D14" s="4"/>
      <c r="E14" s="4"/>
      <c r="F14" s="55"/>
      <c r="G14" s="55"/>
      <c r="H14" s="55"/>
      <c r="I14" s="74">
        <v>1.2</v>
      </c>
      <c r="J14" s="74">
        <v>3.25</v>
      </c>
      <c r="K14" s="4">
        <v>900</v>
      </c>
      <c r="L14" s="74">
        <v>6.75</v>
      </c>
      <c r="M14" s="4">
        <v>43</v>
      </c>
      <c r="N14" s="4"/>
      <c r="O14" s="74"/>
      <c r="P14" s="4"/>
      <c r="Q14" s="74"/>
    </row>
    <row r="15" spans="1:17">
      <c r="A15" s="4">
        <f t="shared" si="0"/>
        <v>2</v>
      </c>
      <c r="B15" s="4">
        <f>IF(J15="",0,IF('Chart Information'!$V$14=A15,B14+1,IF(B14=0,0,IF(A15=A14,B14+1,0))))</f>
        <v>0</v>
      </c>
      <c r="C15" s="76"/>
      <c r="D15" s="4"/>
      <c r="E15" s="4"/>
      <c r="F15" s="55"/>
      <c r="G15" s="55"/>
      <c r="H15" s="55"/>
      <c r="I15" s="74">
        <v>1.2</v>
      </c>
      <c r="J15" s="74">
        <v>3.5</v>
      </c>
      <c r="K15" s="4">
        <v>925</v>
      </c>
      <c r="L15" s="74">
        <v>7</v>
      </c>
      <c r="M15" s="4">
        <v>48</v>
      </c>
      <c r="N15" s="4"/>
      <c r="O15" s="74"/>
      <c r="P15" s="4"/>
      <c r="Q15" s="74"/>
    </row>
    <row r="16" spans="1:17">
      <c r="A16" s="4">
        <f t="shared" si="0"/>
        <v>2</v>
      </c>
      <c r="B16" s="4">
        <f>IF(J16="",0,IF('Chart Information'!$V$14=A16,B15+1,IF(B15=0,0,IF(A16=A15,B15+1,0))))</f>
        <v>0</v>
      </c>
      <c r="C16" s="76"/>
      <c r="D16" s="4"/>
      <c r="E16" s="4"/>
      <c r="F16" s="55"/>
      <c r="G16" s="55"/>
      <c r="H16" s="55"/>
      <c r="I16" s="74">
        <v>1.2</v>
      </c>
      <c r="J16" s="74">
        <v>3.75</v>
      </c>
      <c r="K16" s="4">
        <v>950</v>
      </c>
      <c r="L16" s="74">
        <v>7.1</v>
      </c>
      <c r="M16" s="4">
        <v>51</v>
      </c>
      <c r="N16" s="4"/>
      <c r="O16" s="74"/>
      <c r="P16" s="4"/>
      <c r="Q16" s="74"/>
    </row>
    <row r="17" spans="1:17">
      <c r="A17" s="4">
        <f t="shared" si="0"/>
        <v>2</v>
      </c>
      <c r="B17" s="4">
        <f>IF(J17="",0,IF('Chart Information'!$V$14=A17,B16+1,IF(B16=0,0,IF(A17=A16,B16+1,0))))</f>
        <v>0</v>
      </c>
      <c r="C17" s="76"/>
      <c r="D17" s="4"/>
      <c r="E17" s="4"/>
      <c r="F17" s="55"/>
      <c r="G17" s="55"/>
      <c r="H17" s="55"/>
      <c r="I17" s="74">
        <v>1.2</v>
      </c>
      <c r="J17" s="74">
        <v>4</v>
      </c>
      <c r="K17" s="4">
        <v>940</v>
      </c>
      <c r="L17" s="74">
        <v>7.1</v>
      </c>
      <c r="M17" s="4">
        <v>53</v>
      </c>
      <c r="N17" s="4"/>
      <c r="O17" s="74"/>
      <c r="P17" s="4"/>
      <c r="Q17" s="74"/>
    </row>
    <row r="18" spans="1:17">
      <c r="A18" s="4">
        <f t="shared" si="0"/>
        <v>2</v>
      </c>
      <c r="B18" s="4">
        <f>IF(J18="",0,IF('Chart Information'!$V$14=A18,B17+1,IF(B17=0,0,IF(A18=A17,B17+1,0))))</f>
        <v>0</v>
      </c>
      <c r="C18" s="76"/>
      <c r="D18" s="4"/>
      <c r="E18" s="4"/>
      <c r="F18" s="55"/>
      <c r="G18" s="55"/>
      <c r="H18" s="55"/>
      <c r="I18" s="74">
        <v>1.2</v>
      </c>
      <c r="J18" s="74">
        <v>4.25</v>
      </c>
      <c r="K18" s="4">
        <v>925</v>
      </c>
      <c r="L18" s="74">
        <v>7.3</v>
      </c>
      <c r="M18" s="4">
        <v>54</v>
      </c>
      <c r="N18" s="4"/>
      <c r="O18" s="74"/>
      <c r="P18" s="4"/>
      <c r="Q18" s="74"/>
    </row>
    <row r="19" spans="1:17">
      <c r="A19" s="4">
        <f t="shared" si="0"/>
        <v>2</v>
      </c>
      <c r="B19" s="4">
        <f>IF(J19="",0,IF('Chart Information'!$V$14=A19,B18+1,IF(B18=0,0,IF(A19=A18,B18+1,0))))</f>
        <v>0</v>
      </c>
      <c r="C19" s="76"/>
      <c r="D19" s="4"/>
      <c r="E19" s="4"/>
      <c r="F19" s="55"/>
      <c r="G19" s="55"/>
      <c r="H19" s="55"/>
      <c r="I19" s="74">
        <v>1.2</v>
      </c>
      <c r="J19" s="74">
        <v>4.5</v>
      </c>
      <c r="K19" s="4">
        <v>875</v>
      </c>
      <c r="L19" s="74">
        <v>7.4</v>
      </c>
      <c r="M19" s="4">
        <v>55</v>
      </c>
      <c r="N19" s="4"/>
      <c r="O19" s="74"/>
      <c r="P19" s="4"/>
      <c r="Q19" s="74"/>
    </row>
    <row r="20" spans="1:17">
      <c r="A20" s="4">
        <f t="shared" si="0"/>
        <v>2</v>
      </c>
      <c r="B20" s="4">
        <f>IF(J20="",0,IF('Chart Information'!$V$14=A20,B19+1,IF(B19=0,0,IF(A20=A19,B19+1,0))))</f>
        <v>0</v>
      </c>
      <c r="C20" s="76"/>
      <c r="D20" s="4"/>
      <c r="E20" s="4"/>
      <c r="F20" s="55"/>
      <c r="G20" s="55"/>
      <c r="H20" s="55"/>
      <c r="I20" s="74">
        <v>1.2</v>
      </c>
      <c r="J20" s="74">
        <v>4.75</v>
      </c>
      <c r="K20" s="4">
        <v>825</v>
      </c>
      <c r="L20" s="74">
        <v>7.4</v>
      </c>
      <c r="M20" s="4">
        <v>53</v>
      </c>
      <c r="N20" s="4"/>
      <c r="O20" s="74"/>
      <c r="P20" s="4"/>
      <c r="Q20" s="74"/>
    </row>
    <row r="21" spans="1:17">
      <c r="A21" s="4">
        <f t="shared" si="0"/>
        <v>2</v>
      </c>
      <c r="B21" s="4">
        <f>IF(J21="",0,IF('Chart Information'!$V$14=A21,B20+1,IF(B20=0,0,IF(A21=A20,B20+1,0))))</f>
        <v>0</v>
      </c>
      <c r="C21" s="76"/>
      <c r="D21" s="4"/>
      <c r="E21" s="4"/>
      <c r="F21" s="55"/>
      <c r="G21" s="55"/>
      <c r="H21" s="55"/>
      <c r="I21" s="74">
        <v>1.2</v>
      </c>
      <c r="J21" s="74">
        <v>5</v>
      </c>
      <c r="K21" s="4">
        <v>725</v>
      </c>
      <c r="L21" s="74">
        <v>7.5</v>
      </c>
      <c r="M21" s="4">
        <v>50</v>
      </c>
      <c r="N21" s="4"/>
      <c r="O21" s="74"/>
      <c r="P21" s="4"/>
      <c r="Q21" s="74"/>
    </row>
    <row r="22" spans="1:17">
      <c r="A22" s="4">
        <f t="shared" si="0"/>
        <v>2</v>
      </c>
      <c r="B22" s="4">
        <f>IF(J22="",0,IF('Chart Information'!$V$14=A22,B21+1,IF(B21=0,0,IF(A22=A21,B21+1,0))))</f>
        <v>0</v>
      </c>
      <c r="C22" s="76"/>
      <c r="D22" s="4"/>
      <c r="E22" s="4"/>
      <c r="F22" s="55"/>
      <c r="G22" s="55"/>
      <c r="H22" s="55"/>
      <c r="I22" s="74">
        <v>1.2</v>
      </c>
      <c r="J22" s="74">
        <v>5.25</v>
      </c>
      <c r="K22" s="4">
        <v>625</v>
      </c>
      <c r="L22" s="74">
        <v>7.5</v>
      </c>
      <c r="M22" s="4">
        <v>43</v>
      </c>
      <c r="N22" s="4"/>
      <c r="O22" s="74"/>
      <c r="P22" s="4"/>
      <c r="Q22" s="74"/>
    </row>
    <row r="23" spans="1:17">
      <c r="A23" s="4">
        <f t="shared" si="0"/>
        <v>2</v>
      </c>
      <c r="B23" s="4">
        <f>IF(J23="",0,IF('Chart Information'!$V$14=A23,B22+1,IF(B22=0,0,IF(A23=A22,B22+1,0))))</f>
        <v>0</v>
      </c>
      <c r="C23" s="76"/>
      <c r="D23" s="4"/>
      <c r="E23" s="4"/>
      <c r="F23" s="55"/>
      <c r="G23" s="55"/>
      <c r="H23" s="55"/>
      <c r="I23" s="74">
        <v>1.2</v>
      </c>
      <c r="J23" s="74">
        <v>5.5</v>
      </c>
      <c r="K23" s="4">
        <v>450</v>
      </c>
      <c r="L23" s="74">
        <v>7.5</v>
      </c>
      <c r="M23" s="4">
        <v>35</v>
      </c>
      <c r="N23" s="4"/>
      <c r="O23" s="74"/>
      <c r="P23" s="4"/>
      <c r="Q23" s="74"/>
    </row>
    <row r="24" spans="1:17">
      <c r="A24" s="4">
        <f t="shared" si="0"/>
        <v>2</v>
      </c>
      <c r="B24" s="4">
        <f>IF(J24="",0,IF('Chart Information'!$V$14=A24,B23+1,IF(B23=0,0,IF(A24=A23,B23+1,0))))</f>
        <v>0</v>
      </c>
      <c r="C24" s="76"/>
      <c r="D24" s="4"/>
      <c r="E24" s="4"/>
      <c r="F24" s="55"/>
      <c r="G24" s="55"/>
      <c r="H24" s="55"/>
      <c r="I24" s="74">
        <v>1.2</v>
      </c>
      <c r="J24" s="74">
        <v>5.75</v>
      </c>
      <c r="K24" s="4">
        <v>250</v>
      </c>
      <c r="L24" s="74">
        <v>7.7</v>
      </c>
      <c r="M24" s="4">
        <v>18</v>
      </c>
      <c r="N24" s="4"/>
      <c r="O24" s="74"/>
      <c r="P24" s="4"/>
      <c r="Q24" s="74"/>
    </row>
    <row r="25" spans="1:17">
      <c r="A25" s="4">
        <f t="shared" si="0"/>
        <v>3</v>
      </c>
      <c r="B25" s="4">
        <f>IF(J25="",0,IF('Chart Information'!$V$14=A25,B24+1,IF(B24=0,0,IF(A25=A24,B24+1,0))))</f>
        <v>0</v>
      </c>
      <c r="C25" s="76" t="s">
        <v>301</v>
      </c>
      <c r="D25" s="4" t="s">
        <v>290</v>
      </c>
      <c r="E25" s="4">
        <v>570</v>
      </c>
      <c r="F25" s="55">
        <v>7.5</v>
      </c>
      <c r="G25" s="55" t="s">
        <v>293</v>
      </c>
      <c r="H25" s="55" t="s">
        <v>298</v>
      </c>
      <c r="I25" s="74">
        <v>1.2</v>
      </c>
      <c r="J25" s="74">
        <v>2.75</v>
      </c>
      <c r="K25" s="4">
        <v>1075</v>
      </c>
      <c r="L25" s="74">
        <v>6.7</v>
      </c>
      <c r="M25" s="4">
        <v>43</v>
      </c>
      <c r="N25" s="4">
        <f>+K25</f>
        <v>1075</v>
      </c>
      <c r="O25" s="74">
        <f>+J25</f>
        <v>2.75</v>
      </c>
      <c r="P25" s="4">
        <f>+K27</f>
        <v>1275</v>
      </c>
      <c r="Q25" s="74">
        <f>+J27</f>
        <v>3.25</v>
      </c>
    </row>
    <row r="26" spans="1:17">
      <c r="A26" s="4">
        <f t="shared" si="0"/>
        <v>3</v>
      </c>
      <c r="B26" s="4">
        <f>IF(J26="",0,IF('Chart Information'!$V$14=A26,B25+1,IF(B25=0,0,IF(A26=A25,B25+1,0))))</f>
        <v>0</v>
      </c>
      <c r="C26" s="76"/>
      <c r="D26" s="4"/>
      <c r="E26" s="4"/>
      <c r="F26" s="55"/>
      <c r="G26" s="55"/>
      <c r="H26" s="55"/>
      <c r="I26" s="74">
        <v>1.2</v>
      </c>
      <c r="J26" s="74">
        <v>3</v>
      </c>
      <c r="K26" s="4">
        <v>1200</v>
      </c>
      <c r="L26" s="74">
        <v>7</v>
      </c>
      <c r="M26" s="4">
        <v>47</v>
      </c>
      <c r="N26" s="4"/>
      <c r="O26" s="74"/>
      <c r="P26" s="4"/>
      <c r="Q26" s="74"/>
    </row>
    <row r="27" spans="1:17">
      <c r="A27" s="4">
        <f t="shared" si="0"/>
        <v>3</v>
      </c>
      <c r="B27" s="4">
        <f>IF(J27="",0,IF('Chart Information'!$V$14=A27,B26+1,IF(B26=0,0,IF(A27=A26,B26+1,0))))</f>
        <v>0</v>
      </c>
      <c r="C27" s="76"/>
      <c r="D27" s="4"/>
      <c r="E27" s="4"/>
      <c r="F27" s="55"/>
      <c r="G27" s="55"/>
      <c r="H27" s="55"/>
      <c r="I27" s="74">
        <v>1.2</v>
      </c>
      <c r="J27" s="74">
        <v>3.25</v>
      </c>
      <c r="K27" s="4">
        <v>1275</v>
      </c>
      <c r="L27" s="74">
        <v>7.2</v>
      </c>
      <c r="M27" s="4">
        <v>54</v>
      </c>
      <c r="N27" s="4"/>
      <c r="O27" s="74"/>
      <c r="P27" s="4"/>
      <c r="Q27" s="74"/>
    </row>
    <row r="28" spans="1:17">
      <c r="A28" s="4">
        <f t="shared" si="0"/>
        <v>3</v>
      </c>
      <c r="B28" s="4">
        <f>IF(J28="",0,IF('Chart Information'!$V$14=A28,B27+1,IF(B27=0,0,IF(A28=A27,B27+1,0))))</f>
        <v>0</v>
      </c>
      <c r="C28" s="76"/>
      <c r="D28" s="4"/>
      <c r="E28" s="4"/>
      <c r="F28" s="55"/>
      <c r="G28" s="55"/>
      <c r="H28" s="55"/>
      <c r="I28" s="74">
        <v>1.2</v>
      </c>
      <c r="J28" s="74">
        <v>3.5</v>
      </c>
      <c r="K28" s="4">
        <v>1240</v>
      </c>
      <c r="L28" s="74">
        <v>7.2</v>
      </c>
      <c r="M28" s="4">
        <v>58</v>
      </c>
      <c r="N28" s="4"/>
      <c r="O28" s="74"/>
      <c r="P28" s="4"/>
      <c r="Q28" s="74"/>
    </row>
    <row r="29" spans="1:17">
      <c r="A29" s="4">
        <f t="shared" si="0"/>
        <v>3</v>
      </c>
      <c r="B29" s="4">
        <f>IF(J29="",0,IF('Chart Information'!$V$14=A29,B28+1,IF(B28=0,0,IF(A29=A28,B28+1,0))))</f>
        <v>0</v>
      </c>
      <c r="C29" s="76"/>
      <c r="D29" s="4"/>
      <c r="E29" s="4"/>
      <c r="F29" s="55"/>
      <c r="G29" s="55"/>
      <c r="H29" s="55"/>
      <c r="I29" s="74">
        <v>1.2</v>
      </c>
      <c r="J29" s="74">
        <v>3.75</v>
      </c>
      <c r="K29" s="4">
        <v>1175</v>
      </c>
      <c r="L29" s="74">
        <v>7.2</v>
      </c>
      <c r="M29" s="4">
        <v>62</v>
      </c>
      <c r="N29" s="4"/>
      <c r="O29" s="74"/>
      <c r="P29" s="4"/>
      <c r="Q29" s="74"/>
    </row>
    <row r="30" spans="1:17">
      <c r="A30" s="4">
        <f t="shared" si="0"/>
        <v>3</v>
      </c>
      <c r="B30" s="4">
        <f>IF(J30="",0,IF('Chart Information'!$V$14=A30,B29+1,IF(B29=0,0,IF(A30=A29,B29+1,0))))</f>
        <v>0</v>
      </c>
      <c r="C30" s="76"/>
      <c r="D30" s="4"/>
      <c r="E30" s="4"/>
      <c r="F30" s="55"/>
      <c r="G30" s="55"/>
      <c r="H30" s="55"/>
      <c r="I30" s="74">
        <v>1.2</v>
      </c>
      <c r="J30" s="74">
        <v>4</v>
      </c>
      <c r="K30" s="4">
        <v>1125</v>
      </c>
      <c r="L30" s="74">
        <v>7.1</v>
      </c>
      <c r="M30" s="4">
        <v>64</v>
      </c>
      <c r="N30" s="4"/>
      <c r="O30" s="74"/>
      <c r="P30" s="4"/>
      <c r="Q30" s="74"/>
    </row>
    <row r="31" spans="1:17">
      <c r="A31" s="4">
        <f t="shared" si="0"/>
        <v>3</v>
      </c>
      <c r="B31" s="4">
        <f>IF(J31="",0,IF('Chart Information'!$V$14=A31,B30+1,IF(B30=0,0,IF(A31=A30,B30+1,0))))</f>
        <v>0</v>
      </c>
      <c r="C31" s="76"/>
      <c r="D31" s="4"/>
      <c r="E31" s="4"/>
      <c r="F31" s="55"/>
      <c r="G31" s="55"/>
      <c r="H31" s="55"/>
      <c r="I31" s="74">
        <v>1.2</v>
      </c>
      <c r="J31" s="74">
        <v>4.25</v>
      </c>
      <c r="K31" s="4">
        <v>1000</v>
      </c>
      <c r="L31" s="74">
        <v>6.9</v>
      </c>
      <c r="M31" s="4">
        <v>63</v>
      </c>
      <c r="N31" s="4"/>
      <c r="O31" s="74"/>
      <c r="P31" s="4"/>
      <c r="Q31" s="74"/>
    </row>
    <row r="32" spans="1:17">
      <c r="A32" s="4">
        <f t="shared" si="0"/>
        <v>3</v>
      </c>
      <c r="B32" s="4">
        <f>IF(J32="",0,IF('Chart Information'!$V$14=A32,B31+1,IF(B31=0,0,IF(A32=A31,B31+1,0))))</f>
        <v>0</v>
      </c>
      <c r="C32" s="76"/>
      <c r="D32" s="4"/>
      <c r="E32" s="4"/>
      <c r="F32" s="55"/>
      <c r="G32" s="55"/>
      <c r="H32" s="55"/>
      <c r="I32" s="74">
        <v>1.2</v>
      </c>
      <c r="J32" s="74">
        <v>4.5</v>
      </c>
      <c r="K32" s="4">
        <v>825</v>
      </c>
      <c r="L32" s="74">
        <v>6.8</v>
      </c>
      <c r="M32" s="4">
        <v>63</v>
      </c>
      <c r="N32" s="4"/>
      <c r="O32" s="74"/>
      <c r="P32" s="4"/>
      <c r="Q32" s="74"/>
    </row>
    <row r="33" spans="1:17">
      <c r="A33" s="4">
        <f t="shared" si="0"/>
        <v>3</v>
      </c>
      <c r="B33" s="4">
        <f>IF(J33="",0,IF('Chart Information'!$V$14=A33,B32+1,IF(B32=0,0,IF(A33=A32,B32+1,0))))</f>
        <v>0</v>
      </c>
      <c r="C33" s="76"/>
      <c r="D33" s="4"/>
      <c r="E33" s="4"/>
      <c r="F33" s="55"/>
      <c r="G33" s="55"/>
      <c r="H33" s="55"/>
      <c r="I33" s="74">
        <v>1.2</v>
      </c>
      <c r="J33" s="74">
        <v>4.75</v>
      </c>
      <c r="K33" s="4">
        <v>625</v>
      </c>
      <c r="L33" s="74">
        <v>6.4</v>
      </c>
      <c r="M33" s="4">
        <v>47</v>
      </c>
      <c r="N33" s="4"/>
      <c r="O33" s="74"/>
      <c r="P33" s="4"/>
      <c r="Q33" s="74"/>
    </row>
    <row r="34" spans="1:17">
      <c r="A34" s="4">
        <f t="shared" si="0"/>
        <v>3</v>
      </c>
      <c r="B34" s="4">
        <f>IF(J34="",0,IF('Chart Information'!$V$14=A34,B33+1,IF(B33=0,0,IF(A34=A33,B33+1,0))))</f>
        <v>0</v>
      </c>
      <c r="C34" s="76"/>
      <c r="D34" s="4"/>
      <c r="E34" s="4"/>
      <c r="F34" s="55"/>
      <c r="G34" s="55"/>
      <c r="H34" s="55"/>
      <c r="I34" s="74">
        <v>1.2</v>
      </c>
      <c r="J34" s="74">
        <v>5</v>
      </c>
      <c r="K34" s="4">
        <v>300</v>
      </c>
      <c r="L34" s="74">
        <v>6.1</v>
      </c>
      <c r="M34" s="4">
        <v>25</v>
      </c>
      <c r="N34" s="4"/>
      <c r="O34" s="74"/>
      <c r="P34" s="4"/>
      <c r="Q34" s="74"/>
    </row>
    <row r="35" spans="1:17">
      <c r="A35" s="4">
        <f t="shared" si="0"/>
        <v>4</v>
      </c>
      <c r="B35" s="4">
        <f>IF(J35="",0,IF('Chart Information'!$V$14=A35,B34+1,IF(B34=0,0,IF(A35=A34,B34+1,0))))</f>
        <v>0</v>
      </c>
      <c r="C35" s="76" t="s">
        <v>302</v>
      </c>
      <c r="D35" s="4" t="s">
        <v>294</v>
      </c>
      <c r="E35" s="4">
        <v>570</v>
      </c>
      <c r="F35" s="55">
        <v>11</v>
      </c>
      <c r="G35" s="55" t="s">
        <v>292</v>
      </c>
      <c r="H35" s="55" t="s">
        <v>298</v>
      </c>
      <c r="I35" s="74">
        <v>1.2</v>
      </c>
      <c r="J35" s="74">
        <v>3.25</v>
      </c>
      <c r="K35" s="4">
        <v>850</v>
      </c>
      <c r="L35" s="74">
        <v>9</v>
      </c>
      <c r="M35" s="4">
        <v>29</v>
      </c>
      <c r="N35" s="4">
        <f>+K35</f>
        <v>850</v>
      </c>
      <c r="O35" s="74">
        <f>+J35</f>
        <v>3.25</v>
      </c>
      <c r="P35" s="4">
        <f>+K42</f>
        <v>1075</v>
      </c>
      <c r="Q35" s="74">
        <f>+J42</f>
        <v>5</v>
      </c>
    </row>
    <row r="36" spans="1:17">
      <c r="A36" s="4">
        <f t="shared" si="0"/>
        <v>4</v>
      </c>
      <c r="B36" s="4">
        <f>IF(J36="",0,IF('Chart Information'!$V$14=A36,B35+1,IF(B35=0,0,IF(A36=A35,B35+1,0))))</f>
        <v>0</v>
      </c>
      <c r="C36" s="76"/>
      <c r="D36" s="4"/>
      <c r="E36" s="4"/>
      <c r="F36" s="55"/>
      <c r="G36" s="55"/>
      <c r="H36" s="55"/>
      <c r="I36" s="74">
        <v>1.2</v>
      </c>
      <c r="J36" s="74">
        <v>3.5</v>
      </c>
      <c r="K36" s="4">
        <v>900</v>
      </c>
      <c r="L36" s="74">
        <v>9.5</v>
      </c>
      <c r="M36" s="4">
        <v>33</v>
      </c>
      <c r="N36" s="4"/>
      <c r="O36" s="74"/>
      <c r="P36" s="4"/>
      <c r="Q36" s="74"/>
    </row>
    <row r="37" spans="1:17">
      <c r="A37" s="4">
        <f t="shared" si="0"/>
        <v>4</v>
      </c>
      <c r="B37" s="4">
        <f>IF(J37="",0,IF('Chart Information'!$V$14=A37,B36+1,IF(B36=0,0,IF(A37=A36,B36+1,0))))</f>
        <v>0</v>
      </c>
      <c r="C37" s="76"/>
      <c r="D37" s="4"/>
      <c r="E37" s="4"/>
      <c r="F37" s="55"/>
      <c r="G37" s="55"/>
      <c r="H37" s="55"/>
      <c r="I37" s="74">
        <v>1.2</v>
      </c>
      <c r="J37" s="74">
        <v>3.75</v>
      </c>
      <c r="K37" s="4">
        <v>950</v>
      </c>
      <c r="L37" s="74">
        <v>10</v>
      </c>
      <c r="M37" s="4">
        <v>36</v>
      </c>
      <c r="N37" s="4"/>
      <c r="O37" s="74"/>
      <c r="P37" s="4"/>
      <c r="Q37" s="74"/>
    </row>
    <row r="38" spans="1:17">
      <c r="A38" s="4">
        <f t="shared" si="0"/>
        <v>4</v>
      </c>
      <c r="B38" s="4">
        <f>IF(J38="",0,IF('Chart Information'!$V$14=A38,B37+1,IF(B37=0,0,IF(A38=A37,B37+1,0))))</f>
        <v>0</v>
      </c>
      <c r="C38" s="76"/>
      <c r="D38" s="4"/>
      <c r="E38" s="4"/>
      <c r="F38" s="55"/>
      <c r="G38" s="55"/>
      <c r="H38" s="55"/>
      <c r="I38" s="74">
        <v>1.2</v>
      </c>
      <c r="J38" s="74">
        <v>4</v>
      </c>
      <c r="K38" s="4">
        <v>975</v>
      </c>
      <c r="L38" s="74">
        <v>10.25</v>
      </c>
      <c r="M38" s="4">
        <v>38</v>
      </c>
      <c r="N38" s="4"/>
      <c r="O38" s="74"/>
      <c r="P38" s="4"/>
      <c r="Q38" s="74"/>
    </row>
    <row r="39" spans="1:17">
      <c r="A39" s="4">
        <f t="shared" si="0"/>
        <v>4</v>
      </c>
      <c r="B39" s="4">
        <f>IF(J39="",0,IF('Chart Information'!$V$14=A39,B38+1,IF(B38=0,0,IF(A39=A38,B38+1,0))))</f>
        <v>0</v>
      </c>
      <c r="C39" s="76"/>
      <c r="D39" s="4"/>
      <c r="E39" s="4"/>
      <c r="F39" s="55"/>
      <c r="G39" s="55"/>
      <c r="H39" s="55"/>
      <c r="I39" s="74">
        <v>1.2</v>
      </c>
      <c r="J39" s="74">
        <v>4.25</v>
      </c>
      <c r="K39" s="4">
        <v>1000</v>
      </c>
      <c r="L39" s="74">
        <v>10.5</v>
      </c>
      <c r="M39" s="4">
        <v>42</v>
      </c>
      <c r="N39" s="4"/>
      <c r="O39" s="74"/>
      <c r="P39" s="4"/>
      <c r="Q39" s="74"/>
    </row>
    <row r="40" spans="1:17">
      <c r="A40" s="4">
        <f t="shared" si="0"/>
        <v>4</v>
      </c>
      <c r="B40" s="4">
        <f>IF(J40="",0,IF('Chart Information'!$V$14=A40,B39+1,IF(B39=0,0,IF(A40=A39,B39+1,0))))</f>
        <v>0</v>
      </c>
      <c r="C40" s="76"/>
      <c r="D40" s="4"/>
      <c r="E40" s="4"/>
      <c r="F40" s="55"/>
      <c r="G40" s="55"/>
      <c r="H40" s="55"/>
      <c r="I40" s="74">
        <v>1.2</v>
      </c>
      <c r="J40" s="74">
        <v>4.5</v>
      </c>
      <c r="K40" s="4">
        <v>1025</v>
      </c>
      <c r="L40" s="74">
        <v>10.75</v>
      </c>
      <c r="M40" s="4">
        <v>44</v>
      </c>
      <c r="N40" s="4"/>
      <c r="O40" s="74"/>
      <c r="P40" s="4"/>
      <c r="Q40" s="74"/>
    </row>
    <row r="41" spans="1:17">
      <c r="A41" s="4">
        <f t="shared" si="0"/>
        <v>4</v>
      </c>
      <c r="B41" s="4">
        <f>IF(J41="",0,IF('Chart Information'!$V$14=A41,B40+1,IF(B40=0,0,IF(A41=A40,B40+1,0))))</f>
        <v>0</v>
      </c>
      <c r="C41" s="76"/>
      <c r="D41" s="4"/>
      <c r="E41" s="4"/>
      <c r="F41" s="55"/>
      <c r="G41" s="55"/>
      <c r="H41" s="55"/>
      <c r="I41" s="74">
        <v>1.2</v>
      </c>
      <c r="J41" s="74">
        <v>4.75</v>
      </c>
      <c r="K41" s="4">
        <v>1050</v>
      </c>
      <c r="L41" s="74">
        <v>10.75</v>
      </c>
      <c r="M41" s="4">
        <v>46</v>
      </c>
      <c r="N41" s="4"/>
      <c r="O41" s="74"/>
      <c r="P41" s="4"/>
      <c r="Q41" s="74"/>
    </row>
    <row r="42" spans="1:17">
      <c r="A42" s="4">
        <f t="shared" si="0"/>
        <v>4</v>
      </c>
      <c r="B42" s="4">
        <f>IF(J42="",0,IF('Chart Information'!$V$14=A42,B41+1,IF(B41=0,0,IF(A42=A41,B41+1,0))))</f>
        <v>0</v>
      </c>
      <c r="C42" s="76"/>
      <c r="D42" s="4"/>
      <c r="E42" s="4"/>
      <c r="F42" s="55"/>
      <c r="G42" s="55"/>
      <c r="H42" s="55"/>
      <c r="I42" s="74">
        <v>1.2</v>
      </c>
      <c r="J42" s="74">
        <v>5</v>
      </c>
      <c r="K42" s="4">
        <v>1075</v>
      </c>
      <c r="L42" s="74">
        <v>11</v>
      </c>
      <c r="M42" s="4">
        <v>47</v>
      </c>
      <c r="N42" s="4"/>
      <c r="O42" s="74"/>
      <c r="P42" s="4"/>
      <c r="Q42" s="74"/>
    </row>
    <row r="43" spans="1:17">
      <c r="A43" s="4">
        <f t="shared" si="0"/>
        <v>4</v>
      </c>
      <c r="B43" s="4">
        <f>IF(J43="",0,IF('Chart Information'!$V$14=A43,B42+1,IF(B42=0,0,IF(A43=A42,B42+1,0))))</f>
        <v>0</v>
      </c>
      <c r="C43" s="76"/>
      <c r="D43" s="4"/>
      <c r="E43" s="4"/>
      <c r="F43" s="55"/>
      <c r="G43" s="55"/>
      <c r="H43" s="55"/>
      <c r="I43" s="74">
        <v>1.2</v>
      </c>
      <c r="J43" s="74">
        <v>5.25</v>
      </c>
      <c r="K43" s="4">
        <v>1050</v>
      </c>
      <c r="L43" s="74">
        <v>11</v>
      </c>
      <c r="M43" s="4">
        <v>47</v>
      </c>
      <c r="N43" s="4"/>
      <c r="O43" s="74"/>
      <c r="P43" s="4"/>
      <c r="Q43" s="74"/>
    </row>
    <row r="44" spans="1:17">
      <c r="A44" s="4">
        <f t="shared" si="0"/>
        <v>4</v>
      </c>
      <c r="B44" s="4">
        <f>IF(J44="",0,IF('Chart Information'!$V$14=A44,B43+1,IF(B43=0,0,IF(A44=A43,B43+1,0))))</f>
        <v>0</v>
      </c>
      <c r="C44" s="76"/>
      <c r="D44" s="4"/>
      <c r="E44" s="4"/>
      <c r="F44" s="55"/>
      <c r="G44" s="55"/>
      <c r="H44" s="55"/>
      <c r="I44" s="74">
        <v>1.2</v>
      </c>
      <c r="J44" s="74">
        <v>5.5</v>
      </c>
      <c r="K44" s="4">
        <v>975</v>
      </c>
      <c r="L44" s="74">
        <v>11</v>
      </c>
      <c r="M44" s="4">
        <v>46</v>
      </c>
      <c r="N44" s="4"/>
      <c r="O44" s="74"/>
      <c r="P44" s="4"/>
      <c r="Q44" s="74"/>
    </row>
    <row r="45" spans="1:17">
      <c r="A45" s="4">
        <f t="shared" si="0"/>
        <v>4</v>
      </c>
      <c r="B45" s="4">
        <f>IF(J45="",0,IF('Chart Information'!$V$14=A45,B44+1,IF(B44=0,0,IF(A45=A44,B44+1,0))))</f>
        <v>0</v>
      </c>
      <c r="C45" s="76"/>
      <c r="D45" s="4"/>
      <c r="E45" s="4"/>
      <c r="F45" s="55"/>
      <c r="G45" s="55"/>
      <c r="H45" s="55"/>
      <c r="I45" s="74">
        <v>1.2</v>
      </c>
      <c r="J45" s="74">
        <v>5.75</v>
      </c>
      <c r="K45" s="4">
        <v>875</v>
      </c>
      <c r="L45" s="74">
        <v>11.1</v>
      </c>
      <c r="M45" s="4">
        <v>45</v>
      </c>
      <c r="N45" s="4"/>
      <c r="O45" s="74"/>
      <c r="P45" s="4"/>
      <c r="Q45" s="74"/>
    </row>
    <row r="46" spans="1:17">
      <c r="A46" s="4">
        <f t="shared" si="0"/>
        <v>4</v>
      </c>
      <c r="B46" s="4">
        <f>IF(J46="",0,IF('Chart Information'!$V$14=A46,B45+1,IF(B45=0,0,IF(A46=A45,B45+1,0))))</f>
        <v>0</v>
      </c>
      <c r="C46" s="76"/>
      <c r="D46" s="4"/>
      <c r="E46" s="4"/>
      <c r="F46" s="55"/>
      <c r="G46" s="55"/>
      <c r="H46" s="55"/>
      <c r="I46" s="74">
        <v>1.2</v>
      </c>
      <c r="J46" s="74">
        <v>6</v>
      </c>
      <c r="K46" s="4">
        <v>775</v>
      </c>
      <c r="L46" s="74">
        <v>11.2</v>
      </c>
      <c r="M46" s="4">
        <v>43</v>
      </c>
      <c r="N46" s="4"/>
      <c r="O46" s="74"/>
      <c r="P46" s="4"/>
      <c r="Q46" s="74"/>
    </row>
    <row r="47" spans="1:17">
      <c r="A47" s="4">
        <f t="shared" si="0"/>
        <v>4</v>
      </c>
      <c r="B47" s="4">
        <f>IF(J47="",0,IF('Chart Information'!$V$14=A47,B46+1,IF(B46=0,0,IF(A47=A46,B46+1,0))))</f>
        <v>0</v>
      </c>
      <c r="C47" s="76"/>
      <c r="D47" s="4"/>
      <c r="E47" s="4"/>
      <c r="F47" s="55"/>
      <c r="G47" s="55"/>
      <c r="H47" s="55"/>
      <c r="I47" s="74">
        <v>1.2</v>
      </c>
      <c r="J47" s="74">
        <v>6.25</v>
      </c>
      <c r="K47" s="4">
        <v>650</v>
      </c>
      <c r="L47" s="74">
        <v>11.2</v>
      </c>
      <c r="M47" s="4">
        <v>43</v>
      </c>
      <c r="N47" s="4"/>
      <c r="O47" s="74"/>
      <c r="P47" s="4"/>
      <c r="Q47" s="74"/>
    </row>
    <row r="48" spans="1:17">
      <c r="A48" s="4">
        <f t="shared" si="0"/>
        <v>4</v>
      </c>
      <c r="B48" s="4">
        <f>IF(J48="",0,IF('Chart Information'!$V$14=A48,B47+1,IF(B47=0,0,IF(A48=A47,B47+1,0))))</f>
        <v>0</v>
      </c>
      <c r="C48" s="76"/>
      <c r="D48" s="4"/>
      <c r="E48" s="4"/>
      <c r="F48" s="55"/>
      <c r="G48" s="55"/>
      <c r="H48" s="55"/>
      <c r="I48" s="74">
        <v>1.2</v>
      </c>
      <c r="J48" s="74">
        <v>6.5</v>
      </c>
      <c r="K48" s="4">
        <v>550</v>
      </c>
      <c r="L48" s="74">
        <v>11.3</v>
      </c>
      <c r="M48" s="4">
        <v>33</v>
      </c>
      <c r="N48" s="4"/>
      <c r="O48" s="74"/>
      <c r="P48" s="4"/>
      <c r="Q48" s="74"/>
    </row>
    <row r="49" spans="1:17">
      <c r="A49" s="4">
        <f t="shared" si="0"/>
        <v>5</v>
      </c>
      <c r="B49" s="4">
        <f>IF(J49="",0,IF('Chart Information'!$V$14=A49,B48+1,IF(B48=0,0,IF(A49=A48,B48+1,0))))</f>
        <v>0</v>
      </c>
      <c r="C49" s="76" t="s">
        <v>303</v>
      </c>
      <c r="D49" s="4" t="s">
        <v>290</v>
      </c>
      <c r="E49" s="4">
        <v>570</v>
      </c>
      <c r="F49" s="55">
        <v>11</v>
      </c>
      <c r="G49" s="55" t="s">
        <v>293</v>
      </c>
      <c r="H49" s="55" t="s">
        <v>298</v>
      </c>
      <c r="I49" s="74">
        <v>1.2</v>
      </c>
      <c r="J49" s="74">
        <v>3.25</v>
      </c>
      <c r="K49" s="4">
        <v>1100</v>
      </c>
      <c r="L49" s="74">
        <v>10</v>
      </c>
      <c r="M49" s="4">
        <v>36</v>
      </c>
      <c r="N49" s="4">
        <f>+K49</f>
        <v>1100</v>
      </c>
      <c r="O49" s="74">
        <f>+J49</f>
        <v>3.25</v>
      </c>
      <c r="P49" s="4">
        <f>+K52</f>
        <v>1225</v>
      </c>
      <c r="Q49" s="74">
        <f>+J52</f>
        <v>4</v>
      </c>
    </row>
    <row r="50" spans="1:17">
      <c r="A50" s="4">
        <f t="shared" si="0"/>
        <v>5</v>
      </c>
      <c r="B50" s="4">
        <f>IF(J50="",0,IF('Chart Information'!$V$14=A50,B49+1,IF(B49=0,0,IF(A50=A49,B49+1,0))))</f>
        <v>0</v>
      </c>
      <c r="C50" s="76"/>
      <c r="D50" s="4"/>
      <c r="E50" s="4"/>
      <c r="F50" s="55"/>
      <c r="G50" s="55"/>
      <c r="H50" s="55"/>
      <c r="I50" s="74">
        <v>1.2</v>
      </c>
      <c r="J50" s="74">
        <v>3.5</v>
      </c>
      <c r="K50" s="4">
        <v>1175</v>
      </c>
      <c r="L50" s="74">
        <v>10.5</v>
      </c>
      <c r="M50" s="4">
        <v>38</v>
      </c>
      <c r="N50" s="4"/>
      <c r="O50" s="74"/>
      <c r="P50" s="4"/>
      <c r="Q50" s="74"/>
    </row>
    <row r="51" spans="1:17">
      <c r="A51" s="4">
        <f t="shared" si="0"/>
        <v>5</v>
      </c>
      <c r="B51" s="4">
        <f>IF(J51="",0,IF('Chart Information'!$V$14=A51,B50+1,IF(B50=0,0,IF(A51=A50,B50+1,0))))</f>
        <v>0</v>
      </c>
      <c r="C51" s="76"/>
      <c r="D51" s="4"/>
      <c r="E51" s="4"/>
      <c r="F51" s="55"/>
      <c r="G51" s="55"/>
      <c r="H51" s="55"/>
      <c r="I51" s="74">
        <v>1.2</v>
      </c>
      <c r="J51" s="74">
        <v>3.75</v>
      </c>
      <c r="K51" s="4">
        <v>1225</v>
      </c>
      <c r="L51" s="74">
        <v>11</v>
      </c>
      <c r="M51" s="4">
        <v>43</v>
      </c>
      <c r="N51" s="4"/>
      <c r="O51" s="74"/>
      <c r="P51" s="4"/>
      <c r="Q51" s="74"/>
    </row>
    <row r="52" spans="1:17">
      <c r="A52" s="4">
        <f t="shared" si="0"/>
        <v>5</v>
      </c>
      <c r="B52" s="4">
        <f>IF(J52="",0,IF('Chart Information'!$V$14=A52,B51+1,IF(B51=0,0,IF(A52=A51,B51+1,0))))</f>
        <v>0</v>
      </c>
      <c r="C52" s="76"/>
      <c r="D52" s="4"/>
      <c r="E52" s="4"/>
      <c r="F52" s="55"/>
      <c r="G52" s="55"/>
      <c r="H52" s="55"/>
      <c r="I52" s="74">
        <v>1.2</v>
      </c>
      <c r="J52" s="74">
        <v>4</v>
      </c>
      <c r="K52" s="4">
        <v>1225</v>
      </c>
      <c r="L52" s="74">
        <v>11</v>
      </c>
      <c r="M52" s="4">
        <v>46</v>
      </c>
      <c r="N52" s="4"/>
      <c r="O52" s="74"/>
      <c r="P52" s="4"/>
      <c r="Q52" s="74"/>
    </row>
    <row r="53" spans="1:17">
      <c r="A53" s="4">
        <f t="shared" si="0"/>
        <v>5</v>
      </c>
      <c r="B53" s="4">
        <f>IF(J53="",0,IF('Chart Information'!$V$14=A53,B52+1,IF(B52=0,0,IF(A53=A52,B52+1,0))))</f>
        <v>0</v>
      </c>
      <c r="C53" s="76"/>
      <c r="D53" s="4"/>
      <c r="E53" s="4"/>
      <c r="F53" s="55"/>
      <c r="G53" s="55"/>
      <c r="H53" s="55"/>
      <c r="I53" s="74">
        <v>1.2</v>
      </c>
      <c r="J53" s="74">
        <v>4.25</v>
      </c>
      <c r="K53" s="4">
        <v>1200</v>
      </c>
      <c r="L53" s="74">
        <v>11</v>
      </c>
      <c r="M53" s="4">
        <v>47</v>
      </c>
      <c r="N53" s="4"/>
      <c r="O53" s="74"/>
      <c r="P53" s="4"/>
      <c r="Q53" s="74"/>
    </row>
    <row r="54" spans="1:17">
      <c r="A54" s="4">
        <f t="shared" si="0"/>
        <v>5</v>
      </c>
      <c r="B54" s="4">
        <f>IF(J54="",0,IF('Chart Information'!$V$14=A54,B53+1,IF(B53=0,0,IF(A54=A53,B53+1,0))))</f>
        <v>0</v>
      </c>
      <c r="C54" s="76"/>
      <c r="D54" s="4"/>
      <c r="E54" s="4"/>
      <c r="F54" s="55"/>
      <c r="G54" s="55"/>
      <c r="H54" s="55"/>
      <c r="I54" s="74">
        <v>1.2</v>
      </c>
      <c r="J54" s="74">
        <v>4.5</v>
      </c>
      <c r="K54" s="4">
        <v>1125</v>
      </c>
      <c r="L54" s="74">
        <v>11</v>
      </c>
      <c r="M54" s="4">
        <v>42</v>
      </c>
      <c r="N54" s="4"/>
      <c r="O54" s="74"/>
      <c r="P54" s="4"/>
      <c r="Q54" s="74"/>
    </row>
    <row r="55" spans="1:17">
      <c r="A55" s="4">
        <f t="shared" si="0"/>
        <v>5</v>
      </c>
      <c r="B55" s="4">
        <f>IF(J55="",0,IF('Chart Information'!$V$14=A55,B54+1,IF(B54=0,0,IF(A55=A54,B54+1,0))))</f>
        <v>0</v>
      </c>
      <c r="C55" s="76"/>
      <c r="D55" s="4"/>
      <c r="E55" s="4"/>
      <c r="F55" s="55"/>
      <c r="G55" s="55"/>
      <c r="H55" s="55"/>
      <c r="I55" s="74">
        <v>1.2</v>
      </c>
      <c r="J55" s="74">
        <v>4.75</v>
      </c>
      <c r="K55" s="4">
        <v>1000</v>
      </c>
      <c r="L55" s="74">
        <v>11</v>
      </c>
      <c r="M55" s="4">
        <v>43</v>
      </c>
      <c r="N55" s="4"/>
      <c r="O55" s="74"/>
      <c r="P55" s="4"/>
      <c r="Q55" s="74"/>
    </row>
    <row r="56" spans="1:17">
      <c r="A56" s="4">
        <f t="shared" si="0"/>
        <v>5</v>
      </c>
      <c r="B56" s="4">
        <f>IF(J56="",0,IF('Chart Information'!$V$14=A56,B55+1,IF(B55=0,0,IF(A56=A55,B55+1,0))))</f>
        <v>0</v>
      </c>
      <c r="C56" s="76"/>
      <c r="D56" s="4"/>
      <c r="E56" s="4"/>
      <c r="F56" s="55"/>
      <c r="G56" s="55"/>
      <c r="H56" s="55"/>
      <c r="I56" s="74">
        <v>1.2</v>
      </c>
      <c r="J56" s="74">
        <v>5</v>
      </c>
      <c r="K56" s="4">
        <v>775</v>
      </c>
      <c r="L56" s="74">
        <v>10.5</v>
      </c>
      <c r="M56" s="4">
        <v>36</v>
      </c>
      <c r="N56" s="4"/>
      <c r="O56" s="74"/>
      <c r="P56" s="4"/>
      <c r="Q56" s="74"/>
    </row>
    <row r="57" spans="1:17">
      <c r="A57" s="4">
        <f t="shared" si="0"/>
        <v>5</v>
      </c>
      <c r="B57" s="4">
        <f>IF(J57="",0,IF('Chart Information'!$V$14=A57,B56+1,IF(B56=0,0,IF(A57=A56,B56+1,0))))</f>
        <v>0</v>
      </c>
      <c r="C57" s="76"/>
      <c r="D57" s="4"/>
      <c r="E57" s="4"/>
      <c r="F57" s="55"/>
      <c r="G57" s="55"/>
      <c r="H57" s="55"/>
      <c r="I57" s="74">
        <v>1.2</v>
      </c>
      <c r="J57" s="74">
        <v>5.25</v>
      </c>
      <c r="K57" s="4">
        <v>600</v>
      </c>
      <c r="L57" s="74">
        <v>10.5</v>
      </c>
      <c r="M57" s="4">
        <v>30</v>
      </c>
      <c r="N57" s="4"/>
      <c r="O57" s="74"/>
      <c r="P57" s="4"/>
      <c r="Q57" s="74"/>
    </row>
    <row r="58" spans="1:17">
      <c r="A58" s="4">
        <f t="shared" si="0"/>
        <v>5</v>
      </c>
      <c r="B58" s="4">
        <f>IF(J58="",0,IF('Chart Information'!$V$14=A58,B57+1,IF(B57=0,0,IF(A58=A57,B57+1,0))))</f>
        <v>0</v>
      </c>
      <c r="C58" s="76"/>
      <c r="D58" s="4"/>
      <c r="E58" s="4"/>
      <c r="F58" s="55"/>
      <c r="G58" s="55"/>
      <c r="H58" s="55"/>
      <c r="I58" s="74">
        <v>1.2</v>
      </c>
      <c r="J58" s="74">
        <v>5.5</v>
      </c>
      <c r="K58" s="4">
        <v>300</v>
      </c>
      <c r="L58" s="74">
        <v>10</v>
      </c>
      <c r="M58" s="4">
        <v>15</v>
      </c>
      <c r="N58" s="4"/>
      <c r="O58" s="74"/>
      <c r="P58" s="4"/>
      <c r="Q58" s="74"/>
    </row>
    <row r="59" spans="1:17">
      <c r="A59" s="4">
        <f t="shared" si="0"/>
        <v>6</v>
      </c>
      <c r="B59" s="4">
        <f>IF(J59="",0,IF('Chart Information'!$V$14=A59,B58+1,IF(B58=0,0,IF(A59=A58,B58+1,0))))</f>
        <v>0</v>
      </c>
      <c r="C59" s="76" t="s">
        <v>306</v>
      </c>
      <c r="D59" s="4" t="s">
        <v>294</v>
      </c>
      <c r="E59" s="4">
        <v>570</v>
      </c>
      <c r="F59" s="55">
        <v>15</v>
      </c>
      <c r="G59" s="55" t="s">
        <v>292</v>
      </c>
      <c r="H59" s="55" t="s">
        <v>298</v>
      </c>
      <c r="I59" s="74">
        <v>1.2</v>
      </c>
      <c r="J59" s="74">
        <v>4.5</v>
      </c>
      <c r="K59" s="4">
        <v>775</v>
      </c>
      <c r="L59" s="74">
        <v>10.5</v>
      </c>
      <c r="M59" s="4">
        <v>33</v>
      </c>
      <c r="N59" s="4">
        <f>+K59</f>
        <v>775</v>
      </c>
      <c r="O59" s="74">
        <f>+J59</f>
        <v>4.5</v>
      </c>
      <c r="P59" s="4">
        <f>+K64</f>
        <v>1000</v>
      </c>
      <c r="Q59" s="74">
        <f>+J64</f>
        <v>5.75</v>
      </c>
    </row>
    <row r="60" spans="1:17">
      <c r="A60" s="4">
        <f t="shared" si="0"/>
        <v>6</v>
      </c>
      <c r="B60" s="4">
        <f>IF(J60="",0,IF('Chart Information'!$V$14=A60,B59+1,IF(B59=0,0,IF(A60=A59,B59+1,0))))</f>
        <v>0</v>
      </c>
      <c r="C60" s="76"/>
      <c r="D60" s="4"/>
      <c r="E60" s="4"/>
      <c r="F60" s="55"/>
      <c r="G60" s="55"/>
      <c r="H60" s="55"/>
      <c r="I60" s="74">
        <v>1.2</v>
      </c>
      <c r="J60" s="74">
        <v>4.75</v>
      </c>
      <c r="K60" s="4">
        <v>850</v>
      </c>
      <c r="L60" s="74">
        <v>11</v>
      </c>
      <c r="M60" s="4">
        <v>32</v>
      </c>
      <c r="N60" s="4"/>
      <c r="O60" s="74"/>
      <c r="P60" s="4"/>
      <c r="Q60" s="74"/>
    </row>
    <row r="61" spans="1:17">
      <c r="A61" s="4">
        <f t="shared" si="0"/>
        <v>6</v>
      </c>
      <c r="B61" s="4">
        <f>IF(J61="",0,IF('Chart Information'!$V$14=A61,B60+1,IF(B60=0,0,IF(A61=A60,B60+1,0))))</f>
        <v>0</v>
      </c>
      <c r="C61" s="76"/>
      <c r="D61" s="4"/>
      <c r="E61" s="4"/>
      <c r="F61" s="55"/>
      <c r="G61" s="55"/>
      <c r="H61" s="55"/>
      <c r="I61" s="74">
        <v>1.2</v>
      </c>
      <c r="J61" s="74">
        <v>5</v>
      </c>
      <c r="K61" s="4">
        <v>925</v>
      </c>
      <c r="L61" s="74">
        <v>11.5</v>
      </c>
      <c r="M61" s="4">
        <v>40</v>
      </c>
      <c r="N61" s="4"/>
      <c r="O61" s="74"/>
      <c r="P61" s="4"/>
      <c r="Q61" s="74"/>
    </row>
    <row r="62" spans="1:17">
      <c r="A62" s="4">
        <f t="shared" si="0"/>
        <v>6</v>
      </c>
      <c r="B62" s="4">
        <f>IF(J62="",0,IF('Chart Information'!$V$14=A62,B61+1,IF(B61=0,0,IF(A62=A61,B61+1,0))))</f>
        <v>0</v>
      </c>
      <c r="C62" s="76"/>
      <c r="D62" s="4"/>
      <c r="E62" s="4"/>
      <c r="F62" s="55"/>
      <c r="G62" s="55"/>
      <c r="H62" s="55"/>
      <c r="I62" s="74">
        <v>1.2</v>
      </c>
      <c r="J62" s="74">
        <v>5.25</v>
      </c>
      <c r="K62" s="4">
        <v>975</v>
      </c>
      <c r="L62" s="74">
        <v>12</v>
      </c>
      <c r="M62" s="4">
        <v>42</v>
      </c>
      <c r="N62" s="4"/>
      <c r="O62" s="74"/>
      <c r="P62" s="4"/>
      <c r="Q62" s="74"/>
    </row>
    <row r="63" spans="1:17">
      <c r="A63" s="4">
        <f t="shared" si="0"/>
        <v>6</v>
      </c>
      <c r="B63" s="4">
        <f>IF(J63="",0,IF('Chart Information'!$V$14=A63,B62+1,IF(B62=0,0,IF(A63=A62,B62+1,0))))</f>
        <v>0</v>
      </c>
      <c r="C63" s="76"/>
      <c r="D63" s="4"/>
      <c r="E63" s="4"/>
      <c r="F63" s="55"/>
      <c r="G63" s="55"/>
      <c r="H63" s="55"/>
      <c r="I63" s="74">
        <v>1.2</v>
      </c>
      <c r="J63" s="74">
        <v>5.5</v>
      </c>
      <c r="K63" s="4">
        <v>990</v>
      </c>
      <c r="L63" s="74">
        <v>12.5</v>
      </c>
      <c r="M63" s="4">
        <v>44</v>
      </c>
      <c r="N63" s="4"/>
      <c r="O63" s="74"/>
      <c r="P63" s="4"/>
      <c r="Q63" s="74"/>
    </row>
    <row r="64" spans="1:17">
      <c r="A64" s="4">
        <f t="shared" si="0"/>
        <v>6</v>
      </c>
      <c r="B64" s="4">
        <f>IF(J64="",0,IF('Chart Information'!$V$14=A64,B63+1,IF(B63=0,0,IF(A64=A63,B63+1,0))))</f>
        <v>0</v>
      </c>
      <c r="C64" s="76"/>
      <c r="D64" s="4"/>
      <c r="E64" s="4"/>
      <c r="F64" s="55"/>
      <c r="G64" s="55"/>
      <c r="H64" s="55"/>
      <c r="I64" s="74">
        <v>1.2</v>
      </c>
      <c r="J64" s="74">
        <v>5.75</v>
      </c>
      <c r="K64" s="4">
        <v>1000</v>
      </c>
      <c r="L64" s="74">
        <v>12.75</v>
      </c>
      <c r="M64" s="4">
        <v>44</v>
      </c>
      <c r="N64" s="4"/>
      <c r="O64" s="74"/>
      <c r="P64" s="4"/>
      <c r="Q64" s="74"/>
    </row>
    <row r="65" spans="1:17">
      <c r="A65" s="4">
        <f t="shared" si="0"/>
        <v>6</v>
      </c>
      <c r="B65" s="4">
        <f>IF(J65="",0,IF('Chart Information'!$V$14=A65,B64+1,IF(B64=0,0,IF(A65=A64,B64+1,0))))</f>
        <v>0</v>
      </c>
      <c r="C65" s="76"/>
      <c r="D65" s="4"/>
      <c r="E65" s="4"/>
      <c r="F65" s="55"/>
      <c r="G65" s="55"/>
      <c r="H65" s="55"/>
      <c r="I65" s="74">
        <v>1.2</v>
      </c>
      <c r="J65" s="74">
        <v>6</v>
      </c>
      <c r="K65" s="4">
        <v>975</v>
      </c>
      <c r="L65" s="74">
        <v>13</v>
      </c>
      <c r="M65" s="4">
        <v>44</v>
      </c>
      <c r="N65" s="4"/>
      <c r="O65" s="74"/>
      <c r="P65" s="4"/>
      <c r="Q65" s="74"/>
    </row>
    <row r="66" spans="1:17">
      <c r="A66" s="4">
        <f t="shared" si="0"/>
        <v>6</v>
      </c>
      <c r="B66" s="4">
        <f>IF(J66="",0,IF('Chart Information'!$V$14=A66,B65+1,IF(B65=0,0,IF(A66=A65,B65+1,0))))</f>
        <v>0</v>
      </c>
      <c r="C66" s="76"/>
      <c r="D66" s="4"/>
      <c r="E66" s="4"/>
      <c r="F66" s="55"/>
      <c r="G66" s="55"/>
      <c r="H66" s="55"/>
      <c r="I66" s="74">
        <v>1.2</v>
      </c>
      <c r="J66" s="74">
        <v>6.25</v>
      </c>
      <c r="K66" s="4">
        <v>925</v>
      </c>
      <c r="L66" s="74">
        <v>13.25</v>
      </c>
      <c r="M66" s="4">
        <v>43</v>
      </c>
      <c r="N66" s="4"/>
      <c r="O66" s="74"/>
      <c r="P66" s="4"/>
      <c r="Q66" s="74"/>
    </row>
    <row r="67" spans="1:17">
      <c r="A67" s="4">
        <f t="shared" si="0"/>
        <v>6</v>
      </c>
      <c r="B67" s="4">
        <f>IF(J67="",0,IF('Chart Information'!$V$14=A67,B66+1,IF(B66=0,0,IF(A67=A66,B66+1,0))))</f>
        <v>0</v>
      </c>
      <c r="C67" s="76"/>
      <c r="D67" s="4"/>
      <c r="E67" s="4"/>
      <c r="F67" s="55"/>
      <c r="G67" s="55"/>
      <c r="H67" s="55"/>
      <c r="I67" s="74">
        <v>1.2</v>
      </c>
      <c r="J67" s="74">
        <v>6.5</v>
      </c>
      <c r="K67" s="4">
        <v>875</v>
      </c>
      <c r="L67" s="74">
        <v>13.5</v>
      </c>
      <c r="M67" s="4">
        <v>42</v>
      </c>
      <c r="N67" s="4"/>
      <c r="O67" s="74"/>
      <c r="P67" s="4"/>
      <c r="Q67" s="74"/>
    </row>
    <row r="68" spans="1:17">
      <c r="A68" s="4">
        <f t="shared" si="0"/>
        <v>6</v>
      </c>
      <c r="B68" s="4">
        <f>IF(J68="",0,IF('Chart Information'!$V$14=A68,B67+1,IF(B67=0,0,IF(A68=A67,B67+1,0))))</f>
        <v>0</v>
      </c>
      <c r="C68" s="76"/>
      <c r="D68" s="4"/>
      <c r="E68" s="4"/>
      <c r="F68" s="55"/>
      <c r="G68" s="55"/>
      <c r="H68" s="55"/>
      <c r="I68" s="74">
        <v>1.2</v>
      </c>
      <c r="J68" s="74">
        <v>6.75</v>
      </c>
      <c r="K68" s="4">
        <v>800</v>
      </c>
      <c r="L68" s="74">
        <v>13.75</v>
      </c>
      <c r="M68" s="4">
        <v>40</v>
      </c>
      <c r="N68" s="4"/>
      <c r="O68" s="74"/>
      <c r="P68" s="4"/>
      <c r="Q68" s="74"/>
    </row>
    <row r="69" spans="1:17">
      <c r="A69" s="4">
        <f t="shared" si="0"/>
        <v>6</v>
      </c>
      <c r="B69" s="4">
        <f>IF(J69="",0,IF('Chart Information'!$V$14=A69,B68+1,IF(B68=0,0,IF(A69=A68,B68+1,0))))</f>
        <v>0</v>
      </c>
      <c r="C69" s="76"/>
      <c r="D69" s="4"/>
      <c r="E69" s="4"/>
      <c r="F69" s="55"/>
      <c r="G69" s="55"/>
      <c r="H69" s="55"/>
      <c r="I69" s="74">
        <v>1.2</v>
      </c>
      <c r="J69" s="74">
        <v>7</v>
      </c>
      <c r="K69" s="4">
        <v>700</v>
      </c>
      <c r="L69" s="74">
        <v>13.75</v>
      </c>
      <c r="M69" s="4">
        <v>35</v>
      </c>
      <c r="N69" s="4"/>
      <c r="O69" s="74"/>
      <c r="P69" s="4"/>
      <c r="Q69" s="74"/>
    </row>
    <row r="70" spans="1:17">
      <c r="A70" s="4">
        <f t="shared" si="0"/>
        <v>6</v>
      </c>
      <c r="B70" s="4">
        <f>IF(J70="",0,IF('Chart Information'!$V$14=A70,B69+1,IF(B69=0,0,IF(A70=A69,B69+1,0))))</f>
        <v>0</v>
      </c>
      <c r="C70" s="76"/>
      <c r="D70" s="4"/>
      <c r="E70" s="4"/>
      <c r="F70" s="55"/>
      <c r="G70" s="55"/>
      <c r="H70" s="55"/>
      <c r="I70" s="74">
        <v>1.2</v>
      </c>
      <c r="J70" s="74">
        <v>7.25</v>
      </c>
      <c r="K70" s="4">
        <v>575</v>
      </c>
      <c r="L70" s="74">
        <v>14</v>
      </c>
      <c r="M70" s="4">
        <v>31</v>
      </c>
      <c r="N70" s="4"/>
      <c r="O70" s="74"/>
      <c r="P70" s="4"/>
      <c r="Q70" s="74"/>
    </row>
    <row r="71" spans="1:17">
      <c r="A71" s="4">
        <f t="shared" si="0"/>
        <v>6</v>
      </c>
      <c r="B71" s="4">
        <f>IF(J71="",0,IF('Chart Information'!$V$14=A71,B70+1,IF(B70=0,0,IF(A71=A70,B70+1,0))))</f>
        <v>0</v>
      </c>
      <c r="C71" s="76"/>
      <c r="D71" s="4"/>
      <c r="E71" s="4"/>
      <c r="F71" s="55"/>
      <c r="G71" s="55"/>
      <c r="H71" s="55"/>
      <c r="I71" s="74">
        <v>1.2</v>
      </c>
      <c r="J71" s="74">
        <v>7.5</v>
      </c>
      <c r="K71" s="4">
        <v>475</v>
      </c>
      <c r="L71" s="74">
        <v>14</v>
      </c>
      <c r="M71" s="4">
        <v>27</v>
      </c>
      <c r="N71" s="4"/>
      <c r="O71" s="74"/>
      <c r="P71" s="4"/>
      <c r="Q71" s="74"/>
    </row>
    <row r="72" spans="1:17">
      <c r="A72" s="4">
        <f t="shared" ref="A72:A135" si="1">IF(D72="",A71,A71+1)</f>
        <v>6</v>
      </c>
      <c r="B72" s="4">
        <f>IF(J72="",0,IF('Chart Information'!$V$14=A72,B71+1,IF(B71=0,0,IF(A72=A71,B71+1,0))))</f>
        <v>0</v>
      </c>
      <c r="C72" s="76"/>
      <c r="D72" s="4"/>
      <c r="E72" s="4"/>
      <c r="F72" s="55"/>
      <c r="G72" s="55"/>
      <c r="H72" s="55"/>
      <c r="I72" s="74">
        <v>1.2</v>
      </c>
      <c r="J72" s="74">
        <v>7.75</v>
      </c>
      <c r="K72" s="4">
        <v>375</v>
      </c>
      <c r="L72" s="74">
        <v>14</v>
      </c>
      <c r="M72" s="4">
        <v>21</v>
      </c>
      <c r="N72" s="4"/>
      <c r="O72" s="74"/>
      <c r="P72" s="4"/>
      <c r="Q72" s="74"/>
    </row>
    <row r="73" spans="1:17">
      <c r="A73" s="4">
        <f t="shared" si="1"/>
        <v>7</v>
      </c>
      <c r="B73" s="4">
        <f>IF(J73="",0,IF('Chart Information'!$V$14=A73,B72+1,IF(B72=0,0,IF(A73=A72,B72+1,0))))</f>
        <v>0</v>
      </c>
      <c r="C73" s="76" t="s">
        <v>304</v>
      </c>
      <c r="D73" s="4" t="s">
        <v>295</v>
      </c>
      <c r="E73" s="4">
        <v>570</v>
      </c>
      <c r="F73" s="55">
        <v>15</v>
      </c>
      <c r="G73" s="55" t="s">
        <v>293</v>
      </c>
      <c r="H73" s="55" t="s">
        <v>298</v>
      </c>
      <c r="I73" s="74">
        <v>1.2</v>
      </c>
      <c r="J73" s="74">
        <v>1.75</v>
      </c>
      <c r="K73" s="4">
        <v>2700</v>
      </c>
      <c r="L73" s="74">
        <v>11</v>
      </c>
      <c r="M73" s="4">
        <v>38</v>
      </c>
      <c r="N73" s="4">
        <f>+K73</f>
        <v>2700</v>
      </c>
      <c r="O73" s="74">
        <f>+J73</f>
        <v>1.75</v>
      </c>
      <c r="P73" s="4">
        <f>+K73</f>
        <v>2700</v>
      </c>
      <c r="Q73" s="74">
        <f>+J73</f>
        <v>1.75</v>
      </c>
    </row>
    <row r="74" spans="1:17">
      <c r="A74" s="4">
        <f t="shared" si="1"/>
        <v>7</v>
      </c>
      <c r="B74" s="4">
        <f>IF(J74="",0,IF('Chart Information'!$V$14=A74,B73+1,IF(B73=0,0,IF(A74=A73,B73+1,0))))</f>
        <v>0</v>
      </c>
      <c r="C74" s="76"/>
      <c r="D74" s="4"/>
      <c r="E74" s="4"/>
      <c r="F74" s="55"/>
      <c r="G74" s="55"/>
      <c r="H74" s="55"/>
      <c r="I74" s="74">
        <v>1.2</v>
      </c>
      <c r="J74" s="74">
        <v>2</v>
      </c>
      <c r="K74" s="4">
        <v>2600</v>
      </c>
      <c r="L74" s="74">
        <v>12</v>
      </c>
      <c r="M74" s="4">
        <v>41</v>
      </c>
      <c r="N74" s="4"/>
      <c r="O74" s="74"/>
      <c r="P74" s="4"/>
      <c r="Q74" s="74"/>
    </row>
    <row r="75" spans="1:17">
      <c r="A75" s="4">
        <f t="shared" si="1"/>
        <v>7</v>
      </c>
      <c r="B75" s="4">
        <f>IF(J75="",0,IF('Chart Information'!$V$14=A75,B74+1,IF(B74=0,0,IF(A75=A74,B74+1,0))))</f>
        <v>0</v>
      </c>
      <c r="C75" s="76"/>
      <c r="D75" s="4"/>
      <c r="E75" s="4"/>
      <c r="F75" s="55"/>
      <c r="G75" s="55"/>
      <c r="H75" s="55"/>
      <c r="I75" s="74">
        <v>1.2</v>
      </c>
      <c r="J75" s="74">
        <v>2.25</v>
      </c>
      <c r="K75" s="4">
        <v>2500</v>
      </c>
      <c r="L75" s="74">
        <v>12.5</v>
      </c>
      <c r="M75" s="4">
        <v>42</v>
      </c>
      <c r="N75" s="4"/>
      <c r="O75" s="74"/>
      <c r="P75" s="4"/>
      <c r="Q75" s="74"/>
    </row>
    <row r="76" spans="1:17">
      <c r="A76" s="4">
        <f t="shared" si="1"/>
        <v>7</v>
      </c>
      <c r="B76" s="4">
        <f>IF(J76="",0,IF('Chart Information'!$V$14=A76,B75+1,IF(B75=0,0,IF(A76=A75,B75+1,0))))</f>
        <v>0</v>
      </c>
      <c r="C76" s="76"/>
      <c r="D76" s="4"/>
      <c r="E76" s="4"/>
      <c r="F76" s="55"/>
      <c r="G76" s="55"/>
      <c r="H76" s="55"/>
      <c r="I76" s="74">
        <v>1.2</v>
      </c>
      <c r="J76" s="74">
        <v>2.5</v>
      </c>
      <c r="K76" s="4">
        <v>2300</v>
      </c>
      <c r="L76" s="74">
        <v>13</v>
      </c>
      <c r="M76" s="4">
        <v>43</v>
      </c>
      <c r="N76" s="4"/>
      <c r="O76" s="74"/>
      <c r="P76" s="4"/>
      <c r="Q76" s="74"/>
    </row>
    <row r="77" spans="1:17">
      <c r="A77" s="4">
        <f t="shared" si="1"/>
        <v>7</v>
      </c>
      <c r="B77" s="4">
        <f>IF(J77="",0,IF('Chart Information'!$V$14=A77,B76+1,IF(B76=0,0,IF(A77=A76,B76+1,0))))</f>
        <v>0</v>
      </c>
      <c r="C77" s="76"/>
      <c r="D77" s="4"/>
      <c r="E77" s="4"/>
      <c r="F77" s="55"/>
      <c r="G77" s="55"/>
      <c r="H77" s="55"/>
      <c r="I77" s="74">
        <v>1.2</v>
      </c>
      <c r="J77" s="74">
        <v>2.75</v>
      </c>
      <c r="K77" s="4">
        <v>2200</v>
      </c>
      <c r="L77" s="74">
        <v>13.5</v>
      </c>
      <c r="M77" s="4">
        <v>44</v>
      </c>
      <c r="N77" s="4"/>
      <c r="O77" s="74"/>
      <c r="P77" s="4"/>
      <c r="Q77" s="74"/>
    </row>
    <row r="78" spans="1:17">
      <c r="A78" s="4">
        <f t="shared" si="1"/>
        <v>7</v>
      </c>
      <c r="B78" s="4">
        <f>IF(J78="",0,IF('Chart Information'!$V$14=A78,B77+1,IF(B77=0,0,IF(A78=A77,B77+1,0))))</f>
        <v>0</v>
      </c>
      <c r="C78" s="76"/>
      <c r="D78" s="4"/>
      <c r="E78" s="4"/>
      <c r="F78" s="55"/>
      <c r="G78" s="55"/>
      <c r="H78" s="55"/>
      <c r="I78" s="74">
        <v>1.2</v>
      </c>
      <c r="J78" s="74">
        <v>3</v>
      </c>
      <c r="K78" s="4">
        <v>2050</v>
      </c>
      <c r="L78" s="74">
        <v>14</v>
      </c>
      <c r="M78" s="4">
        <v>44</v>
      </c>
      <c r="N78" s="4"/>
      <c r="O78" s="74"/>
      <c r="P78" s="4"/>
      <c r="Q78" s="74"/>
    </row>
    <row r="79" spans="1:17">
      <c r="A79" s="4">
        <f t="shared" si="1"/>
        <v>7</v>
      </c>
      <c r="B79" s="4">
        <f>IF(J79="",0,IF('Chart Information'!$V$14=A79,B78+1,IF(B78=0,0,IF(A79=A78,B78+1,0))))</f>
        <v>0</v>
      </c>
      <c r="C79" s="76"/>
      <c r="D79" s="4"/>
      <c r="E79" s="4"/>
      <c r="F79" s="55"/>
      <c r="G79" s="55"/>
      <c r="H79" s="55"/>
      <c r="I79" s="74">
        <v>1.2</v>
      </c>
      <c r="J79" s="74">
        <v>3.25</v>
      </c>
      <c r="K79" s="4">
        <v>1875</v>
      </c>
      <c r="L79" s="74">
        <v>14.5</v>
      </c>
      <c r="M79" s="4">
        <v>43</v>
      </c>
      <c r="N79" s="4"/>
      <c r="O79" s="74"/>
      <c r="P79" s="4"/>
      <c r="Q79" s="74"/>
    </row>
    <row r="80" spans="1:17">
      <c r="A80" s="4">
        <f t="shared" si="1"/>
        <v>7</v>
      </c>
      <c r="B80" s="4">
        <f>IF(J80="",0,IF('Chart Information'!$V$14=A80,B79+1,IF(B79=0,0,IF(A80=A79,B79+1,0))))</f>
        <v>0</v>
      </c>
      <c r="C80" s="76"/>
      <c r="D80" s="4"/>
      <c r="E80" s="4"/>
      <c r="F80" s="55"/>
      <c r="G80" s="55"/>
      <c r="H80" s="55"/>
      <c r="I80" s="74">
        <v>1.2</v>
      </c>
      <c r="J80" s="74">
        <v>3.5</v>
      </c>
      <c r="K80" s="4">
        <v>1675</v>
      </c>
      <c r="L80" s="74">
        <v>14.5</v>
      </c>
      <c r="M80" s="4">
        <v>42</v>
      </c>
      <c r="N80" s="4"/>
      <c r="O80" s="74"/>
      <c r="P80" s="4"/>
      <c r="Q80" s="74"/>
    </row>
    <row r="81" spans="1:17">
      <c r="A81" s="4">
        <f t="shared" si="1"/>
        <v>7</v>
      </c>
      <c r="B81" s="4">
        <f>IF(J81="",0,IF('Chart Information'!$V$14=A81,B80+1,IF(B80=0,0,IF(A81=A80,B80+1,0))))</f>
        <v>0</v>
      </c>
      <c r="C81" s="76"/>
      <c r="D81" s="4"/>
      <c r="E81" s="4"/>
      <c r="F81" s="55"/>
      <c r="G81" s="55"/>
      <c r="H81" s="55"/>
      <c r="I81" s="74">
        <v>1.2</v>
      </c>
      <c r="J81" s="74">
        <v>3.75</v>
      </c>
      <c r="K81" s="4">
        <v>1500</v>
      </c>
      <c r="L81" s="74">
        <v>14.5</v>
      </c>
      <c r="M81" s="4">
        <v>38</v>
      </c>
      <c r="N81" s="4"/>
      <c r="O81" s="74"/>
      <c r="P81" s="4"/>
      <c r="Q81" s="74"/>
    </row>
    <row r="82" spans="1:17">
      <c r="A82" s="4">
        <f t="shared" si="1"/>
        <v>7</v>
      </c>
      <c r="B82" s="4">
        <f>IF(J82="",0,IF('Chart Information'!$V$14=A82,B81+1,IF(B81=0,0,IF(A82=A81,B81+1,0))))</f>
        <v>0</v>
      </c>
      <c r="C82" s="76"/>
      <c r="D82" s="4"/>
      <c r="E82" s="4"/>
      <c r="F82" s="55"/>
      <c r="G82" s="55"/>
      <c r="H82" s="55"/>
      <c r="I82" s="74">
        <v>1.2</v>
      </c>
      <c r="J82" s="74">
        <v>4</v>
      </c>
      <c r="K82" s="4">
        <v>1250</v>
      </c>
      <c r="L82" s="74">
        <v>15</v>
      </c>
      <c r="M82" s="4">
        <v>34</v>
      </c>
      <c r="N82" s="4"/>
      <c r="O82" s="74"/>
      <c r="P82" s="4"/>
      <c r="Q82" s="74"/>
    </row>
    <row r="83" spans="1:17">
      <c r="A83" s="4">
        <f t="shared" si="1"/>
        <v>7</v>
      </c>
      <c r="B83" s="4">
        <f>IF(J83="",0,IF('Chart Information'!$V$14=A83,B82+1,IF(B82=0,0,IF(A83=A82,B82+1,0))))</f>
        <v>0</v>
      </c>
      <c r="C83" s="76"/>
      <c r="D83" s="4"/>
      <c r="E83" s="4"/>
      <c r="F83" s="55"/>
      <c r="G83" s="55"/>
      <c r="H83" s="55"/>
      <c r="I83" s="74">
        <v>1.2</v>
      </c>
      <c r="J83" s="74">
        <v>4.25</v>
      </c>
      <c r="K83" s="4">
        <v>1075</v>
      </c>
      <c r="L83" s="74">
        <v>14.5</v>
      </c>
      <c r="M83" s="4">
        <v>31</v>
      </c>
      <c r="N83" s="4"/>
      <c r="O83" s="74"/>
      <c r="P83" s="4"/>
      <c r="Q83" s="74"/>
    </row>
    <row r="84" spans="1:17">
      <c r="A84" s="4">
        <f t="shared" si="1"/>
        <v>7</v>
      </c>
      <c r="B84" s="4">
        <f>IF(J84="",0,IF('Chart Information'!$V$14=A84,B83+1,IF(B83=0,0,IF(A84=A83,B83+1,0))))</f>
        <v>0</v>
      </c>
      <c r="C84" s="76"/>
      <c r="D84" s="4"/>
      <c r="E84" s="4"/>
      <c r="F84" s="55"/>
      <c r="G84" s="55"/>
      <c r="H84" s="55"/>
      <c r="I84" s="74">
        <v>1.2</v>
      </c>
      <c r="J84" s="74">
        <v>4.5</v>
      </c>
      <c r="K84" s="4">
        <v>750</v>
      </c>
      <c r="L84" s="74">
        <v>14.25</v>
      </c>
      <c r="M84" s="4">
        <v>23</v>
      </c>
      <c r="N84" s="4"/>
      <c r="O84" s="74"/>
      <c r="P84" s="4"/>
      <c r="Q84" s="74"/>
    </row>
    <row r="85" spans="1:17">
      <c r="A85" s="4">
        <f t="shared" si="1"/>
        <v>7</v>
      </c>
      <c r="B85" s="4">
        <f>IF(J85="",0,IF('Chart Information'!$V$14=A85,B84+1,IF(B84=0,0,IF(A85=A84,B84+1,0))))</f>
        <v>0</v>
      </c>
      <c r="C85" s="76"/>
      <c r="D85" s="4"/>
      <c r="E85" s="4"/>
      <c r="F85" s="55"/>
      <c r="G85" s="55"/>
      <c r="H85" s="55"/>
      <c r="I85" s="74">
        <v>1.2</v>
      </c>
      <c r="J85" s="74">
        <v>4.75</v>
      </c>
      <c r="K85" s="4">
        <v>450</v>
      </c>
      <c r="L85" s="74">
        <v>14</v>
      </c>
      <c r="M85" s="4">
        <v>14</v>
      </c>
      <c r="N85" s="4"/>
      <c r="O85" s="74"/>
      <c r="P85" s="4"/>
      <c r="Q85" s="74"/>
    </row>
    <row r="86" spans="1:17">
      <c r="A86" s="4">
        <f t="shared" si="1"/>
        <v>7</v>
      </c>
      <c r="B86" s="4">
        <f>IF(J86="",0,IF('Chart Information'!$V$14=A86,B85+1,IF(B85=0,0,IF(A86=A85,B85+1,0))))</f>
        <v>0</v>
      </c>
      <c r="C86" s="76"/>
      <c r="D86" s="4"/>
      <c r="E86" s="4"/>
      <c r="F86" s="55"/>
      <c r="G86" s="55"/>
      <c r="H86" s="55"/>
      <c r="I86" s="74">
        <v>1.2</v>
      </c>
      <c r="J86" s="74">
        <v>5</v>
      </c>
      <c r="K86" s="4">
        <v>75</v>
      </c>
      <c r="L86" s="74">
        <v>14</v>
      </c>
      <c r="M86" s="4">
        <v>3</v>
      </c>
      <c r="N86" s="4"/>
      <c r="O86" s="74"/>
      <c r="P86" s="4"/>
      <c r="Q86" s="74"/>
    </row>
    <row r="87" spans="1:17">
      <c r="A87" s="4">
        <f t="shared" si="1"/>
        <v>8</v>
      </c>
      <c r="B87" s="4">
        <f>IF(J87="",0,IF('Chart Information'!$V$14=A87,B86+1,IF(B86=0,0,IF(A87=A86,B86+1,0))))</f>
        <v>0</v>
      </c>
      <c r="C87" s="76" t="s">
        <v>305</v>
      </c>
      <c r="D87" s="4" t="s">
        <v>290</v>
      </c>
      <c r="E87" s="4">
        <v>570</v>
      </c>
      <c r="F87" s="55">
        <v>15</v>
      </c>
      <c r="G87" s="55" t="s">
        <v>293</v>
      </c>
      <c r="H87" s="55" t="s">
        <v>298</v>
      </c>
      <c r="I87" s="74">
        <v>1.2</v>
      </c>
      <c r="J87" s="74">
        <v>3.25</v>
      </c>
      <c r="K87" s="4">
        <v>1100</v>
      </c>
      <c r="L87" s="74">
        <v>11.5</v>
      </c>
      <c r="M87" s="4">
        <v>31</v>
      </c>
      <c r="N87" s="4">
        <f>+K87</f>
        <v>1100</v>
      </c>
      <c r="O87" s="74">
        <f>+J87</f>
        <v>3.25</v>
      </c>
      <c r="P87" s="4">
        <f>+K92</f>
        <v>1350</v>
      </c>
      <c r="Q87" s="74">
        <f>+J92</f>
        <v>4.5</v>
      </c>
    </row>
    <row r="88" spans="1:17">
      <c r="A88" s="4">
        <f t="shared" si="1"/>
        <v>8</v>
      </c>
      <c r="B88" s="4">
        <f>IF(J88="",0,IF('Chart Information'!$V$14=A88,B87+1,IF(B87=0,0,IF(A88=A87,B87+1,0))))</f>
        <v>0</v>
      </c>
      <c r="C88" s="76"/>
      <c r="D88" s="4"/>
      <c r="E88" s="4"/>
      <c r="F88" s="55"/>
      <c r="G88" s="55"/>
      <c r="H88" s="55"/>
      <c r="I88" s="74">
        <v>1.2</v>
      </c>
      <c r="J88" s="74">
        <v>3.5</v>
      </c>
      <c r="K88" s="4">
        <v>1150</v>
      </c>
      <c r="L88" s="74">
        <v>12.5</v>
      </c>
      <c r="M88" s="4">
        <v>32</v>
      </c>
      <c r="N88" s="4"/>
      <c r="O88" s="74"/>
      <c r="P88" s="4"/>
      <c r="Q88" s="74"/>
    </row>
    <row r="89" spans="1:17">
      <c r="A89" s="4">
        <f t="shared" si="1"/>
        <v>8</v>
      </c>
      <c r="B89" s="4">
        <f>IF(J89="",0,IF('Chart Information'!$V$14=A89,B88+1,IF(B88=0,0,IF(A89=A88,B88+1,0))))</f>
        <v>0</v>
      </c>
      <c r="C89" s="76"/>
      <c r="D89" s="4"/>
      <c r="E89" s="4"/>
      <c r="F89" s="55"/>
      <c r="G89" s="55"/>
      <c r="H89" s="55"/>
      <c r="I89" s="74">
        <v>1.2</v>
      </c>
      <c r="J89" s="74">
        <v>3.75</v>
      </c>
      <c r="K89" s="4">
        <v>1225</v>
      </c>
      <c r="L89" s="74">
        <v>13.25</v>
      </c>
      <c r="M89" s="4">
        <v>34</v>
      </c>
      <c r="N89" s="4"/>
      <c r="O89" s="74"/>
      <c r="P89" s="4"/>
      <c r="Q89" s="74"/>
    </row>
    <row r="90" spans="1:17">
      <c r="A90" s="4">
        <f t="shared" si="1"/>
        <v>8</v>
      </c>
      <c r="B90" s="4">
        <f>IF(J90="",0,IF('Chart Information'!$V$14=A90,B89+1,IF(B89=0,0,IF(A90=A89,B89+1,0))))</f>
        <v>0</v>
      </c>
      <c r="C90" s="76"/>
      <c r="D90" s="4"/>
      <c r="E90" s="4"/>
      <c r="F90" s="55"/>
      <c r="G90" s="55"/>
      <c r="H90" s="55"/>
      <c r="I90" s="74">
        <v>1.2</v>
      </c>
      <c r="J90" s="74">
        <v>4</v>
      </c>
      <c r="K90" s="4">
        <v>1300</v>
      </c>
      <c r="L90" s="74">
        <v>14</v>
      </c>
      <c r="M90" s="4">
        <v>37</v>
      </c>
      <c r="N90" s="4"/>
      <c r="O90" s="74"/>
      <c r="P90" s="4"/>
      <c r="Q90" s="74"/>
    </row>
    <row r="91" spans="1:17">
      <c r="A91" s="4">
        <f t="shared" si="1"/>
        <v>8</v>
      </c>
      <c r="B91" s="4">
        <f>IF(J91="",0,IF('Chart Information'!$V$14=A91,B90+1,IF(B90=0,0,IF(A91=A90,B90+1,0))))</f>
        <v>0</v>
      </c>
      <c r="C91" s="76"/>
      <c r="D91" s="4"/>
      <c r="E91" s="4"/>
      <c r="F91" s="55"/>
      <c r="G91" s="55"/>
      <c r="H91" s="55"/>
      <c r="I91" s="74">
        <v>1.2</v>
      </c>
      <c r="J91" s="74">
        <v>4.25</v>
      </c>
      <c r="K91" s="4">
        <v>1325</v>
      </c>
      <c r="L91" s="74">
        <v>14.25</v>
      </c>
      <c r="M91" s="4">
        <v>40</v>
      </c>
      <c r="N91" s="4"/>
      <c r="O91" s="74"/>
      <c r="P91" s="4"/>
      <c r="Q91" s="74"/>
    </row>
    <row r="92" spans="1:17">
      <c r="A92" s="4">
        <f t="shared" si="1"/>
        <v>8</v>
      </c>
      <c r="B92" s="4">
        <f>IF(J92="",0,IF('Chart Information'!$V$14=A92,B91+1,IF(B91=0,0,IF(A92=A91,B91+1,0))))</f>
        <v>0</v>
      </c>
      <c r="C92" s="76"/>
      <c r="D92" s="4"/>
      <c r="E92" s="4"/>
      <c r="F92" s="55"/>
      <c r="G92" s="55"/>
      <c r="H92" s="55"/>
      <c r="I92" s="74">
        <v>1.2</v>
      </c>
      <c r="J92" s="74">
        <v>4.5</v>
      </c>
      <c r="K92" s="4">
        <v>1350</v>
      </c>
      <c r="L92" s="74">
        <v>14.5</v>
      </c>
      <c r="M92" s="4">
        <v>43</v>
      </c>
      <c r="N92" s="4"/>
      <c r="O92" s="74"/>
      <c r="P92" s="4"/>
      <c r="Q92" s="74"/>
    </row>
    <row r="93" spans="1:17">
      <c r="A93" s="4">
        <f t="shared" si="1"/>
        <v>8</v>
      </c>
      <c r="B93" s="4">
        <f>IF(J93="",0,IF('Chart Information'!$V$14=A93,B92+1,IF(B92=0,0,IF(A93=A92,B92+1,0))))</f>
        <v>0</v>
      </c>
      <c r="C93" s="76"/>
      <c r="D93" s="4"/>
      <c r="E93" s="4"/>
      <c r="F93" s="55"/>
      <c r="G93" s="55"/>
      <c r="H93" s="55"/>
      <c r="I93" s="74">
        <v>1.2</v>
      </c>
      <c r="J93" s="74">
        <v>4.75</v>
      </c>
      <c r="K93" s="4">
        <v>1325</v>
      </c>
      <c r="L93" s="74">
        <v>14.5</v>
      </c>
      <c r="M93" s="4">
        <v>44</v>
      </c>
      <c r="N93" s="4"/>
      <c r="O93" s="74"/>
      <c r="P93" s="4"/>
      <c r="Q93" s="74"/>
    </row>
    <row r="94" spans="1:17">
      <c r="A94" s="4">
        <f t="shared" si="1"/>
        <v>8</v>
      </c>
      <c r="B94" s="4">
        <f>IF(J94="",0,IF('Chart Information'!$V$14=A94,B93+1,IF(B93=0,0,IF(A94=A93,B93+1,0))))</f>
        <v>0</v>
      </c>
      <c r="C94" s="76"/>
      <c r="D94" s="4"/>
      <c r="E94" s="4"/>
      <c r="F94" s="55"/>
      <c r="G94" s="55"/>
      <c r="H94" s="55"/>
      <c r="I94" s="74">
        <v>1.2</v>
      </c>
      <c r="J94" s="74">
        <v>5</v>
      </c>
      <c r="K94" s="4">
        <v>1275</v>
      </c>
      <c r="L94" s="74">
        <v>14.5</v>
      </c>
      <c r="M94" s="4">
        <v>44</v>
      </c>
      <c r="N94" s="4"/>
      <c r="O94" s="74"/>
      <c r="P94" s="4"/>
      <c r="Q94" s="74"/>
    </row>
    <row r="95" spans="1:17">
      <c r="A95" s="4">
        <f t="shared" si="1"/>
        <v>8</v>
      </c>
      <c r="B95" s="4">
        <f>IF(J95="",0,IF('Chart Information'!$V$14=A95,B94+1,IF(B94=0,0,IF(A95=A94,B94+1,0))))</f>
        <v>0</v>
      </c>
      <c r="C95" s="76"/>
      <c r="D95" s="4"/>
      <c r="E95" s="4"/>
      <c r="F95" s="55"/>
      <c r="G95" s="55"/>
      <c r="H95" s="55"/>
      <c r="I95" s="74">
        <v>1.2</v>
      </c>
      <c r="J95" s="74">
        <v>5.25</v>
      </c>
      <c r="K95" s="4">
        <v>1125</v>
      </c>
      <c r="L95" s="74">
        <v>14.25</v>
      </c>
      <c r="M95" s="4">
        <v>41</v>
      </c>
      <c r="N95" s="4"/>
      <c r="O95" s="74"/>
      <c r="P95" s="4"/>
      <c r="Q95" s="74"/>
    </row>
    <row r="96" spans="1:17">
      <c r="A96" s="4">
        <f t="shared" si="1"/>
        <v>8</v>
      </c>
      <c r="B96" s="4">
        <f>IF(J96="",0,IF('Chart Information'!$V$14=A96,B95+1,IF(B95=0,0,IF(A96=A95,B95+1,0))))</f>
        <v>0</v>
      </c>
      <c r="C96" s="76"/>
      <c r="D96" s="4"/>
      <c r="E96" s="4"/>
      <c r="F96" s="55"/>
      <c r="G96" s="55"/>
      <c r="H96" s="55"/>
      <c r="I96" s="74">
        <v>1.2</v>
      </c>
      <c r="J96" s="74">
        <v>5.5</v>
      </c>
      <c r="K96" s="4">
        <v>900</v>
      </c>
      <c r="L96" s="74">
        <v>14</v>
      </c>
      <c r="M96" s="4">
        <v>36</v>
      </c>
      <c r="N96" s="4"/>
      <c r="O96" s="74"/>
      <c r="P96" s="4"/>
      <c r="Q96" s="74"/>
    </row>
    <row r="97" spans="1:17">
      <c r="A97" s="4">
        <f t="shared" si="1"/>
        <v>8</v>
      </c>
      <c r="B97" s="4">
        <f>IF(J97="",0,IF('Chart Information'!$V$14=A97,B96+1,IF(B96=0,0,IF(A97=A96,B96+1,0))))</f>
        <v>0</v>
      </c>
      <c r="C97" s="76"/>
      <c r="D97" s="4"/>
      <c r="E97" s="4"/>
      <c r="F97" s="55"/>
      <c r="G97" s="55"/>
      <c r="H97" s="55"/>
      <c r="I97" s="74">
        <v>1.2</v>
      </c>
      <c r="J97" s="74">
        <v>5.75</v>
      </c>
      <c r="K97" s="4">
        <v>650</v>
      </c>
      <c r="L97" s="74">
        <v>13.5</v>
      </c>
      <c r="M97" s="4">
        <v>25</v>
      </c>
      <c r="N97" s="4"/>
      <c r="O97" s="74"/>
      <c r="P97" s="4"/>
      <c r="Q97" s="74"/>
    </row>
    <row r="98" spans="1:17">
      <c r="A98" s="4">
        <f t="shared" si="1"/>
        <v>8</v>
      </c>
      <c r="B98" s="4">
        <f>IF(J98="",0,IF('Chart Information'!$V$14=A98,B97+1,IF(B97=0,0,IF(A98=A97,B97+1,0))))</f>
        <v>0</v>
      </c>
      <c r="C98" s="76"/>
      <c r="D98" s="4"/>
      <c r="E98" s="4"/>
      <c r="F98" s="55"/>
      <c r="G98" s="55"/>
      <c r="H98" s="55"/>
      <c r="I98" s="74">
        <v>1.2</v>
      </c>
      <c r="J98" s="74">
        <v>6</v>
      </c>
      <c r="K98" s="4">
        <v>200</v>
      </c>
      <c r="L98" s="74">
        <v>13</v>
      </c>
      <c r="M98" s="4">
        <v>8</v>
      </c>
      <c r="N98" s="4"/>
      <c r="O98" s="74"/>
      <c r="P98" s="4"/>
      <c r="Q98" s="74"/>
    </row>
    <row r="99" spans="1:17">
      <c r="A99" s="4">
        <f t="shared" si="1"/>
        <v>9</v>
      </c>
      <c r="B99" s="4">
        <f>IF(J99="",0,IF('Chart Information'!$V$14=A99,B98+1,IF(B98=0,0,IF(A99=A98,B98+1,0))))</f>
        <v>0</v>
      </c>
      <c r="C99" s="76" t="s">
        <v>307</v>
      </c>
      <c r="D99" s="4" t="s">
        <v>290</v>
      </c>
      <c r="E99" s="4">
        <v>570</v>
      </c>
      <c r="F99" s="55">
        <v>18.5</v>
      </c>
      <c r="G99" s="55" t="s">
        <v>293</v>
      </c>
      <c r="H99" s="55" t="s">
        <v>298</v>
      </c>
      <c r="I99" s="74">
        <v>1.2</v>
      </c>
      <c r="J99" s="74">
        <v>3</v>
      </c>
      <c r="K99" s="4">
        <v>1125</v>
      </c>
      <c r="L99" s="74">
        <v>13</v>
      </c>
      <c r="M99" s="4">
        <v>27</v>
      </c>
      <c r="N99" s="4">
        <f>+K99</f>
        <v>1125</v>
      </c>
      <c r="O99" s="74">
        <f>+J99</f>
        <v>3</v>
      </c>
      <c r="P99" s="4">
        <f>+K105</f>
        <v>1175</v>
      </c>
      <c r="Q99" s="74">
        <f>+J105</f>
        <v>4.5</v>
      </c>
    </row>
    <row r="100" spans="1:17">
      <c r="A100" s="4">
        <f t="shared" si="1"/>
        <v>9</v>
      </c>
      <c r="B100" s="4">
        <f>IF(J100="",0,IF('Chart Information'!$V$14=A100,B99+1,IF(B99=0,0,IF(A100=A99,B99+1,0))))</f>
        <v>0</v>
      </c>
      <c r="C100" s="76"/>
      <c r="D100" s="4"/>
      <c r="E100" s="4"/>
      <c r="F100" s="55"/>
      <c r="G100" s="55"/>
      <c r="H100" s="55"/>
      <c r="I100" s="74">
        <v>1.2</v>
      </c>
      <c r="J100" s="74">
        <v>3.25</v>
      </c>
      <c r="K100" s="4">
        <v>1125</v>
      </c>
      <c r="L100" s="74">
        <v>13.5</v>
      </c>
      <c r="M100" s="4">
        <v>28</v>
      </c>
      <c r="N100" s="4"/>
      <c r="O100" s="74"/>
      <c r="P100" s="4"/>
      <c r="Q100" s="74"/>
    </row>
    <row r="101" spans="1:17">
      <c r="A101" s="4">
        <f t="shared" si="1"/>
        <v>9</v>
      </c>
      <c r="B101" s="4">
        <f>IF(J101="",0,IF('Chart Information'!$V$14=A101,B100+1,IF(B100=0,0,IF(A101=A100,B100+1,0))))</f>
        <v>0</v>
      </c>
      <c r="C101" s="76"/>
      <c r="D101" s="4"/>
      <c r="E101" s="4"/>
      <c r="F101" s="55"/>
      <c r="G101" s="55"/>
      <c r="H101" s="55"/>
      <c r="I101" s="74">
        <v>1.2</v>
      </c>
      <c r="J101" s="74">
        <v>3.5</v>
      </c>
      <c r="K101" s="4">
        <v>1125</v>
      </c>
      <c r="L101" s="74">
        <v>14</v>
      </c>
      <c r="M101" s="4">
        <v>30</v>
      </c>
      <c r="N101" s="4"/>
      <c r="O101" s="74"/>
      <c r="P101" s="4"/>
      <c r="Q101" s="74"/>
    </row>
    <row r="102" spans="1:17">
      <c r="A102" s="4">
        <f t="shared" si="1"/>
        <v>9</v>
      </c>
      <c r="B102" s="4">
        <f>IF(J102="",0,IF('Chart Information'!$V$14=A102,B101+1,IF(B101=0,0,IF(A102=A101,B101+1,0))))</f>
        <v>0</v>
      </c>
      <c r="C102" s="76"/>
      <c r="D102" s="4"/>
      <c r="E102" s="4"/>
      <c r="F102" s="55"/>
      <c r="G102" s="55"/>
      <c r="H102" s="55"/>
      <c r="I102" s="74">
        <v>1.2</v>
      </c>
      <c r="J102" s="74">
        <v>3.75</v>
      </c>
      <c r="K102" s="4">
        <v>1150</v>
      </c>
      <c r="L102" s="74">
        <v>14.5</v>
      </c>
      <c r="M102" s="4">
        <v>31</v>
      </c>
      <c r="N102" s="4"/>
      <c r="O102" s="74"/>
      <c r="P102" s="4"/>
      <c r="Q102" s="74"/>
    </row>
    <row r="103" spans="1:17">
      <c r="A103" s="4">
        <f t="shared" si="1"/>
        <v>9</v>
      </c>
      <c r="B103" s="4">
        <f>IF(J103="",0,IF('Chart Information'!$V$14=A103,B102+1,IF(B102=0,0,IF(A103=A102,B102+1,0))))</f>
        <v>0</v>
      </c>
      <c r="C103" s="76"/>
      <c r="D103" s="4"/>
      <c r="E103" s="4"/>
      <c r="F103" s="55"/>
      <c r="G103" s="55"/>
      <c r="H103" s="55"/>
      <c r="I103" s="74">
        <v>1.2</v>
      </c>
      <c r="J103" s="74">
        <v>4</v>
      </c>
      <c r="K103" s="4">
        <v>1175</v>
      </c>
      <c r="L103" s="74">
        <v>14.75</v>
      </c>
      <c r="M103" s="4">
        <v>33</v>
      </c>
      <c r="N103" s="4"/>
      <c r="O103" s="74"/>
      <c r="P103" s="4"/>
      <c r="Q103" s="74"/>
    </row>
    <row r="104" spans="1:17">
      <c r="A104" s="4">
        <f t="shared" si="1"/>
        <v>9</v>
      </c>
      <c r="B104" s="4">
        <f>IF(J104="",0,IF('Chart Information'!$V$14=A104,B103+1,IF(B103=0,0,IF(A104=A103,B103+1,0))))</f>
        <v>0</v>
      </c>
      <c r="C104" s="76"/>
      <c r="D104" s="4"/>
      <c r="E104" s="4"/>
      <c r="F104" s="55"/>
      <c r="G104" s="55"/>
      <c r="H104" s="55"/>
      <c r="I104" s="74">
        <v>1.2</v>
      </c>
      <c r="J104" s="74">
        <v>4.25</v>
      </c>
      <c r="K104" s="4">
        <v>1175</v>
      </c>
      <c r="L104" s="74">
        <v>14.75</v>
      </c>
      <c r="M104" s="4">
        <v>35</v>
      </c>
      <c r="N104" s="4"/>
      <c r="O104" s="74"/>
      <c r="P104" s="4"/>
      <c r="Q104" s="74"/>
    </row>
    <row r="105" spans="1:17">
      <c r="A105" s="4">
        <f t="shared" si="1"/>
        <v>9</v>
      </c>
      <c r="B105" s="4">
        <f>IF(J105="",0,IF('Chart Information'!$V$14=A105,B104+1,IF(B104=0,0,IF(A105=A104,B104+1,0))))</f>
        <v>0</v>
      </c>
      <c r="C105" s="76"/>
      <c r="D105" s="4"/>
      <c r="E105" s="4"/>
      <c r="F105" s="55"/>
      <c r="G105" s="55"/>
      <c r="H105" s="55"/>
      <c r="I105" s="74">
        <v>1.2</v>
      </c>
      <c r="J105" s="74">
        <v>4.5</v>
      </c>
      <c r="K105" s="4">
        <v>1175</v>
      </c>
      <c r="L105" s="74">
        <v>14.75</v>
      </c>
      <c r="M105" s="4">
        <v>37</v>
      </c>
      <c r="N105" s="4"/>
      <c r="O105" s="74"/>
      <c r="P105" s="4"/>
      <c r="Q105" s="74"/>
    </row>
    <row r="106" spans="1:17">
      <c r="A106" s="4">
        <f t="shared" si="1"/>
        <v>9</v>
      </c>
      <c r="B106" s="4">
        <f>IF(J106="",0,IF('Chart Information'!$V$14=A106,B105+1,IF(B105=0,0,IF(A106=A105,B105+1,0))))</f>
        <v>0</v>
      </c>
      <c r="C106" s="76"/>
      <c r="D106" s="4"/>
      <c r="E106" s="4"/>
      <c r="F106" s="55"/>
      <c r="G106" s="55"/>
      <c r="H106" s="55"/>
      <c r="I106" s="74">
        <v>1.2</v>
      </c>
      <c r="J106" s="74">
        <v>4.75</v>
      </c>
      <c r="K106" s="4">
        <v>1150</v>
      </c>
      <c r="L106" s="74">
        <v>15</v>
      </c>
      <c r="M106" s="4">
        <v>39</v>
      </c>
      <c r="N106" s="4"/>
      <c r="O106" s="74"/>
      <c r="P106" s="4"/>
      <c r="Q106" s="74"/>
    </row>
    <row r="107" spans="1:17">
      <c r="A107" s="4">
        <f t="shared" si="1"/>
        <v>9</v>
      </c>
      <c r="B107" s="4">
        <f>IF(J107="",0,IF('Chart Information'!$V$14=A107,B106+1,IF(B106=0,0,IF(A107=A106,B106+1,0))))</f>
        <v>0</v>
      </c>
      <c r="C107" s="76"/>
      <c r="D107" s="4"/>
      <c r="E107" s="4"/>
      <c r="F107" s="55"/>
      <c r="G107" s="55"/>
      <c r="H107" s="55"/>
      <c r="I107" s="74">
        <v>1.2</v>
      </c>
      <c r="J107" s="74">
        <v>5</v>
      </c>
      <c r="K107" s="4">
        <v>1125</v>
      </c>
      <c r="L107" s="74">
        <v>15</v>
      </c>
      <c r="M107" s="4">
        <v>40</v>
      </c>
      <c r="N107" s="4"/>
      <c r="O107" s="74"/>
      <c r="P107" s="4"/>
      <c r="Q107" s="74"/>
    </row>
    <row r="108" spans="1:17">
      <c r="A108" s="4">
        <f t="shared" si="1"/>
        <v>9</v>
      </c>
      <c r="B108" s="4">
        <f>IF(J108="",0,IF('Chart Information'!$V$14=A108,B107+1,IF(B107=0,0,IF(A108=A107,B107+1,0))))</f>
        <v>0</v>
      </c>
      <c r="C108" s="76"/>
      <c r="D108" s="4"/>
      <c r="E108" s="4"/>
      <c r="F108" s="55"/>
      <c r="G108" s="55"/>
      <c r="H108" s="55"/>
      <c r="I108" s="74">
        <v>1.2</v>
      </c>
      <c r="J108" s="74">
        <v>5.25</v>
      </c>
      <c r="K108" s="4">
        <v>1100</v>
      </c>
      <c r="L108" s="74">
        <v>15</v>
      </c>
      <c r="M108" s="4">
        <v>40</v>
      </c>
      <c r="N108" s="4"/>
      <c r="O108" s="74"/>
      <c r="P108" s="4"/>
      <c r="Q108" s="74"/>
    </row>
    <row r="109" spans="1:17">
      <c r="A109" s="4">
        <f t="shared" si="1"/>
        <v>9</v>
      </c>
      <c r="B109" s="4">
        <f>IF(J109="",0,IF('Chart Information'!$V$14=A109,B108+1,IF(B108=0,0,IF(A109=A108,B108+1,0))))</f>
        <v>0</v>
      </c>
      <c r="C109" s="76"/>
      <c r="D109" s="4"/>
      <c r="E109" s="4"/>
      <c r="F109" s="55"/>
      <c r="G109" s="55"/>
      <c r="H109" s="55"/>
      <c r="I109" s="74">
        <v>1.2</v>
      </c>
      <c r="J109" s="74">
        <v>5.5</v>
      </c>
      <c r="K109" s="4">
        <v>1050</v>
      </c>
      <c r="L109" s="74">
        <v>15</v>
      </c>
      <c r="M109" s="4">
        <v>40</v>
      </c>
      <c r="N109" s="4"/>
      <c r="O109" s="74"/>
      <c r="P109" s="4"/>
      <c r="Q109" s="74"/>
    </row>
    <row r="110" spans="1:17">
      <c r="A110" s="4">
        <f t="shared" si="1"/>
        <v>9</v>
      </c>
      <c r="B110" s="4">
        <f>IF(J110="",0,IF('Chart Information'!$V$14=A110,B109+1,IF(B109=0,0,IF(A110=A109,B109+1,0))))</f>
        <v>0</v>
      </c>
      <c r="C110" s="76"/>
      <c r="D110" s="4"/>
      <c r="E110" s="4"/>
      <c r="F110" s="55"/>
      <c r="G110" s="55"/>
      <c r="H110" s="55"/>
      <c r="I110" s="74">
        <v>1.2</v>
      </c>
      <c r="J110" s="74">
        <v>5.75</v>
      </c>
      <c r="K110" s="4">
        <v>950</v>
      </c>
      <c r="L110" s="74">
        <v>15</v>
      </c>
      <c r="M110" s="4">
        <v>37</v>
      </c>
      <c r="N110" s="4"/>
      <c r="O110" s="74"/>
      <c r="P110" s="4"/>
      <c r="Q110" s="74"/>
    </row>
    <row r="111" spans="1:17">
      <c r="A111" s="4">
        <f t="shared" si="1"/>
        <v>9</v>
      </c>
      <c r="B111" s="4">
        <f>IF(J111="",0,IF('Chart Information'!$V$14=A111,B110+1,IF(B110=0,0,IF(A111=A110,B110+1,0))))</f>
        <v>0</v>
      </c>
      <c r="C111" s="76"/>
      <c r="D111" s="4"/>
      <c r="E111" s="4"/>
      <c r="F111" s="55"/>
      <c r="G111" s="55"/>
      <c r="H111" s="55"/>
      <c r="I111" s="74">
        <v>1.2</v>
      </c>
      <c r="J111" s="74">
        <v>6</v>
      </c>
      <c r="K111" s="4">
        <v>825</v>
      </c>
      <c r="L111" s="74">
        <v>14.5</v>
      </c>
      <c r="M111" s="4">
        <v>35</v>
      </c>
      <c r="N111" s="4"/>
      <c r="O111" s="74"/>
      <c r="P111" s="4"/>
      <c r="Q111" s="74"/>
    </row>
    <row r="112" spans="1:17">
      <c r="A112" s="4">
        <f t="shared" si="1"/>
        <v>9</v>
      </c>
      <c r="B112" s="4">
        <f>IF(J112="",0,IF('Chart Information'!$V$14=A112,B111+1,IF(B111=0,0,IF(A112=A111,B111+1,0))))</f>
        <v>0</v>
      </c>
      <c r="C112" s="76"/>
      <c r="D112" s="4"/>
      <c r="E112" s="4"/>
      <c r="F112" s="55"/>
      <c r="G112" s="55"/>
      <c r="H112" s="55"/>
      <c r="I112" s="74">
        <v>1.2</v>
      </c>
      <c r="J112" s="74">
        <v>6.25</v>
      </c>
      <c r="K112" s="4">
        <v>700</v>
      </c>
      <c r="L112" s="74">
        <v>14.5</v>
      </c>
      <c r="M112" s="4">
        <v>30</v>
      </c>
      <c r="N112" s="4"/>
      <c r="O112" s="74"/>
      <c r="P112" s="4"/>
      <c r="Q112" s="74"/>
    </row>
    <row r="113" spans="1:17">
      <c r="A113" s="4">
        <f t="shared" si="1"/>
        <v>9</v>
      </c>
      <c r="B113" s="4">
        <f>IF(J113="",0,IF('Chart Information'!$V$14=A113,B112+1,IF(B112=0,0,IF(A113=A112,B112+1,0))))</f>
        <v>0</v>
      </c>
      <c r="C113" s="76"/>
      <c r="D113" s="4"/>
      <c r="E113" s="4"/>
      <c r="F113" s="55"/>
      <c r="G113" s="55"/>
      <c r="H113" s="55"/>
      <c r="I113" s="74">
        <v>1.2</v>
      </c>
      <c r="J113" s="74">
        <v>6.5</v>
      </c>
      <c r="K113" s="4">
        <v>575</v>
      </c>
      <c r="L113" s="74">
        <v>14</v>
      </c>
      <c r="M113" s="4">
        <v>25</v>
      </c>
      <c r="N113" s="4"/>
      <c r="O113" s="74"/>
      <c r="P113" s="4"/>
      <c r="Q113" s="74"/>
    </row>
    <row r="114" spans="1:17">
      <c r="A114" s="4">
        <f t="shared" si="1"/>
        <v>9</v>
      </c>
      <c r="B114" s="4">
        <f>IF(J114="",0,IF('Chart Information'!$V$14=A114,B113+1,IF(B113=0,0,IF(A114=A113,B113+1,0))))</f>
        <v>0</v>
      </c>
      <c r="C114" s="76"/>
      <c r="D114" s="4"/>
      <c r="E114" s="4"/>
      <c r="F114" s="55"/>
      <c r="G114" s="55"/>
      <c r="H114" s="55"/>
      <c r="I114" s="74">
        <v>1.2</v>
      </c>
      <c r="J114" s="74">
        <v>6.75</v>
      </c>
      <c r="K114" s="4">
        <v>375</v>
      </c>
      <c r="L114" s="74">
        <v>14</v>
      </c>
      <c r="M114" s="4">
        <v>16</v>
      </c>
      <c r="N114" s="4"/>
      <c r="O114" s="74"/>
      <c r="P114" s="4"/>
      <c r="Q114" s="74"/>
    </row>
    <row r="115" spans="1:17">
      <c r="A115" s="4">
        <f t="shared" si="1"/>
        <v>10</v>
      </c>
      <c r="B115" s="4">
        <f>IF(J115="",0,IF('Chart Information'!$V$14=A115,B114+1,IF(B114=0,0,IF(A115=A114,B114+1,0))))</f>
        <v>0</v>
      </c>
      <c r="C115" s="76" t="s">
        <v>309</v>
      </c>
      <c r="D115" s="4" t="s">
        <v>290</v>
      </c>
      <c r="E115" s="4">
        <v>570</v>
      </c>
      <c r="F115" s="55">
        <v>22</v>
      </c>
      <c r="G115" s="55" t="s">
        <v>293</v>
      </c>
      <c r="H115" s="55" t="s">
        <v>298</v>
      </c>
      <c r="I115" s="74">
        <v>1.2</v>
      </c>
      <c r="J115" s="74">
        <v>3.25</v>
      </c>
      <c r="K115" s="4">
        <v>1300</v>
      </c>
      <c r="L115" s="74">
        <v>12.5</v>
      </c>
      <c r="M115" s="4">
        <v>35</v>
      </c>
      <c r="N115" s="4">
        <f>+K115</f>
        <v>1300</v>
      </c>
      <c r="O115" s="74">
        <f>+J115</f>
        <v>3.25</v>
      </c>
      <c r="P115" s="4">
        <f>+K119</f>
        <v>1725</v>
      </c>
      <c r="Q115" s="74">
        <f>+J119</f>
        <v>4.25</v>
      </c>
    </row>
    <row r="116" spans="1:17">
      <c r="A116" s="4">
        <f t="shared" si="1"/>
        <v>10</v>
      </c>
      <c r="B116" s="4">
        <f>IF(J116="",0,IF('Chart Information'!$V$14=A116,B115+1,IF(B115=0,0,IF(A116=A115,B115+1,0))))</f>
        <v>0</v>
      </c>
      <c r="C116" s="76"/>
      <c r="D116" s="4"/>
      <c r="E116" s="4"/>
      <c r="F116" s="55"/>
      <c r="G116" s="55"/>
      <c r="H116" s="55"/>
      <c r="I116" s="74">
        <v>1.2</v>
      </c>
      <c r="J116" s="74">
        <v>3.5</v>
      </c>
      <c r="K116" s="4">
        <v>1450</v>
      </c>
      <c r="L116" s="74">
        <v>13</v>
      </c>
      <c r="M116" s="4">
        <v>40</v>
      </c>
      <c r="N116" s="4"/>
      <c r="O116" s="74"/>
      <c r="P116" s="4"/>
      <c r="Q116" s="74"/>
    </row>
    <row r="117" spans="1:17">
      <c r="A117" s="4">
        <f t="shared" si="1"/>
        <v>10</v>
      </c>
      <c r="B117" s="4">
        <f>IF(J117="",0,IF('Chart Information'!$V$14=A117,B116+1,IF(B116=0,0,IF(A117=A116,B116+1,0))))</f>
        <v>0</v>
      </c>
      <c r="C117" s="76"/>
      <c r="D117" s="4"/>
      <c r="E117" s="4"/>
      <c r="F117" s="55"/>
      <c r="G117" s="55"/>
      <c r="H117" s="55"/>
      <c r="I117" s="74">
        <v>1.2</v>
      </c>
      <c r="J117" s="74">
        <v>3.75</v>
      </c>
      <c r="K117" s="4">
        <v>1625</v>
      </c>
      <c r="L117" s="74">
        <v>13</v>
      </c>
      <c r="M117" s="4">
        <v>45</v>
      </c>
      <c r="N117" s="4"/>
      <c r="O117" s="74"/>
      <c r="P117" s="4"/>
      <c r="Q117" s="74"/>
    </row>
    <row r="118" spans="1:17">
      <c r="A118" s="4">
        <f t="shared" si="1"/>
        <v>10</v>
      </c>
      <c r="B118" s="4">
        <f>IF(J118="",0,IF('Chart Information'!$V$14=A118,B117+1,IF(B117=0,0,IF(A118=A117,B117+1,0))))</f>
        <v>0</v>
      </c>
      <c r="C118" s="76"/>
      <c r="D118" s="4"/>
      <c r="E118" s="4"/>
      <c r="F118" s="55"/>
      <c r="G118" s="55"/>
      <c r="H118" s="55"/>
      <c r="I118" s="74">
        <v>1.2</v>
      </c>
      <c r="J118" s="74">
        <v>4</v>
      </c>
      <c r="K118" s="4">
        <v>1700</v>
      </c>
      <c r="L118" s="74">
        <v>13.5</v>
      </c>
      <c r="M118" s="4">
        <v>48</v>
      </c>
      <c r="N118" s="4"/>
      <c r="O118" s="74"/>
      <c r="P118" s="4"/>
      <c r="Q118" s="74"/>
    </row>
    <row r="119" spans="1:17">
      <c r="A119" s="4">
        <f t="shared" si="1"/>
        <v>10</v>
      </c>
      <c r="B119" s="4">
        <f>IF(J119="",0,IF('Chart Information'!$V$14=A119,B118+1,IF(B118=0,0,IF(A119=A118,B118+1,0))))</f>
        <v>0</v>
      </c>
      <c r="C119" s="76"/>
      <c r="D119" s="4"/>
      <c r="E119" s="4"/>
      <c r="F119" s="55"/>
      <c r="G119" s="55"/>
      <c r="H119" s="55"/>
      <c r="I119" s="74">
        <v>1.2</v>
      </c>
      <c r="J119" s="74">
        <v>4.25</v>
      </c>
      <c r="K119" s="4">
        <v>1725</v>
      </c>
      <c r="L119" s="74">
        <v>14</v>
      </c>
      <c r="M119" s="4">
        <v>51</v>
      </c>
      <c r="N119" s="4"/>
      <c r="O119" s="74"/>
      <c r="P119" s="4"/>
      <c r="Q119" s="74"/>
    </row>
    <row r="120" spans="1:17">
      <c r="A120" s="4">
        <f t="shared" si="1"/>
        <v>10</v>
      </c>
      <c r="B120" s="4">
        <f>IF(J120="",0,IF('Chart Information'!$V$14=A120,B119+1,IF(B119=0,0,IF(A120=A119,B119+1,0))))</f>
        <v>0</v>
      </c>
      <c r="C120" s="76"/>
      <c r="D120" s="4"/>
      <c r="E120" s="4"/>
      <c r="F120" s="55"/>
      <c r="G120" s="55"/>
      <c r="H120" s="55"/>
      <c r="I120" s="74">
        <v>1.2</v>
      </c>
      <c r="J120" s="74">
        <v>4.5</v>
      </c>
      <c r="K120" s="4">
        <v>1700</v>
      </c>
      <c r="L120" s="74">
        <v>15</v>
      </c>
      <c r="M120" s="4">
        <v>53</v>
      </c>
      <c r="N120" s="4"/>
      <c r="O120" s="74"/>
      <c r="P120" s="4"/>
      <c r="Q120" s="74"/>
    </row>
    <row r="121" spans="1:17">
      <c r="A121" s="4">
        <f t="shared" si="1"/>
        <v>10</v>
      </c>
      <c r="B121" s="4">
        <f>IF(J121="",0,IF('Chart Information'!$V$14=A121,B120+1,IF(B120=0,0,IF(A121=A120,B120+1,0))))</f>
        <v>0</v>
      </c>
      <c r="C121" s="76"/>
      <c r="D121" s="4"/>
      <c r="E121" s="4"/>
      <c r="F121" s="55"/>
      <c r="G121" s="55"/>
      <c r="H121" s="55"/>
      <c r="I121" s="74">
        <v>1.2</v>
      </c>
      <c r="J121" s="74">
        <v>4.75</v>
      </c>
      <c r="K121" s="4">
        <v>1630</v>
      </c>
      <c r="L121" s="74">
        <v>15</v>
      </c>
      <c r="M121" s="4">
        <v>54</v>
      </c>
      <c r="N121" s="4"/>
      <c r="O121" s="74"/>
      <c r="P121" s="4"/>
      <c r="Q121" s="74"/>
    </row>
    <row r="122" spans="1:17">
      <c r="A122" s="4">
        <f t="shared" si="1"/>
        <v>10</v>
      </c>
      <c r="B122" s="4">
        <f>IF(J122="",0,IF('Chart Information'!$V$14=A122,B121+1,IF(B121=0,0,IF(A122=A121,B121+1,0))))</f>
        <v>0</v>
      </c>
      <c r="C122" s="76"/>
      <c r="D122" s="4"/>
      <c r="E122" s="4"/>
      <c r="F122" s="55"/>
      <c r="G122" s="55"/>
      <c r="H122" s="55"/>
      <c r="I122" s="74">
        <v>1.2</v>
      </c>
      <c r="J122" s="74">
        <v>5</v>
      </c>
      <c r="K122" s="4">
        <v>1550</v>
      </c>
      <c r="L122" s="74">
        <v>15</v>
      </c>
      <c r="M122" s="4">
        <v>53</v>
      </c>
      <c r="N122" s="4"/>
      <c r="O122" s="74"/>
      <c r="P122" s="4"/>
      <c r="Q122" s="74"/>
    </row>
    <row r="123" spans="1:17">
      <c r="A123" s="4">
        <f t="shared" si="1"/>
        <v>10</v>
      </c>
      <c r="B123" s="4">
        <f>IF(J123="",0,IF('Chart Information'!$V$14=A123,B122+1,IF(B122=0,0,IF(A123=A122,B122+1,0))))</f>
        <v>0</v>
      </c>
      <c r="C123" s="76"/>
      <c r="D123" s="4"/>
      <c r="E123" s="4"/>
      <c r="F123" s="55"/>
      <c r="G123" s="55"/>
      <c r="H123" s="55"/>
      <c r="I123" s="74">
        <v>1.2</v>
      </c>
      <c r="J123" s="74">
        <v>5.25</v>
      </c>
      <c r="K123" s="4">
        <v>1400</v>
      </c>
      <c r="L123" s="74">
        <v>15</v>
      </c>
      <c r="M123" s="4">
        <v>51</v>
      </c>
      <c r="N123" s="4"/>
      <c r="O123" s="74"/>
      <c r="P123" s="4"/>
      <c r="Q123" s="74"/>
    </row>
    <row r="124" spans="1:17">
      <c r="A124" s="4">
        <f t="shared" si="1"/>
        <v>10</v>
      </c>
      <c r="B124" s="4">
        <f>IF(J124="",0,IF('Chart Information'!$V$14=A124,B123+1,IF(B123=0,0,IF(A124=A123,B123+1,0))))</f>
        <v>0</v>
      </c>
      <c r="C124" s="76"/>
      <c r="D124" s="4"/>
      <c r="E124" s="4"/>
      <c r="F124" s="55"/>
      <c r="G124" s="55"/>
      <c r="H124" s="55"/>
      <c r="I124" s="74">
        <v>1.2</v>
      </c>
      <c r="J124" s="74">
        <v>5.5</v>
      </c>
      <c r="K124" s="4">
        <v>1225</v>
      </c>
      <c r="L124" s="74">
        <v>15</v>
      </c>
      <c r="M124" s="4">
        <v>47</v>
      </c>
      <c r="N124" s="4"/>
      <c r="O124" s="74"/>
      <c r="P124" s="4"/>
      <c r="Q124" s="74"/>
    </row>
    <row r="125" spans="1:17">
      <c r="A125" s="4">
        <f t="shared" si="1"/>
        <v>10</v>
      </c>
      <c r="B125" s="4">
        <f>IF(J125="",0,IF('Chart Information'!$V$14=A125,B124+1,IF(B124=0,0,IF(A125=A124,B124+1,0))))</f>
        <v>0</v>
      </c>
      <c r="C125" s="76"/>
      <c r="D125" s="4"/>
      <c r="E125" s="4"/>
      <c r="F125" s="55"/>
      <c r="G125" s="55"/>
      <c r="H125" s="55"/>
      <c r="I125" s="74">
        <v>1.2</v>
      </c>
      <c r="J125" s="74">
        <v>5.75</v>
      </c>
      <c r="K125" s="4">
        <v>1025</v>
      </c>
      <c r="L125" s="74">
        <v>14.75</v>
      </c>
      <c r="M125" s="4">
        <v>42</v>
      </c>
      <c r="N125" s="4"/>
      <c r="O125" s="74"/>
      <c r="P125" s="4"/>
      <c r="Q125" s="74"/>
    </row>
    <row r="126" spans="1:17">
      <c r="A126" s="4">
        <f t="shared" si="1"/>
        <v>10</v>
      </c>
      <c r="B126" s="4">
        <f>IF(J126="",0,IF('Chart Information'!$V$14=A126,B125+1,IF(B125=0,0,IF(A126=A125,B125+1,0))))</f>
        <v>0</v>
      </c>
      <c r="C126" s="76"/>
      <c r="D126" s="4"/>
      <c r="E126" s="4"/>
      <c r="F126" s="55"/>
      <c r="G126" s="55"/>
      <c r="H126" s="55"/>
      <c r="I126" s="74">
        <v>1.2</v>
      </c>
      <c r="J126" s="74">
        <v>6</v>
      </c>
      <c r="K126" s="4">
        <v>850</v>
      </c>
      <c r="L126" s="74">
        <v>14.25</v>
      </c>
      <c r="M126" s="4">
        <v>35</v>
      </c>
      <c r="N126" s="4"/>
      <c r="O126" s="74"/>
      <c r="P126" s="4"/>
      <c r="Q126" s="74"/>
    </row>
    <row r="127" spans="1:17">
      <c r="A127" s="4">
        <f t="shared" si="1"/>
        <v>10</v>
      </c>
      <c r="B127" s="4">
        <f>IF(J127="",0,IF('Chart Information'!$V$14=A127,B126+1,IF(B126=0,0,IF(A127=A126,B126+1,0))))</f>
        <v>0</v>
      </c>
      <c r="C127" s="76"/>
      <c r="D127" s="4"/>
      <c r="E127" s="4"/>
      <c r="F127" s="55"/>
      <c r="G127" s="55"/>
      <c r="H127" s="55"/>
      <c r="I127" s="74">
        <v>1.2</v>
      </c>
      <c r="J127" s="74">
        <v>6.25</v>
      </c>
      <c r="K127" s="4">
        <v>700</v>
      </c>
      <c r="L127" s="74">
        <v>14</v>
      </c>
      <c r="M127" s="4">
        <v>31</v>
      </c>
      <c r="N127" s="4"/>
      <c r="O127" s="74"/>
      <c r="P127" s="4"/>
      <c r="Q127" s="74"/>
    </row>
    <row r="128" spans="1:17">
      <c r="A128" s="4">
        <f t="shared" si="1"/>
        <v>10</v>
      </c>
      <c r="B128" s="4">
        <f>IF(J128="",0,IF('Chart Information'!$V$14=A128,B127+1,IF(B127=0,0,IF(A128=A127,B127+1,0))))</f>
        <v>0</v>
      </c>
      <c r="C128" s="76"/>
      <c r="D128" s="4"/>
      <c r="E128" s="4"/>
      <c r="F128" s="55"/>
      <c r="G128" s="55"/>
      <c r="H128" s="55"/>
      <c r="I128" s="74">
        <v>1.2</v>
      </c>
      <c r="J128" s="74">
        <v>6.5</v>
      </c>
      <c r="K128" s="4">
        <v>450</v>
      </c>
      <c r="L128" s="74">
        <v>13.5</v>
      </c>
      <c r="M128" s="4">
        <v>22</v>
      </c>
      <c r="N128" s="4"/>
      <c r="O128" s="74"/>
      <c r="P128" s="4"/>
      <c r="Q128" s="74"/>
    </row>
    <row r="129" spans="1:17">
      <c r="A129" s="4">
        <f t="shared" si="1"/>
        <v>10</v>
      </c>
      <c r="B129" s="4">
        <f>IF(J129="",0,IF('Chart Information'!$V$14=A129,B128+1,IF(B128=0,0,IF(A129=A128,B128+1,0))))</f>
        <v>0</v>
      </c>
      <c r="C129" s="76"/>
      <c r="D129" s="4"/>
      <c r="E129" s="4"/>
      <c r="F129" s="55"/>
      <c r="G129" s="55"/>
      <c r="H129" s="55"/>
      <c r="I129" s="74">
        <v>1.2</v>
      </c>
      <c r="J129" s="74">
        <v>6.75</v>
      </c>
      <c r="K129" s="4">
        <v>175</v>
      </c>
      <c r="L129" s="74">
        <v>13</v>
      </c>
      <c r="M129" s="4">
        <v>8</v>
      </c>
      <c r="N129" s="4"/>
      <c r="O129" s="74"/>
      <c r="P129" s="4"/>
      <c r="Q129" s="74"/>
    </row>
    <row r="130" spans="1:17">
      <c r="A130" s="4">
        <f t="shared" si="1"/>
        <v>11</v>
      </c>
      <c r="B130" s="4">
        <f>IF(J130="",0,IF('Chart Information'!$V$14=A130,B129+1,IF(B129=0,0,IF(A130=A129,B129+1,0))))</f>
        <v>0</v>
      </c>
      <c r="C130" s="76" t="s">
        <v>308</v>
      </c>
      <c r="D130" s="4" t="s">
        <v>290</v>
      </c>
      <c r="E130" s="4">
        <v>760</v>
      </c>
      <c r="F130" s="55">
        <v>18.5</v>
      </c>
      <c r="G130" s="55" t="s">
        <v>293</v>
      </c>
      <c r="H130" s="55" t="s">
        <v>298</v>
      </c>
      <c r="I130" s="74">
        <v>1.2</v>
      </c>
      <c r="J130" s="74">
        <v>5.75</v>
      </c>
      <c r="K130" s="4">
        <v>1200</v>
      </c>
      <c r="L130" s="74">
        <v>17</v>
      </c>
      <c r="M130" s="4">
        <v>40</v>
      </c>
      <c r="N130" s="4">
        <f>+K130</f>
        <v>1200</v>
      </c>
      <c r="O130" s="74">
        <f>+J130</f>
        <v>5.75</v>
      </c>
      <c r="P130" s="4">
        <f>+K136</f>
        <v>1280</v>
      </c>
      <c r="Q130" s="74">
        <f>+J136</f>
        <v>7.25</v>
      </c>
    </row>
    <row r="131" spans="1:17">
      <c r="A131" s="4">
        <f t="shared" si="1"/>
        <v>11</v>
      </c>
      <c r="B131" s="4">
        <f>IF(J131="",0,IF('Chart Information'!$V$14=A131,B130+1,IF(B130=0,0,IF(A131=A130,B130+1,0))))</f>
        <v>0</v>
      </c>
      <c r="C131" s="76"/>
      <c r="D131" s="4"/>
      <c r="E131" s="4"/>
      <c r="F131" s="55"/>
      <c r="G131" s="55"/>
      <c r="H131" s="55"/>
      <c r="I131" s="74">
        <v>1.2</v>
      </c>
      <c r="J131" s="74">
        <v>6</v>
      </c>
      <c r="K131" s="4">
        <v>1200</v>
      </c>
      <c r="L131" s="74">
        <v>17.5</v>
      </c>
      <c r="M131" s="4">
        <v>41</v>
      </c>
      <c r="N131" s="4"/>
      <c r="O131" s="74"/>
      <c r="P131" s="4"/>
      <c r="Q131" s="74"/>
    </row>
    <row r="132" spans="1:17">
      <c r="A132" s="4">
        <f t="shared" si="1"/>
        <v>11</v>
      </c>
      <c r="B132" s="4">
        <f>IF(J132="",0,IF('Chart Information'!$V$14=A132,B131+1,IF(B131=0,0,IF(A132=A131,B131+1,0))))</f>
        <v>0</v>
      </c>
      <c r="C132" s="76"/>
      <c r="D132" s="4"/>
      <c r="E132" s="4"/>
      <c r="F132" s="55"/>
      <c r="G132" s="55"/>
      <c r="H132" s="55"/>
      <c r="I132" s="74">
        <v>1.2</v>
      </c>
      <c r="J132" s="74">
        <v>6.25</v>
      </c>
      <c r="K132" s="4">
        <v>1225</v>
      </c>
      <c r="L132" s="74">
        <v>18</v>
      </c>
      <c r="M132" s="4">
        <v>42</v>
      </c>
      <c r="N132" s="4"/>
      <c r="O132" s="74"/>
      <c r="P132" s="4"/>
      <c r="Q132" s="74"/>
    </row>
    <row r="133" spans="1:17">
      <c r="A133" s="4">
        <f t="shared" si="1"/>
        <v>11</v>
      </c>
      <c r="B133" s="4">
        <f>IF(J133="",0,IF('Chart Information'!$V$14=A133,B132+1,IF(B132=0,0,IF(A133=A132,B132+1,0))))</f>
        <v>0</v>
      </c>
      <c r="C133" s="76"/>
      <c r="D133" s="4"/>
      <c r="E133" s="4"/>
      <c r="F133" s="55"/>
      <c r="G133" s="55"/>
      <c r="H133" s="55"/>
      <c r="I133" s="74">
        <v>1.2</v>
      </c>
      <c r="J133" s="74">
        <v>6.5</v>
      </c>
      <c r="K133" s="4">
        <v>1250</v>
      </c>
      <c r="L133" s="74">
        <v>18</v>
      </c>
      <c r="M133" s="4">
        <v>44</v>
      </c>
      <c r="N133" s="4"/>
      <c r="O133" s="74"/>
      <c r="P133" s="4"/>
      <c r="Q133" s="74"/>
    </row>
    <row r="134" spans="1:17">
      <c r="A134" s="4">
        <f t="shared" si="1"/>
        <v>11</v>
      </c>
      <c r="B134" s="4">
        <f>IF(J134="",0,IF('Chart Information'!$V$14=A134,B133+1,IF(B133=0,0,IF(A134=A133,B133+1,0))))</f>
        <v>0</v>
      </c>
      <c r="C134" s="76"/>
      <c r="D134" s="4"/>
      <c r="E134" s="4"/>
      <c r="F134" s="55"/>
      <c r="G134" s="55"/>
      <c r="H134" s="55"/>
      <c r="I134" s="74">
        <v>1.2</v>
      </c>
      <c r="J134" s="74">
        <v>6.75</v>
      </c>
      <c r="K134" s="4">
        <v>1260</v>
      </c>
      <c r="L134" s="74">
        <v>18.5</v>
      </c>
      <c r="M134" s="4">
        <v>45</v>
      </c>
      <c r="N134" s="4"/>
      <c r="O134" s="74"/>
      <c r="P134" s="4"/>
      <c r="Q134" s="74"/>
    </row>
    <row r="135" spans="1:17">
      <c r="A135" s="4">
        <f t="shared" si="1"/>
        <v>11</v>
      </c>
      <c r="B135" s="4">
        <f>IF(J135="",0,IF('Chart Information'!$V$14=A135,B134+1,IF(B134=0,0,IF(A135=A134,B134+1,0))))</f>
        <v>0</v>
      </c>
      <c r="C135" s="76"/>
      <c r="D135" s="4"/>
      <c r="E135" s="4"/>
      <c r="F135" s="55"/>
      <c r="G135" s="55"/>
      <c r="H135" s="55"/>
      <c r="I135" s="74">
        <v>1.2</v>
      </c>
      <c r="J135" s="74">
        <v>7</v>
      </c>
      <c r="K135" s="4">
        <v>1275</v>
      </c>
      <c r="L135" s="74">
        <v>18.5</v>
      </c>
      <c r="M135" s="4">
        <v>47</v>
      </c>
      <c r="N135" s="4"/>
      <c r="O135" s="74"/>
      <c r="P135" s="4"/>
      <c r="Q135" s="74"/>
    </row>
    <row r="136" spans="1:17">
      <c r="A136" s="4">
        <f t="shared" ref="A136:A199" si="2">IF(D136="",A135,A135+1)</f>
        <v>11</v>
      </c>
      <c r="B136" s="4">
        <f>IF(J136="",0,IF('Chart Information'!$V$14=A136,B135+1,IF(B135=0,0,IF(A136=A135,B135+1,0))))</f>
        <v>0</v>
      </c>
      <c r="C136" s="76"/>
      <c r="D136" s="4"/>
      <c r="E136" s="4"/>
      <c r="F136" s="55"/>
      <c r="G136" s="55"/>
      <c r="H136" s="55"/>
      <c r="I136" s="74">
        <v>1.2</v>
      </c>
      <c r="J136" s="74">
        <v>7.25</v>
      </c>
      <c r="K136" s="4">
        <v>1280</v>
      </c>
      <c r="L136" s="74">
        <v>18.75</v>
      </c>
      <c r="M136" s="4">
        <v>48</v>
      </c>
      <c r="N136" s="4"/>
      <c r="O136" s="74"/>
      <c r="P136" s="4"/>
      <c r="Q136" s="74"/>
    </row>
    <row r="137" spans="1:17">
      <c r="A137" s="4">
        <f t="shared" si="2"/>
        <v>11</v>
      </c>
      <c r="B137" s="4">
        <f>IF(J137="",0,IF('Chart Information'!$V$14=A137,B136+1,IF(B136=0,0,IF(A137=A136,B136+1,0))))</f>
        <v>0</v>
      </c>
      <c r="C137" s="76"/>
      <c r="D137" s="4"/>
      <c r="E137" s="4"/>
      <c r="F137" s="55"/>
      <c r="G137" s="55"/>
      <c r="H137" s="55"/>
      <c r="I137" s="74">
        <v>1.2</v>
      </c>
      <c r="J137" s="74">
        <v>7.5</v>
      </c>
      <c r="K137" s="4">
        <v>1275</v>
      </c>
      <c r="L137" s="74">
        <v>19</v>
      </c>
      <c r="M137" s="4">
        <v>49</v>
      </c>
      <c r="N137" s="4"/>
      <c r="O137" s="74"/>
      <c r="P137" s="4"/>
      <c r="Q137" s="74"/>
    </row>
    <row r="138" spans="1:17">
      <c r="A138" s="4">
        <f t="shared" si="2"/>
        <v>11</v>
      </c>
      <c r="B138" s="4">
        <f>IF(J138="",0,IF('Chart Information'!$V$14=A138,B137+1,IF(B137=0,0,IF(A138=A137,B137+1,0))))</f>
        <v>0</v>
      </c>
      <c r="C138" s="76"/>
      <c r="D138" s="4"/>
      <c r="E138" s="4"/>
      <c r="F138" s="55"/>
      <c r="G138" s="55"/>
      <c r="H138" s="55"/>
      <c r="I138" s="74">
        <v>1.2</v>
      </c>
      <c r="J138" s="74">
        <v>7.75</v>
      </c>
      <c r="K138" s="4">
        <v>1250</v>
      </c>
      <c r="L138" s="74">
        <v>19</v>
      </c>
      <c r="M138" s="4">
        <v>51</v>
      </c>
      <c r="N138" s="4"/>
      <c r="O138" s="74"/>
      <c r="P138" s="4"/>
      <c r="Q138" s="74"/>
    </row>
    <row r="139" spans="1:17">
      <c r="A139" s="4">
        <f t="shared" si="2"/>
        <v>11</v>
      </c>
      <c r="B139" s="4">
        <f>IF(J139="",0,IF('Chart Information'!$V$14=A139,B138+1,IF(B138=0,0,IF(A139=A138,B138+1,0))))</f>
        <v>0</v>
      </c>
      <c r="C139" s="76"/>
      <c r="D139" s="4"/>
      <c r="E139" s="4"/>
      <c r="F139" s="55"/>
      <c r="G139" s="55"/>
      <c r="H139" s="55"/>
      <c r="I139" s="74">
        <v>1.2</v>
      </c>
      <c r="J139" s="74">
        <v>8</v>
      </c>
      <c r="K139" s="4">
        <v>1210</v>
      </c>
      <c r="L139" s="74">
        <v>19</v>
      </c>
      <c r="M139" s="4">
        <v>52</v>
      </c>
      <c r="N139" s="4"/>
      <c r="O139" s="74"/>
      <c r="P139" s="4"/>
      <c r="Q139" s="74"/>
    </row>
    <row r="140" spans="1:17">
      <c r="A140" s="4">
        <f t="shared" si="2"/>
        <v>11</v>
      </c>
      <c r="B140" s="4">
        <f>IF(J140="",0,IF('Chart Information'!$V$14=A140,B139+1,IF(B139=0,0,IF(A140=A139,B139+1,0))))</f>
        <v>0</v>
      </c>
      <c r="C140" s="76"/>
      <c r="D140" s="4"/>
      <c r="E140" s="4"/>
      <c r="F140" s="55"/>
      <c r="G140" s="55"/>
      <c r="H140" s="55"/>
      <c r="I140" s="74">
        <v>1.2</v>
      </c>
      <c r="J140" s="74">
        <v>8.25</v>
      </c>
      <c r="K140" s="4">
        <v>1175</v>
      </c>
      <c r="L140" s="74">
        <v>18.5</v>
      </c>
      <c r="M140" s="4">
        <v>53</v>
      </c>
      <c r="N140" s="4"/>
      <c r="O140" s="74"/>
      <c r="P140" s="4"/>
      <c r="Q140" s="74"/>
    </row>
    <row r="141" spans="1:17">
      <c r="A141" s="4">
        <f t="shared" si="2"/>
        <v>11</v>
      </c>
      <c r="B141" s="4">
        <f>IF(J141="",0,IF('Chart Information'!$V$14=A141,B140+1,IF(B140=0,0,IF(A141=A140,B140+1,0))))</f>
        <v>0</v>
      </c>
      <c r="C141" s="76"/>
      <c r="D141" s="4"/>
      <c r="E141" s="4"/>
      <c r="F141" s="55"/>
      <c r="G141" s="55"/>
      <c r="H141" s="55"/>
      <c r="I141" s="74">
        <v>1.2</v>
      </c>
      <c r="J141" s="74">
        <v>8.5</v>
      </c>
      <c r="K141" s="4">
        <v>1135</v>
      </c>
      <c r="L141" s="74">
        <v>18</v>
      </c>
      <c r="M141" s="4">
        <v>53</v>
      </c>
      <c r="N141" s="4"/>
      <c r="O141" s="74"/>
      <c r="P141" s="4"/>
      <c r="Q141" s="74"/>
    </row>
    <row r="142" spans="1:17">
      <c r="A142" s="4">
        <f t="shared" si="2"/>
        <v>11</v>
      </c>
      <c r="B142" s="4">
        <f>IF(J142="",0,IF('Chart Information'!$V$14=A142,B141+1,IF(B141=0,0,IF(A142=A141,B141+1,0))))</f>
        <v>0</v>
      </c>
      <c r="C142" s="76"/>
      <c r="D142" s="4"/>
      <c r="E142" s="4"/>
      <c r="F142" s="55"/>
      <c r="G142" s="55"/>
      <c r="H142" s="55"/>
      <c r="I142" s="74">
        <v>1.2</v>
      </c>
      <c r="J142" s="74">
        <v>8.75</v>
      </c>
      <c r="K142" s="4">
        <v>1100</v>
      </c>
      <c r="L142" s="74">
        <v>17.75</v>
      </c>
      <c r="M142" s="4">
        <v>52</v>
      </c>
      <c r="N142" s="4"/>
      <c r="O142" s="74"/>
      <c r="P142" s="4"/>
      <c r="Q142" s="74"/>
    </row>
    <row r="143" spans="1:17">
      <c r="A143" s="4">
        <f t="shared" si="2"/>
        <v>11</v>
      </c>
      <c r="B143" s="4">
        <f>IF(J143="",0,IF('Chart Information'!$V$14=A143,B142+1,IF(B142=0,0,IF(A143=A142,B142+1,0))))</f>
        <v>0</v>
      </c>
      <c r="C143" s="76"/>
      <c r="D143" s="4"/>
      <c r="E143" s="4"/>
      <c r="F143" s="55"/>
      <c r="G143" s="55"/>
      <c r="H143" s="55"/>
      <c r="I143" s="74">
        <v>1.2</v>
      </c>
      <c r="J143" s="74">
        <v>9</v>
      </c>
      <c r="K143" s="4">
        <v>1050</v>
      </c>
      <c r="L143" s="74">
        <v>17.5</v>
      </c>
      <c r="M143" s="4">
        <v>51</v>
      </c>
      <c r="N143" s="4"/>
      <c r="O143" s="74"/>
      <c r="P143" s="4"/>
      <c r="Q143" s="74"/>
    </row>
    <row r="144" spans="1:17">
      <c r="A144" s="4">
        <f t="shared" si="2"/>
        <v>11</v>
      </c>
      <c r="B144" s="4">
        <f>IF(J144="",0,IF('Chart Information'!$V$14=A144,B143+1,IF(B143=0,0,IF(A144=A143,B143+1,0))))</f>
        <v>0</v>
      </c>
      <c r="C144" s="76"/>
      <c r="D144" s="4"/>
      <c r="E144" s="4"/>
      <c r="F144" s="55"/>
      <c r="G144" s="55"/>
      <c r="H144" s="55"/>
      <c r="I144" s="74">
        <v>1.2</v>
      </c>
      <c r="J144" s="74">
        <v>9.25</v>
      </c>
      <c r="K144" s="4">
        <v>1000</v>
      </c>
      <c r="L144" s="74">
        <v>17.25</v>
      </c>
      <c r="M144" s="4">
        <v>47</v>
      </c>
      <c r="N144" s="4"/>
      <c r="O144" s="74"/>
      <c r="P144" s="4"/>
      <c r="Q144" s="74"/>
    </row>
    <row r="145" spans="1:17">
      <c r="A145" s="4">
        <f t="shared" si="2"/>
        <v>11</v>
      </c>
      <c r="B145" s="4">
        <f>IF(J145="",0,IF('Chart Information'!$V$14=A145,B144+1,IF(B144=0,0,IF(A145=A144,B144+1,0))))</f>
        <v>0</v>
      </c>
      <c r="C145" s="76"/>
      <c r="D145" s="4"/>
      <c r="E145" s="4"/>
      <c r="F145" s="55"/>
      <c r="G145" s="55"/>
      <c r="H145" s="55"/>
      <c r="I145" s="74">
        <v>1.2</v>
      </c>
      <c r="J145" s="74">
        <v>9.5</v>
      </c>
      <c r="K145" s="4">
        <v>900</v>
      </c>
      <c r="L145" s="74">
        <v>17.25</v>
      </c>
      <c r="M145" s="4">
        <v>47</v>
      </c>
      <c r="N145" s="4"/>
      <c r="O145" s="74"/>
      <c r="P145" s="4"/>
      <c r="Q145" s="74"/>
    </row>
    <row r="146" spans="1:17">
      <c r="A146" s="4">
        <f t="shared" si="2"/>
        <v>11</v>
      </c>
      <c r="B146" s="4">
        <f>IF(J146="",0,IF('Chart Information'!$V$14=A146,B145+1,IF(B145=0,0,IF(A146=A145,B145+1,0))))</f>
        <v>0</v>
      </c>
      <c r="C146" s="76"/>
      <c r="D146" s="4"/>
      <c r="E146" s="4"/>
      <c r="F146" s="55"/>
      <c r="G146" s="55"/>
      <c r="H146" s="55"/>
      <c r="I146" s="74">
        <v>1.2</v>
      </c>
      <c r="J146" s="74">
        <v>9.75</v>
      </c>
      <c r="K146" s="4">
        <v>800</v>
      </c>
      <c r="L146" s="74">
        <v>17</v>
      </c>
      <c r="M146" s="4">
        <v>45</v>
      </c>
      <c r="N146" s="4"/>
      <c r="O146" s="74"/>
      <c r="P146" s="4"/>
      <c r="Q146" s="74"/>
    </row>
    <row r="147" spans="1:17">
      <c r="A147" s="4">
        <f t="shared" si="2"/>
        <v>11</v>
      </c>
      <c r="B147" s="4">
        <f>IF(J147="",0,IF('Chart Information'!$V$14=A147,B146+1,IF(B146=0,0,IF(A147=A146,B146+1,0))))</f>
        <v>0</v>
      </c>
      <c r="C147" s="76"/>
      <c r="D147" s="4"/>
      <c r="E147" s="4"/>
      <c r="F147" s="55"/>
      <c r="G147" s="55"/>
      <c r="H147" s="55"/>
      <c r="I147" s="74">
        <v>1.2</v>
      </c>
      <c r="J147" s="74">
        <v>10</v>
      </c>
      <c r="K147" s="4">
        <v>675</v>
      </c>
      <c r="L147" s="74">
        <v>17</v>
      </c>
      <c r="M147" s="4">
        <v>39</v>
      </c>
      <c r="N147" s="4"/>
      <c r="O147" s="74"/>
      <c r="P147" s="4"/>
      <c r="Q147" s="74"/>
    </row>
    <row r="148" spans="1:17">
      <c r="A148" s="4">
        <f t="shared" si="2"/>
        <v>11</v>
      </c>
      <c r="B148" s="4">
        <f>IF(J148="",0,IF('Chart Information'!$V$14=A148,B147+1,IF(B147=0,0,IF(A148=A147,B147+1,0))))</f>
        <v>0</v>
      </c>
      <c r="C148" s="76"/>
      <c r="D148" s="4"/>
      <c r="E148" s="4"/>
      <c r="F148" s="55"/>
      <c r="G148" s="55"/>
      <c r="H148" s="55"/>
      <c r="I148" s="74">
        <v>1.2</v>
      </c>
      <c r="J148" s="74">
        <v>10.25</v>
      </c>
      <c r="K148" s="4">
        <v>550</v>
      </c>
      <c r="L148" s="74">
        <v>17</v>
      </c>
      <c r="M148" s="4">
        <v>34</v>
      </c>
      <c r="N148" s="4"/>
      <c r="O148" s="74"/>
      <c r="P148" s="4"/>
      <c r="Q148" s="74"/>
    </row>
    <row r="149" spans="1:17">
      <c r="A149" s="4">
        <f t="shared" si="2"/>
        <v>11</v>
      </c>
      <c r="B149" s="4">
        <f>IF(J149="",0,IF('Chart Information'!$V$14=A149,B148+1,IF(B148=0,0,IF(A149=A148,B148+1,0))))</f>
        <v>0</v>
      </c>
      <c r="C149" s="76"/>
      <c r="D149" s="4"/>
      <c r="E149" s="4"/>
      <c r="F149" s="55"/>
      <c r="G149" s="55"/>
      <c r="H149" s="55"/>
      <c r="I149" s="74">
        <v>1.2</v>
      </c>
      <c r="J149" s="74">
        <v>10.5</v>
      </c>
      <c r="K149" s="4">
        <v>375</v>
      </c>
      <c r="L149" s="74">
        <v>16.75</v>
      </c>
      <c r="M149" s="4">
        <v>25</v>
      </c>
      <c r="N149" s="4"/>
      <c r="O149" s="74"/>
      <c r="P149" s="4"/>
      <c r="Q149" s="74"/>
    </row>
    <row r="150" spans="1:17">
      <c r="A150" s="4">
        <f t="shared" si="2"/>
        <v>12</v>
      </c>
      <c r="B150" s="4">
        <f>IF(J150="",0,IF('Chart Information'!$V$14=A150,B149+1,IF(B149=0,0,IF(A150=A149,B149+1,0))))</f>
        <v>0</v>
      </c>
      <c r="C150" s="76" t="s">
        <v>311</v>
      </c>
      <c r="D150" s="4" t="s">
        <v>294</v>
      </c>
      <c r="E150" s="4">
        <v>760</v>
      </c>
      <c r="F150" s="55">
        <v>22</v>
      </c>
      <c r="G150" s="55" t="s">
        <v>292</v>
      </c>
      <c r="H150" s="55" t="s">
        <v>298</v>
      </c>
      <c r="I150" s="74">
        <v>1.2</v>
      </c>
      <c r="J150" s="74">
        <v>5</v>
      </c>
      <c r="K150" s="4">
        <v>1350</v>
      </c>
      <c r="L150" s="74">
        <v>19</v>
      </c>
      <c r="M150" s="4">
        <v>36</v>
      </c>
      <c r="N150" s="4">
        <f>+K150</f>
        <v>1350</v>
      </c>
      <c r="O150" s="74">
        <f>+J150</f>
        <v>5</v>
      </c>
      <c r="P150" s="4">
        <f>+K156</f>
        <v>1610</v>
      </c>
      <c r="Q150" s="74">
        <f>+J156</f>
        <v>6.5</v>
      </c>
    </row>
    <row r="151" spans="1:17">
      <c r="A151" s="4">
        <f t="shared" si="2"/>
        <v>12</v>
      </c>
      <c r="B151" s="4">
        <f>IF(J151="",0,IF('Chart Information'!$V$14=A151,B150+1,IF(B150=0,0,IF(A151=A150,B150+1,0))))</f>
        <v>0</v>
      </c>
      <c r="C151" s="76"/>
      <c r="D151" s="4"/>
      <c r="E151" s="4"/>
      <c r="F151" s="55"/>
      <c r="G151" s="55"/>
      <c r="H151" s="55"/>
      <c r="I151" s="74">
        <v>1.2</v>
      </c>
      <c r="J151" s="74">
        <v>5.25</v>
      </c>
      <c r="K151" s="4">
        <v>1425</v>
      </c>
      <c r="L151" s="74">
        <v>19.5</v>
      </c>
      <c r="M151" s="4">
        <v>40</v>
      </c>
      <c r="N151" s="4"/>
      <c r="O151" s="74"/>
      <c r="P151" s="4"/>
      <c r="Q151" s="74"/>
    </row>
    <row r="152" spans="1:17">
      <c r="A152" s="4">
        <f t="shared" si="2"/>
        <v>12</v>
      </c>
      <c r="B152" s="4">
        <f>IF(J152="",0,IF('Chart Information'!$V$14=A152,B151+1,IF(B151=0,0,IF(A152=A151,B151+1,0))))</f>
        <v>0</v>
      </c>
      <c r="C152" s="76"/>
      <c r="D152" s="4"/>
      <c r="E152" s="4"/>
      <c r="F152" s="55"/>
      <c r="G152" s="55"/>
      <c r="H152" s="55"/>
      <c r="I152" s="74">
        <v>1.2</v>
      </c>
      <c r="J152" s="74">
        <v>5.5</v>
      </c>
      <c r="K152" s="4">
        <v>1500</v>
      </c>
      <c r="L152" s="74">
        <v>20</v>
      </c>
      <c r="M152" s="4">
        <v>41</v>
      </c>
      <c r="N152" s="4"/>
      <c r="O152" s="74"/>
      <c r="P152" s="4"/>
      <c r="Q152" s="74"/>
    </row>
    <row r="153" spans="1:17">
      <c r="A153" s="4">
        <f t="shared" si="2"/>
        <v>12</v>
      </c>
      <c r="B153" s="4">
        <f>IF(J153="",0,IF('Chart Information'!$V$14=A153,B152+1,IF(B152=0,0,IF(A153=A152,B152+1,0))))</f>
        <v>0</v>
      </c>
      <c r="C153" s="76"/>
      <c r="D153" s="4"/>
      <c r="E153" s="4"/>
      <c r="F153" s="55"/>
      <c r="G153" s="55"/>
      <c r="H153" s="55"/>
      <c r="I153" s="74">
        <v>1.2</v>
      </c>
      <c r="J153" s="74">
        <v>5.75</v>
      </c>
      <c r="K153" s="4">
        <v>1550</v>
      </c>
      <c r="L153" s="74">
        <v>21</v>
      </c>
      <c r="M153" s="4">
        <v>43</v>
      </c>
      <c r="N153" s="4"/>
      <c r="O153" s="74"/>
      <c r="P153" s="4"/>
      <c r="Q153" s="74"/>
    </row>
    <row r="154" spans="1:17">
      <c r="A154" s="4">
        <f t="shared" si="2"/>
        <v>12</v>
      </c>
      <c r="B154" s="4">
        <f>IF(J154="",0,IF('Chart Information'!$V$14=A154,B153+1,IF(B153=0,0,IF(A154=A153,B153+1,0))))</f>
        <v>0</v>
      </c>
      <c r="C154" s="76"/>
      <c r="D154" s="4"/>
      <c r="E154" s="4"/>
      <c r="F154" s="55"/>
      <c r="G154" s="55"/>
      <c r="H154" s="55"/>
      <c r="I154" s="74">
        <v>1.2</v>
      </c>
      <c r="J154" s="74">
        <v>6</v>
      </c>
      <c r="K154" s="4">
        <v>1575</v>
      </c>
      <c r="L154" s="74">
        <v>21</v>
      </c>
      <c r="M154" s="4">
        <v>45</v>
      </c>
      <c r="N154" s="4"/>
      <c r="O154" s="74"/>
      <c r="P154" s="4"/>
      <c r="Q154" s="74"/>
    </row>
    <row r="155" spans="1:17">
      <c r="A155" s="4">
        <f t="shared" si="2"/>
        <v>12</v>
      </c>
      <c r="B155" s="4">
        <f>IF(J155="",0,IF('Chart Information'!$V$14=A155,B154+1,IF(B154=0,0,IF(A155=A154,B154+1,0))))</f>
        <v>0</v>
      </c>
      <c r="C155" s="76"/>
      <c r="D155" s="4"/>
      <c r="E155" s="4"/>
      <c r="F155" s="55"/>
      <c r="G155" s="55"/>
      <c r="H155" s="55"/>
      <c r="I155" s="74">
        <v>1.2</v>
      </c>
      <c r="J155" s="74">
        <v>6.25</v>
      </c>
      <c r="K155" s="4">
        <v>1600</v>
      </c>
      <c r="L155" s="74">
        <v>21</v>
      </c>
      <c r="M155" s="4">
        <v>46</v>
      </c>
      <c r="N155" s="4"/>
      <c r="O155" s="74"/>
      <c r="P155" s="4"/>
      <c r="Q155" s="74"/>
    </row>
    <row r="156" spans="1:17">
      <c r="A156" s="4">
        <f t="shared" si="2"/>
        <v>12</v>
      </c>
      <c r="B156" s="4">
        <f>IF(J156="",0,IF('Chart Information'!$V$14=A156,B155+1,IF(B155=0,0,IF(A156=A155,B155+1,0))))</f>
        <v>0</v>
      </c>
      <c r="C156" s="76"/>
      <c r="D156" s="4"/>
      <c r="E156" s="4"/>
      <c r="F156" s="55"/>
      <c r="G156" s="55"/>
      <c r="H156" s="55"/>
      <c r="I156" s="74">
        <v>1.2</v>
      </c>
      <c r="J156" s="74">
        <v>6.5</v>
      </c>
      <c r="K156" s="4">
        <v>1610</v>
      </c>
      <c r="L156" s="74">
        <v>22</v>
      </c>
      <c r="M156" s="4">
        <v>50</v>
      </c>
      <c r="N156" s="4"/>
      <c r="O156" s="74"/>
      <c r="P156" s="4"/>
      <c r="Q156" s="74"/>
    </row>
    <row r="157" spans="1:17">
      <c r="A157" s="4">
        <f t="shared" si="2"/>
        <v>12</v>
      </c>
      <c r="B157" s="4">
        <f>IF(J157="",0,IF('Chart Information'!$V$14=A157,B156+1,IF(B156=0,0,IF(A157=A156,B156+1,0))))</f>
        <v>0</v>
      </c>
      <c r="C157" s="76"/>
      <c r="D157" s="4"/>
      <c r="E157" s="4"/>
      <c r="F157" s="55"/>
      <c r="G157" s="55"/>
      <c r="H157" s="55"/>
      <c r="I157" s="74">
        <v>1.2</v>
      </c>
      <c r="J157" s="74">
        <v>6.75</v>
      </c>
      <c r="K157" s="4">
        <v>1600</v>
      </c>
      <c r="L157" s="74">
        <v>22</v>
      </c>
      <c r="M157" s="4">
        <v>50</v>
      </c>
      <c r="N157" s="4"/>
      <c r="O157" s="74"/>
      <c r="P157" s="4"/>
      <c r="Q157" s="74"/>
    </row>
    <row r="158" spans="1:17">
      <c r="A158" s="4">
        <f t="shared" si="2"/>
        <v>12</v>
      </c>
      <c r="B158" s="4">
        <f>IF(J158="",0,IF('Chart Information'!$V$14=A158,B157+1,IF(B157=0,0,IF(A158=A157,B157+1,0))))</f>
        <v>0</v>
      </c>
      <c r="C158" s="76"/>
      <c r="D158" s="4"/>
      <c r="E158" s="4"/>
      <c r="F158" s="55"/>
      <c r="G158" s="55"/>
      <c r="H158" s="55"/>
      <c r="I158" s="74">
        <v>1.2</v>
      </c>
      <c r="J158" s="74">
        <v>7</v>
      </c>
      <c r="K158" s="4">
        <v>1575</v>
      </c>
      <c r="L158" s="74">
        <v>22</v>
      </c>
      <c r="M158" s="4">
        <v>50</v>
      </c>
      <c r="N158" s="4"/>
      <c r="O158" s="74"/>
      <c r="P158" s="4"/>
      <c r="Q158" s="74"/>
    </row>
    <row r="159" spans="1:17">
      <c r="A159" s="4">
        <f t="shared" si="2"/>
        <v>12</v>
      </c>
      <c r="B159" s="4">
        <f>IF(J159="",0,IF('Chart Information'!$V$14=A159,B158+1,IF(B158=0,0,IF(A159=A158,B158+1,0))))</f>
        <v>0</v>
      </c>
      <c r="C159" s="76"/>
      <c r="D159" s="4"/>
      <c r="E159" s="4"/>
      <c r="F159" s="55"/>
      <c r="G159" s="55"/>
      <c r="H159" s="55"/>
      <c r="I159" s="74">
        <v>1.2</v>
      </c>
      <c r="J159" s="74">
        <v>7.25</v>
      </c>
      <c r="K159" s="4">
        <v>1550</v>
      </c>
      <c r="L159" s="74">
        <v>22.5</v>
      </c>
      <c r="M159" s="4">
        <v>51</v>
      </c>
      <c r="N159" s="4"/>
      <c r="O159" s="74"/>
      <c r="P159" s="4"/>
      <c r="Q159" s="74"/>
    </row>
    <row r="160" spans="1:17">
      <c r="A160" s="4">
        <f t="shared" si="2"/>
        <v>12</v>
      </c>
      <c r="B160" s="4">
        <f>IF(J160="",0,IF('Chart Information'!$V$14=A160,B159+1,IF(B159=0,0,IF(A160=A159,B159+1,0))))</f>
        <v>0</v>
      </c>
      <c r="C160" s="76"/>
      <c r="D160" s="4"/>
      <c r="E160" s="4"/>
      <c r="F160" s="55"/>
      <c r="G160" s="55"/>
      <c r="H160" s="55"/>
      <c r="I160" s="74">
        <v>1.2</v>
      </c>
      <c r="J160" s="74">
        <v>7.5</v>
      </c>
      <c r="K160" s="4">
        <v>1510</v>
      </c>
      <c r="L160" s="74">
        <v>22.75</v>
      </c>
      <c r="M160" s="4">
        <v>52</v>
      </c>
      <c r="N160" s="4"/>
      <c r="O160" s="74"/>
      <c r="P160" s="4"/>
      <c r="Q160" s="74"/>
    </row>
    <row r="161" spans="1:17">
      <c r="A161" s="4">
        <f t="shared" si="2"/>
        <v>12</v>
      </c>
      <c r="B161" s="4">
        <f>IF(J161="",0,IF('Chart Information'!$V$14=A161,B160+1,IF(B160=0,0,IF(A161=A160,B160+1,0))))</f>
        <v>0</v>
      </c>
      <c r="C161" s="76"/>
      <c r="D161" s="4"/>
      <c r="E161" s="4"/>
      <c r="F161" s="55"/>
      <c r="G161" s="55"/>
      <c r="H161" s="55"/>
      <c r="I161" s="74">
        <v>1.2</v>
      </c>
      <c r="J161" s="74">
        <v>7.75</v>
      </c>
      <c r="K161" s="4">
        <v>1450</v>
      </c>
      <c r="L161" s="74">
        <v>23</v>
      </c>
      <c r="M161" s="4">
        <v>51</v>
      </c>
      <c r="N161" s="4"/>
      <c r="O161" s="74"/>
      <c r="P161" s="4"/>
      <c r="Q161" s="74"/>
    </row>
    <row r="162" spans="1:17">
      <c r="A162" s="4">
        <f t="shared" si="2"/>
        <v>12</v>
      </c>
      <c r="B162" s="4">
        <f>IF(J162="",0,IF('Chart Information'!$V$14=A162,B161+1,IF(B161=0,0,IF(A162=A161,B161+1,0))))</f>
        <v>0</v>
      </c>
      <c r="C162" s="76"/>
      <c r="D162" s="4"/>
      <c r="E162" s="4"/>
      <c r="F162" s="55"/>
      <c r="G162" s="55"/>
      <c r="H162" s="55"/>
      <c r="I162" s="74">
        <v>1.2</v>
      </c>
      <c r="J162" s="74">
        <v>8</v>
      </c>
      <c r="K162" s="4">
        <v>1375</v>
      </c>
      <c r="L162" s="74">
        <v>23</v>
      </c>
      <c r="M162" s="4">
        <v>55</v>
      </c>
      <c r="N162" s="4"/>
      <c r="O162" s="74"/>
      <c r="P162" s="4"/>
      <c r="Q162" s="74"/>
    </row>
    <row r="163" spans="1:17">
      <c r="A163" s="4">
        <f t="shared" si="2"/>
        <v>12</v>
      </c>
      <c r="B163" s="4">
        <f>IF(J163="",0,IF('Chart Information'!$V$14=A163,B162+1,IF(B162=0,0,IF(A163=A162,B162+1,0))))</f>
        <v>0</v>
      </c>
      <c r="C163" s="76"/>
      <c r="D163" s="4"/>
      <c r="E163" s="4"/>
      <c r="F163" s="55"/>
      <c r="G163" s="55"/>
      <c r="H163" s="55"/>
      <c r="I163" s="74">
        <v>1.2</v>
      </c>
      <c r="J163" s="74">
        <v>8.25</v>
      </c>
      <c r="K163" s="4">
        <v>1300</v>
      </c>
      <c r="L163" s="74">
        <v>23</v>
      </c>
      <c r="M163" s="4">
        <v>49</v>
      </c>
      <c r="N163" s="4"/>
      <c r="O163" s="74"/>
      <c r="P163" s="4"/>
      <c r="Q163" s="74"/>
    </row>
    <row r="164" spans="1:17">
      <c r="A164" s="4">
        <f t="shared" si="2"/>
        <v>12</v>
      </c>
      <c r="B164" s="4">
        <f>IF(J164="",0,IF('Chart Information'!$V$14=A164,B163+1,IF(B163=0,0,IF(A164=A163,B163+1,0))))</f>
        <v>0</v>
      </c>
      <c r="C164" s="76"/>
      <c r="D164" s="4"/>
      <c r="E164" s="4"/>
      <c r="F164" s="55"/>
      <c r="G164" s="55"/>
      <c r="H164" s="55"/>
      <c r="I164" s="74">
        <v>1.2</v>
      </c>
      <c r="J164" s="74">
        <v>8.5</v>
      </c>
      <c r="K164" s="4">
        <v>1200</v>
      </c>
      <c r="L164" s="74">
        <v>23</v>
      </c>
      <c r="M164" s="4">
        <v>47</v>
      </c>
      <c r="N164" s="4"/>
      <c r="O164" s="74"/>
      <c r="P164" s="4"/>
      <c r="Q164" s="74"/>
    </row>
    <row r="165" spans="1:17">
      <c r="A165" s="4">
        <f t="shared" si="2"/>
        <v>12</v>
      </c>
      <c r="B165" s="4">
        <f>IF(J165="",0,IF('Chart Information'!$V$14=A165,B164+1,IF(B164=0,0,IF(A165=A164,B164+1,0))))</f>
        <v>0</v>
      </c>
      <c r="C165" s="76"/>
      <c r="D165" s="4"/>
      <c r="E165" s="4"/>
      <c r="F165" s="55"/>
      <c r="G165" s="55"/>
      <c r="H165" s="55"/>
      <c r="I165" s="74">
        <v>1.2</v>
      </c>
      <c r="J165" s="74">
        <v>8.75</v>
      </c>
      <c r="K165" s="4">
        <v>1100</v>
      </c>
      <c r="L165" s="74">
        <v>22.75</v>
      </c>
      <c r="M165" s="4">
        <v>44</v>
      </c>
      <c r="N165" s="4"/>
      <c r="O165" s="74"/>
      <c r="P165" s="4"/>
      <c r="Q165" s="74"/>
    </row>
    <row r="166" spans="1:17">
      <c r="A166" s="4">
        <f t="shared" si="2"/>
        <v>12</v>
      </c>
      <c r="B166" s="4">
        <f>IF(J166="",0,IF('Chart Information'!$V$14=A166,B165+1,IF(B165=0,0,IF(A166=A165,B165+1,0))))</f>
        <v>0</v>
      </c>
      <c r="C166" s="76"/>
      <c r="D166" s="4"/>
      <c r="E166" s="4"/>
      <c r="F166" s="55"/>
      <c r="G166" s="55"/>
      <c r="H166" s="55"/>
      <c r="I166" s="74">
        <v>1.2</v>
      </c>
      <c r="J166" s="74">
        <v>9</v>
      </c>
      <c r="K166" s="4">
        <v>1000</v>
      </c>
      <c r="L166" s="74">
        <v>22.5</v>
      </c>
      <c r="M166" s="4">
        <v>41</v>
      </c>
      <c r="N166" s="4"/>
      <c r="O166" s="74"/>
      <c r="P166" s="4"/>
      <c r="Q166" s="74"/>
    </row>
    <row r="167" spans="1:17">
      <c r="A167" s="4">
        <f t="shared" si="2"/>
        <v>12</v>
      </c>
      <c r="B167" s="4">
        <f>IF(J167="",0,IF('Chart Information'!$V$14=A167,B166+1,IF(B166=0,0,IF(A167=A166,B166+1,0))))</f>
        <v>0</v>
      </c>
      <c r="C167" s="76"/>
      <c r="D167" s="4"/>
      <c r="E167" s="4"/>
      <c r="F167" s="55"/>
      <c r="G167" s="55"/>
      <c r="H167" s="55"/>
      <c r="I167" s="74">
        <v>1.2</v>
      </c>
      <c r="J167" s="74">
        <v>9.25</v>
      </c>
      <c r="K167" s="4">
        <v>900</v>
      </c>
      <c r="L167" s="74">
        <v>22</v>
      </c>
      <c r="M167" s="4">
        <v>38</v>
      </c>
      <c r="N167" s="4"/>
      <c r="O167" s="74"/>
      <c r="P167" s="4"/>
      <c r="Q167" s="74"/>
    </row>
    <row r="168" spans="1:17">
      <c r="A168" s="4">
        <f t="shared" si="2"/>
        <v>12</v>
      </c>
      <c r="B168" s="4">
        <f>IF(J168="",0,IF('Chart Information'!$V$14=A168,B167+1,IF(B167=0,0,IF(A168=A167,B167+1,0))))</f>
        <v>0</v>
      </c>
      <c r="C168" s="76"/>
      <c r="D168" s="4"/>
      <c r="E168" s="4"/>
      <c r="F168" s="55"/>
      <c r="G168" s="55"/>
      <c r="H168" s="55"/>
      <c r="I168" s="74">
        <v>1.2</v>
      </c>
      <c r="J168" s="74">
        <v>9.5</v>
      </c>
      <c r="K168" s="4">
        <v>775</v>
      </c>
      <c r="L168" s="74">
        <v>22</v>
      </c>
      <c r="M168" s="4">
        <v>34</v>
      </c>
      <c r="N168" s="4"/>
      <c r="O168" s="74"/>
      <c r="P168" s="4"/>
      <c r="Q168" s="74"/>
    </row>
    <row r="169" spans="1:17">
      <c r="A169" s="4">
        <f t="shared" si="2"/>
        <v>12</v>
      </c>
      <c r="B169" s="4">
        <f>IF(J169="",0,IF('Chart Information'!$V$14=A169,B168+1,IF(B168=0,0,IF(A169=A168,B168+1,0))))</f>
        <v>0</v>
      </c>
      <c r="C169" s="76"/>
      <c r="D169" s="4"/>
      <c r="E169" s="4"/>
      <c r="F169" s="55"/>
      <c r="G169" s="55"/>
      <c r="H169" s="55"/>
      <c r="I169" s="74">
        <v>1.2</v>
      </c>
      <c r="J169" s="74">
        <v>9.75</v>
      </c>
      <c r="K169" s="4">
        <v>650</v>
      </c>
      <c r="L169" s="74">
        <v>21.75</v>
      </c>
      <c r="M169" s="4">
        <v>28</v>
      </c>
      <c r="N169" s="4"/>
      <c r="O169" s="74"/>
      <c r="P169" s="4"/>
      <c r="Q169" s="74"/>
    </row>
    <row r="170" spans="1:17">
      <c r="A170" s="4">
        <f t="shared" si="2"/>
        <v>12</v>
      </c>
      <c r="B170" s="4">
        <f>IF(J170="",0,IF('Chart Information'!$V$14=A170,B169+1,IF(B169=0,0,IF(A170=A169,B169+1,0))))</f>
        <v>0</v>
      </c>
      <c r="C170" s="76"/>
      <c r="D170" s="4"/>
      <c r="E170" s="4"/>
      <c r="F170" s="55"/>
      <c r="G170" s="55"/>
      <c r="H170" s="55"/>
      <c r="I170" s="74">
        <v>1.2</v>
      </c>
      <c r="J170" s="74">
        <v>10</v>
      </c>
      <c r="K170" s="4">
        <v>525</v>
      </c>
      <c r="L170" s="74">
        <v>21.5</v>
      </c>
      <c r="M170" s="4">
        <v>24</v>
      </c>
      <c r="N170" s="4"/>
      <c r="O170" s="74"/>
      <c r="P170" s="4"/>
      <c r="Q170" s="74"/>
    </row>
    <row r="171" spans="1:17">
      <c r="A171" s="4">
        <f t="shared" si="2"/>
        <v>12</v>
      </c>
      <c r="B171" s="4">
        <f>IF(J171="",0,IF('Chart Information'!$V$14=A171,B170+1,IF(B170=0,0,IF(A171=A170,B170+1,0))))</f>
        <v>0</v>
      </c>
      <c r="C171" s="76"/>
      <c r="D171" s="4"/>
      <c r="E171" s="4"/>
      <c r="F171" s="55"/>
      <c r="G171" s="55"/>
      <c r="H171" s="55"/>
      <c r="I171" s="74">
        <v>1.2</v>
      </c>
      <c r="J171" s="74">
        <v>10.25</v>
      </c>
      <c r="K171" s="4">
        <v>400</v>
      </c>
      <c r="L171" s="74">
        <v>21</v>
      </c>
      <c r="M171" s="4">
        <v>18</v>
      </c>
      <c r="N171" s="4"/>
      <c r="O171" s="74"/>
      <c r="P171" s="4"/>
      <c r="Q171" s="74"/>
    </row>
    <row r="172" spans="1:17">
      <c r="A172" s="4">
        <f t="shared" si="2"/>
        <v>12</v>
      </c>
      <c r="B172" s="4">
        <f>IF(J172="",0,IF('Chart Information'!$V$14=A172,B171+1,IF(B171=0,0,IF(A172=A171,B171+1,0))))</f>
        <v>0</v>
      </c>
      <c r="C172" s="76"/>
      <c r="D172" s="4"/>
      <c r="E172" s="4"/>
      <c r="F172" s="55"/>
      <c r="G172" s="55"/>
      <c r="H172" s="55"/>
      <c r="I172" s="74">
        <v>1.2</v>
      </c>
      <c r="J172" s="74">
        <v>10.5</v>
      </c>
      <c r="K172" s="4">
        <v>250</v>
      </c>
      <c r="L172" s="74">
        <v>21</v>
      </c>
      <c r="M172" s="4">
        <v>10</v>
      </c>
      <c r="N172" s="4"/>
      <c r="O172" s="74"/>
      <c r="P172" s="4"/>
      <c r="Q172" s="74"/>
    </row>
    <row r="173" spans="1:17">
      <c r="A173" s="4">
        <f t="shared" si="2"/>
        <v>13</v>
      </c>
      <c r="B173" s="4">
        <f>IF(J173="",0,IF('Chart Information'!$V$14=A173,B172+1,IF(B172=0,0,IF(A173=A172,B172+1,0))))</f>
        <v>0</v>
      </c>
      <c r="C173" s="76" t="s">
        <v>310</v>
      </c>
      <c r="D173" s="4" t="s">
        <v>290</v>
      </c>
      <c r="E173" s="4">
        <v>760</v>
      </c>
      <c r="F173" s="55">
        <v>22</v>
      </c>
      <c r="G173" s="55" t="s">
        <v>293</v>
      </c>
      <c r="H173" s="55" t="s">
        <v>298</v>
      </c>
      <c r="I173" s="74">
        <v>1.2</v>
      </c>
      <c r="J173" s="74">
        <v>5.75</v>
      </c>
      <c r="K173" s="4">
        <v>1775</v>
      </c>
      <c r="L173" s="74">
        <v>21</v>
      </c>
      <c r="M173" s="4">
        <v>49</v>
      </c>
      <c r="N173" s="4">
        <f>+K173</f>
        <v>1775</v>
      </c>
      <c r="O173" s="74">
        <f>+J173</f>
        <v>5.75</v>
      </c>
      <c r="P173" s="4">
        <f>+K176</f>
        <v>1810</v>
      </c>
      <c r="Q173" s="74">
        <f>+J176</f>
        <v>6.5</v>
      </c>
    </row>
    <row r="174" spans="1:17">
      <c r="A174" s="4">
        <f t="shared" si="2"/>
        <v>13</v>
      </c>
      <c r="B174" s="4">
        <f>IF(J174="",0,IF('Chart Information'!$V$14=A174,B173+1,IF(B173=0,0,IF(A174=A173,B173+1,0))))</f>
        <v>0</v>
      </c>
      <c r="C174" s="76"/>
      <c r="D174" s="4"/>
      <c r="E174" s="4"/>
      <c r="F174" s="55"/>
      <c r="G174" s="55"/>
      <c r="H174" s="55"/>
      <c r="I174" s="74">
        <v>1.2</v>
      </c>
      <c r="J174" s="74">
        <v>6</v>
      </c>
      <c r="K174" s="4">
        <v>1800</v>
      </c>
      <c r="L174" s="74">
        <v>21</v>
      </c>
      <c r="M174" s="4">
        <v>51</v>
      </c>
      <c r="N174" s="4"/>
      <c r="O174" s="74"/>
      <c r="P174" s="4"/>
      <c r="Q174" s="74"/>
    </row>
    <row r="175" spans="1:17">
      <c r="A175" s="4">
        <f t="shared" si="2"/>
        <v>13</v>
      </c>
      <c r="B175" s="4">
        <f>IF(J175="",0,IF('Chart Information'!$V$14=A175,B174+1,IF(B174=0,0,IF(A175=A174,B174+1,0))))</f>
        <v>0</v>
      </c>
      <c r="C175" s="76"/>
      <c r="D175" s="4"/>
      <c r="E175" s="4"/>
      <c r="F175" s="55"/>
      <c r="G175" s="55"/>
      <c r="H175" s="55"/>
      <c r="I175" s="74">
        <v>1.2</v>
      </c>
      <c r="J175" s="74">
        <v>6.25</v>
      </c>
      <c r="K175" s="4">
        <v>1800</v>
      </c>
      <c r="L175" s="74">
        <v>22</v>
      </c>
      <c r="M175" s="4">
        <v>52</v>
      </c>
      <c r="N175" s="4"/>
      <c r="O175" s="74"/>
      <c r="P175" s="4"/>
      <c r="Q175" s="74"/>
    </row>
    <row r="176" spans="1:17">
      <c r="A176" s="4">
        <f t="shared" si="2"/>
        <v>13</v>
      </c>
      <c r="B176" s="4">
        <f>IF(J176="",0,IF('Chart Information'!$V$14=A176,B175+1,IF(B175=0,0,IF(A176=A175,B175+1,0))))</f>
        <v>0</v>
      </c>
      <c r="C176" s="76"/>
      <c r="D176" s="4"/>
      <c r="E176" s="4"/>
      <c r="F176" s="55"/>
      <c r="G176" s="55"/>
      <c r="H176" s="55"/>
      <c r="I176" s="74">
        <v>1.2</v>
      </c>
      <c r="J176" s="74">
        <v>6.5</v>
      </c>
      <c r="K176" s="4">
        <v>1810</v>
      </c>
      <c r="L176" s="74">
        <v>22</v>
      </c>
      <c r="M176" s="4">
        <v>54</v>
      </c>
      <c r="N176" s="4"/>
      <c r="O176" s="74"/>
      <c r="P176" s="4"/>
      <c r="Q176" s="74"/>
    </row>
    <row r="177" spans="1:17">
      <c r="A177" s="4">
        <f t="shared" si="2"/>
        <v>13</v>
      </c>
      <c r="B177" s="4">
        <f>IF(J177="",0,IF('Chart Information'!$V$14=A177,B176+1,IF(B176=0,0,IF(A177=A176,B176+1,0))))</f>
        <v>0</v>
      </c>
      <c r="C177" s="76"/>
      <c r="D177" s="4"/>
      <c r="E177" s="4"/>
      <c r="F177" s="55"/>
      <c r="G177" s="55"/>
      <c r="H177" s="55"/>
      <c r="I177" s="74">
        <v>1.2</v>
      </c>
      <c r="J177" s="74">
        <v>6.75</v>
      </c>
      <c r="K177" s="4">
        <v>1800</v>
      </c>
      <c r="L177" s="74">
        <v>22</v>
      </c>
      <c r="M177" s="4">
        <v>55</v>
      </c>
      <c r="N177" s="4"/>
      <c r="O177" s="74"/>
      <c r="P177" s="4"/>
      <c r="Q177" s="74"/>
    </row>
    <row r="178" spans="1:17">
      <c r="A178" s="4">
        <f t="shared" si="2"/>
        <v>13</v>
      </c>
      <c r="B178" s="4">
        <f>IF(J178="",0,IF('Chart Information'!$V$14=A178,B177+1,IF(B177=0,0,IF(A178=A177,B177+1,0))))</f>
        <v>0</v>
      </c>
      <c r="C178" s="76"/>
      <c r="D178" s="4"/>
      <c r="E178" s="4"/>
      <c r="F178" s="55"/>
      <c r="G178" s="55"/>
      <c r="H178" s="55"/>
      <c r="I178" s="74">
        <v>1.2</v>
      </c>
      <c r="J178" s="74">
        <v>7</v>
      </c>
      <c r="K178" s="4">
        <v>1775</v>
      </c>
      <c r="L178" s="74">
        <v>22</v>
      </c>
      <c r="M178" s="4">
        <v>56</v>
      </c>
      <c r="N178" s="4"/>
      <c r="O178" s="74"/>
      <c r="P178" s="4"/>
      <c r="Q178" s="74"/>
    </row>
    <row r="179" spans="1:17">
      <c r="A179" s="4">
        <f t="shared" si="2"/>
        <v>13</v>
      </c>
      <c r="B179" s="4">
        <f>IF(J179="",0,IF('Chart Information'!$V$14=A179,B178+1,IF(B178=0,0,IF(A179=A178,B178+1,0))))</f>
        <v>0</v>
      </c>
      <c r="C179" s="76"/>
      <c r="D179" s="4"/>
      <c r="E179" s="4"/>
      <c r="F179" s="55"/>
      <c r="G179" s="55"/>
      <c r="H179" s="55"/>
      <c r="I179" s="74">
        <v>1.2</v>
      </c>
      <c r="J179" s="74">
        <v>7.25</v>
      </c>
      <c r="K179" s="4">
        <v>1750</v>
      </c>
      <c r="L179" s="74">
        <v>22.5</v>
      </c>
      <c r="M179" s="4">
        <v>57</v>
      </c>
      <c r="N179" s="4"/>
      <c r="O179" s="74"/>
      <c r="P179" s="4"/>
      <c r="Q179" s="74"/>
    </row>
    <row r="180" spans="1:17">
      <c r="A180" s="4">
        <f t="shared" si="2"/>
        <v>13</v>
      </c>
      <c r="B180" s="4">
        <f>IF(J180="",0,IF('Chart Information'!$V$14=A180,B179+1,IF(B179=0,0,IF(A180=A179,B179+1,0))))</f>
        <v>0</v>
      </c>
      <c r="C180" s="76"/>
      <c r="D180" s="4"/>
      <c r="E180" s="4"/>
      <c r="F180" s="55"/>
      <c r="G180" s="55"/>
      <c r="H180" s="55"/>
      <c r="I180" s="74">
        <v>1.2</v>
      </c>
      <c r="J180" s="74">
        <v>7.5</v>
      </c>
      <c r="K180" s="4">
        <v>1700</v>
      </c>
      <c r="L180" s="74">
        <v>22.5</v>
      </c>
      <c r="M180" s="4">
        <v>58</v>
      </c>
      <c r="N180" s="4"/>
      <c r="O180" s="74"/>
      <c r="P180" s="4"/>
      <c r="Q180" s="74"/>
    </row>
    <row r="181" spans="1:17">
      <c r="A181" s="4">
        <f t="shared" si="2"/>
        <v>13</v>
      </c>
      <c r="B181" s="4">
        <f>IF(J181="",0,IF('Chart Information'!$V$14=A181,B180+1,IF(B180=0,0,IF(A181=A180,B180+1,0))))</f>
        <v>0</v>
      </c>
      <c r="C181" s="76"/>
      <c r="D181" s="4"/>
      <c r="E181" s="4"/>
      <c r="F181" s="55"/>
      <c r="G181" s="55"/>
      <c r="H181" s="55"/>
      <c r="I181" s="74">
        <v>1.2</v>
      </c>
      <c r="J181" s="74">
        <v>7.75</v>
      </c>
      <c r="K181" s="4">
        <v>1650</v>
      </c>
      <c r="L181" s="74">
        <v>22.5</v>
      </c>
      <c r="M181" s="4">
        <v>59</v>
      </c>
      <c r="N181" s="4"/>
      <c r="O181" s="74"/>
      <c r="P181" s="4"/>
      <c r="Q181" s="74"/>
    </row>
    <row r="182" spans="1:17">
      <c r="A182" s="4">
        <f t="shared" si="2"/>
        <v>13</v>
      </c>
      <c r="B182" s="4">
        <f>IF(J182="",0,IF('Chart Information'!$V$14=A182,B181+1,IF(B181=0,0,IF(A182=A181,B181+1,0))))</f>
        <v>0</v>
      </c>
      <c r="C182" s="76"/>
      <c r="D182" s="4"/>
      <c r="E182" s="4"/>
      <c r="F182" s="55"/>
      <c r="G182" s="55"/>
      <c r="H182" s="55"/>
      <c r="I182" s="74">
        <v>1.2</v>
      </c>
      <c r="J182" s="74">
        <v>8</v>
      </c>
      <c r="K182" s="4">
        <v>1575</v>
      </c>
      <c r="L182" s="74">
        <v>22</v>
      </c>
      <c r="M182" s="4">
        <v>59</v>
      </c>
      <c r="N182" s="4"/>
      <c r="O182" s="74"/>
      <c r="P182" s="4"/>
      <c r="Q182" s="74"/>
    </row>
    <row r="183" spans="1:17">
      <c r="A183" s="4">
        <f t="shared" si="2"/>
        <v>13</v>
      </c>
      <c r="B183" s="4">
        <f>IF(J183="",0,IF('Chart Information'!$V$14=A183,B182+1,IF(B182=0,0,IF(A183=A182,B182+1,0))))</f>
        <v>0</v>
      </c>
      <c r="C183" s="76"/>
      <c r="D183" s="4"/>
      <c r="E183" s="4"/>
      <c r="F183" s="55"/>
      <c r="G183" s="55"/>
      <c r="H183" s="55"/>
      <c r="I183" s="74">
        <v>1.2</v>
      </c>
      <c r="J183" s="74">
        <v>8.25</v>
      </c>
      <c r="K183" s="4">
        <v>1500</v>
      </c>
      <c r="L183" s="74">
        <v>22</v>
      </c>
      <c r="M183" s="4">
        <v>58</v>
      </c>
      <c r="N183" s="4"/>
      <c r="O183" s="74"/>
      <c r="P183" s="4"/>
      <c r="Q183" s="74"/>
    </row>
    <row r="184" spans="1:17">
      <c r="A184" s="4">
        <f t="shared" si="2"/>
        <v>13</v>
      </c>
      <c r="B184" s="4">
        <f>IF(J184="",0,IF('Chart Information'!$V$14=A184,B183+1,IF(B183=0,0,IF(A184=A183,B183+1,0))))</f>
        <v>0</v>
      </c>
      <c r="C184" s="76"/>
      <c r="D184" s="4"/>
      <c r="E184" s="4"/>
      <c r="F184" s="55"/>
      <c r="G184" s="55"/>
      <c r="H184" s="55"/>
      <c r="I184" s="74">
        <v>1.2</v>
      </c>
      <c r="J184" s="74">
        <v>8.5</v>
      </c>
      <c r="K184" s="4">
        <v>1425</v>
      </c>
      <c r="L184" s="74">
        <v>21</v>
      </c>
      <c r="M184" s="4">
        <v>57</v>
      </c>
      <c r="N184" s="4"/>
      <c r="O184" s="74"/>
      <c r="P184" s="4"/>
      <c r="Q184" s="74"/>
    </row>
    <row r="185" spans="1:17">
      <c r="A185" s="4">
        <f t="shared" si="2"/>
        <v>13</v>
      </c>
      <c r="B185" s="4">
        <f>IF(J185="",0,IF('Chart Information'!$V$14=A185,B184+1,IF(B184=0,0,IF(A185=A184,B184+1,0))))</f>
        <v>0</v>
      </c>
      <c r="C185" s="76"/>
      <c r="D185" s="4"/>
      <c r="E185" s="4"/>
      <c r="F185" s="55"/>
      <c r="G185" s="55"/>
      <c r="H185" s="55"/>
      <c r="I185" s="74">
        <v>1.2</v>
      </c>
      <c r="J185" s="74">
        <v>8.75</v>
      </c>
      <c r="K185" s="4">
        <v>1375</v>
      </c>
      <c r="L185" s="74">
        <v>21</v>
      </c>
      <c r="M185" s="4">
        <v>56</v>
      </c>
      <c r="N185" s="4"/>
      <c r="O185" s="74"/>
      <c r="P185" s="4"/>
      <c r="Q185" s="74"/>
    </row>
    <row r="186" spans="1:17">
      <c r="A186" s="4">
        <f t="shared" si="2"/>
        <v>13</v>
      </c>
      <c r="B186" s="4">
        <f>IF(J186="",0,IF('Chart Information'!$V$14=A186,B185+1,IF(B185=0,0,IF(A186=A185,B185+1,0))))</f>
        <v>0</v>
      </c>
      <c r="C186" s="76"/>
      <c r="D186" s="4"/>
      <c r="E186" s="4"/>
      <c r="F186" s="55"/>
      <c r="G186" s="55"/>
      <c r="H186" s="55"/>
      <c r="I186" s="74">
        <v>1.2</v>
      </c>
      <c r="J186" s="74">
        <v>9</v>
      </c>
      <c r="K186" s="4">
        <v>1285</v>
      </c>
      <c r="L186" s="74">
        <v>21</v>
      </c>
      <c r="M186" s="4">
        <v>55</v>
      </c>
      <c r="N186" s="4"/>
      <c r="O186" s="74"/>
      <c r="P186" s="4"/>
      <c r="Q186" s="74"/>
    </row>
    <row r="187" spans="1:17">
      <c r="A187" s="4">
        <f t="shared" si="2"/>
        <v>13</v>
      </c>
      <c r="B187" s="4">
        <f>IF(J187="",0,IF('Chart Information'!$V$14=A187,B186+1,IF(B186=0,0,IF(A187=A186,B186+1,0))))</f>
        <v>0</v>
      </c>
      <c r="C187" s="76"/>
      <c r="D187" s="4"/>
      <c r="E187" s="4"/>
      <c r="F187" s="55"/>
      <c r="G187" s="55"/>
      <c r="H187" s="55"/>
      <c r="I187" s="74">
        <v>1.2</v>
      </c>
      <c r="J187" s="74">
        <v>9.25</v>
      </c>
      <c r="K187" s="4">
        <v>1200</v>
      </c>
      <c r="L187" s="74">
        <v>20.5</v>
      </c>
      <c r="M187" s="4">
        <v>53</v>
      </c>
      <c r="N187" s="4"/>
      <c r="O187" s="74"/>
      <c r="P187" s="4"/>
      <c r="Q187" s="74"/>
    </row>
    <row r="188" spans="1:17">
      <c r="A188" s="4">
        <f t="shared" si="2"/>
        <v>13</v>
      </c>
      <c r="B188" s="4">
        <f>IF(J188="",0,IF('Chart Information'!$V$14=A188,B187+1,IF(B187=0,0,IF(A188=A187,B187+1,0))))</f>
        <v>0</v>
      </c>
      <c r="C188" s="76"/>
      <c r="D188" s="4"/>
      <c r="E188" s="4"/>
      <c r="F188" s="55"/>
      <c r="G188" s="55"/>
      <c r="H188" s="55"/>
      <c r="I188" s="74">
        <v>1.2</v>
      </c>
      <c r="J188" s="74">
        <v>9.5</v>
      </c>
      <c r="K188" s="4">
        <v>1100</v>
      </c>
      <c r="L188" s="74">
        <v>20.25</v>
      </c>
      <c r="M188" s="4">
        <v>50</v>
      </c>
      <c r="N188" s="4"/>
      <c r="O188" s="74"/>
      <c r="P188" s="4"/>
      <c r="Q188" s="74"/>
    </row>
    <row r="189" spans="1:17">
      <c r="A189" s="4">
        <f t="shared" si="2"/>
        <v>13</v>
      </c>
      <c r="B189" s="4">
        <f>IF(J189="",0,IF('Chart Information'!$V$14=A189,B188+1,IF(B188=0,0,IF(A189=A188,B188+1,0))))</f>
        <v>0</v>
      </c>
      <c r="C189" s="76"/>
      <c r="D189" s="4"/>
      <c r="E189" s="4"/>
      <c r="F189" s="55"/>
      <c r="G189" s="55"/>
      <c r="H189" s="55"/>
      <c r="I189" s="74">
        <v>1.2</v>
      </c>
      <c r="J189" s="74">
        <v>9.75</v>
      </c>
      <c r="K189" s="4">
        <v>1000</v>
      </c>
      <c r="L189" s="74">
        <v>20</v>
      </c>
      <c r="M189" s="4">
        <v>47</v>
      </c>
      <c r="N189" s="4"/>
      <c r="O189" s="74"/>
      <c r="P189" s="4"/>
      <c r="Q189" s="74"/>
    </row>
    <row r="190" spans="1:17">
      <c r="A190" s="4">
        <f t="shared" si="2"/>
        <v>13</v>
      </c>
      <c r="B190" s="4">
        <f>IF(J190="",0,IF('Chart Information'!$V$14=A190,B189+1,IF(B189=0,0,IF(A190=A189,B189+1,0))))</f>
        <v>0</v>
      </c>
      <c r="C190" s="76"/>
      <c r="D190" s="4"/>
      <c r="E190" s="4"/>
      <c r="F190" s="55"/>
      <c r="G190" s="55"/>
      <c r="H190" s="55"/>
      <c r="I190" s="74">
        <v>1.2</v>
      </c>
      <c r="J190" s="74">
        <v>10</v>
      </c>
      <c r="K190" s="4">
        <v>875</v>
      </c>
      <c r="L190" s="74">
        <v>20</v>
      </c>
      <c r="M190" s="4">
        <v>47</v>
      </c>
      <c r="N190" s="4"/>
      <c r="O190" s="74"/>
      <c r="P190" s="4"/>
      <c r="Q190" s="74"/>
    </row>
    <row r="191" spans="1:17">
      <c r="A191" s="4">
        <f t="shared" si="2"/>
        <v>13</v>
      </c>
      <c r="B191" s="4">
        <f>IF(J191="",0,IF('Chart Information'!$V$14=A191,B190+1,IF(B190=0,0,IF(A191=A190,B190+1,0))))</f>
        <v>0</v>
      </c>
      <c r="C191" s="76"/>
      <c r="D191" s="4"/>
      <c r="E191" s="4"/>
      <c r="F191" s="55"/>
      <c r="G191" s="55"/>
      <c r="H191" s="55"/>
      <c r="I191" s="74">
        <v>1.2</v>
      </c>
      <c r="J191" s="74">
        <v>10.25</v>
      </c>
      <c r="K191" s="4">
        <v>750</v>
      </c>
      <c r="L191" s="74">
        <v>19.75</v>
      </c>
      <c r="M191" s="4">
        <v>39</v>
      </c>
      <c r="N191" s="4"/>
      <c r="O191" s="74"/>
      <c r="P191" s="4"/>
      <c r="Q191" s="74"/>
    </row>
    <row r="192" spans="1:17">
      <c r="A192" s="4">
        <f t="shared" si="2"/>
        <v>13</v>
      </c>
      <c r="B192" s="4">
        <f>IF(J192="",0,IF('Chart Information'!$V$14=A192,B191+1,IF(B191=0,0,IF(A192=A191,B191+1,0))))</f>
        <v>0</v>
      </c>
      <c r="C192" s="76"/>
      <c r="D192" s="4"/>
      <c r="E192" s="4"/>
      <c r="F192" s="55"/>
      <c r="G192" s="55"/>
      <c r="H192" s="55"/>
      <c r="I192" s="74">
        <v>1.2</v>
      </c>
      <c r="J192" s="74">
        <v>10.5</v>
      </c>
      <c r="K192" s="4">
        <v>600</v>
      </c>
      <c r="L192" s="74">
        <v>19.5</v>
      </c>
      <c r="M192" s="4">
        <v>32</v>
      </c>
      <c r="N192" s="4"/>
      <c r="O192" s="74"/>
      <c r="P192" s="4"/>
      <c r="Q192" s="74"/>
    </row>
    <row r="193" spans="1:17">
      <c r="A193" s="4">
        <f t="shared" si="2"/>
        <v>13</v>
      </c>
      <c r="B193" s="4">
        <f>IF(J193="",0,IF('Chart Information'!$V$14=A193,B192+1,IF(B192=0,0,IF(A193=A192,B192+1,0))))</f>
        <v>0</v>
      </c>
      <c r="C193" s="76"/>
      <c r="D193" s="4"/>
      <c r="E193" s="4"/>
      <c r="F193" s="55"/>
      <c r="G193" s="55"/>
      <c r="H193" s="55"/>
      <c r="I193" s="74">
        <v>1.2</v>
      </c>
      <c r="J193" s="74">
        <v>10.75</v>
      </c>
      <c r="K193" s="4">
        <v>450</v>
      </c>
      <c r="L193" s="74">
        <v>19.25</v>
      </c>
      <c r="M193" s="4">
        <v>26</v>
      </c>
      <c r="N193" s="4"/>
      <c r="O193" s="74"/>
      <c r="P193" s="4"/>
      <c r="Q193" s="74"/>
    </row>
    <row r="194" spans="1:17">
      <c r="A194" s="4">
        <f t="shared" si="2"/>
        <v>13</v>
      </c>
      <c r="B194" s="4">
        <f>IF(J194="",0,IF('Chart Information'!$V$14=A194,B193+1,IF(B193=0,0,IF(A194=A193,B193+1,0))))</f>
        <v>0</v>
      </c>
      <c r="C194" s="76"/>
      <c r="D194" s="4"/>
      <c r="E194" s="4"/>
      <c r="F194" s="55"/>
      <c r="G194" s="55"/>
      <c r="H194" s="55"/>
      <c r="I194" s="74">
        <v>1.2</v>
      </c>
      <c r="J194" s="74">
        <v>11</v>
      </c>
      <c r="K194" s="4">
        <v>300</v>
      </c>
      <c r="L194" s="74">
        <v>18</v>
      </c>
      <c r="M194" s="4">
        <v>18</v>
      </c>
      <c r="N194" s="4"/>
      <c r="O194" s="74"/>
      <c r="P194" s="4"/>
      <c r="Q194" s="74"/>
    </row>
    <row r="195" spans="1:17">
      <c r="A195" s="4">
        <f t="shared" si="2"/>
        <v>13</v>
      </c>
      <c r="B195" s="4">
        <f>IF(J195="",0,IF('Chart Information'!$V$14=A195,B194+1,IF(B194=0,0,IF(A195=A194,B194+1,0))))</f>
        <v>0</v>
      </c>
      <c r="C195" s="76"/>
      <c r="D195" s="4"/>
      <c r="E195" s="4"/>
      <c r="F195" s="55"/>
      <c r="G195" s="55"/>
      <c r="H195" s="55"/>
      <c r="I195" s="74">
        <v>1.2</v>
      </c>
      <c r="J195" s="74">
        <v>11.25</v>
      </c>
      <c r="K195" s="4">
        <v>175</v>
      </c>
      <c r="L195" s="74">
        <v>18</v>
      </c>
      <c r="M195" s="4">
        <v>8</v>
      </c>
      <c r="N195" s="4"/>
      <c r="O195" s="74"/>
      <c r="P195" s="4"/>
      <c r="Q195" s="74"/>
    </row>
    <row r="196" spans="1:17">
      <c r="A196" s="4">
        <f t="shared" si="2"/>
        <v>14</v>
      </c>
      <c r="B196" s="4">
        <f>IF(J196="",0,IF('Chart Information'!$V$14=A196,B195+1,IF(B195=0,0,IF(A196=A195,B195+1,0))))</f>
        <v>0</v>
      </c>
      <c r="C196" s="76" t="s">
        <v>312</v>
      </c>
      <c r="D196" s="4" t="s">
        <v>290</v>
      </c>
      <c r="E196" s="4">
        <v>760</v>
      </c>
      <c r="F196" s="55">
        <v>22</v>
      </c>
      <c r="G196" s="55" t="s">
        <v>292</v>
      </c>
      <c r="H196" s="55" t="s">
        <v>298</v>
      </c>
      <c r="I196" s="74">
        <v>1.2</v>
      </c>
      <c r="J196" s="74">
        <v>5.25</v>
      </c>
      <c r="K196" s="4">
        <v>450</v>
      </c>
      <c r="L196" s="74">
        <v>13</v>
      </c>
      <c r="M196" s="4">
        <v>18</v>
      </c>
      <c r="N196" s="4">
        <f>+K196</f>
        <v>450</v>
      </c>
      <c r="O196" s="74">
        <f>+J196</f>
        <v>5.25</v>
      </c>
      <c r="P196" s="4">
        <f>+K208</f>
        <v>670</v>
      </c>
      <c r="Q196" s="74">
        <f>+J208</f>
        <v>8.25</v>
      </c>
    </row>
    <row r="197" spans="1:17">
      <c r="A197" s="4">
        <f t="shared" si="2"/>
        <v>14</v>
      </c>
      <c r="B197" s="4">
        <f>IF(J197="",0,IF('Chart Information'!$V$14=A197,B196+1,IF(B196=0,0,IF(A197=A196,B196+1,0))))</f>
        <v>0</v>
      </c>
      <c r="C197" s="76"/>
      <c r="D197" s="4"/>
      <c r="E197" s="4"/>
      <c r="F197" s="55"/>
      <c r="G197" s="55"/>
      <c r="H197" s="55"/>
      <c r="I197" s="74">
        <v>1.2</v>
      </c>
      <c r="J197" s="74">
        <v>5.5</v>
      </c>
      <c r="K197" s="4">
        <v>475</v>
      </c>
      <c r="L197" s="74">
        <v>13</v>
      </c>
      <c r="M197" s="4">
        <v>20</v>
      </c>
      <c r="N197" s="4"/>
      <c r="O197" s="74"/>
      <c r="P197" s="4"/>
      <c r="Q197" s="74"/>
    </row>
    <row r="198" spans="1:17">
      <c r="A198" s="4">
        <f t="shared" si="2"/>
        <v>14</v>
      </c>
      <c r="B198" s="4">
        <f>IF(J198="",0,IF('Chart Information'!$V$14=A198,B197+1,IF(B197=0,0,IF(A198=A197,B197+1,0))))</f>
        <v>0</v>
      </c>
      <c r="C198" s="76"/>
      <c r="D198" s="4"/>
      <c r="E198" s="4"/>
      <c r="F198" s="55"/>
      <c r="G198" s="55"/>
      <c r="H198" s="55"/>
      <c r="I198" s="74">
        <v>1.2</v>
      </c>
      <c r="J198" s="74">
        <v>5.75</v>
      </c>
      <c r="K198" s="4">
        <v>490</v>
      </c>
      <c r="L198" s="74">
        <v>13.5</v>
      </c>
      <c r="M198" s="4">
        <v>21</v>
      </c>
      <c r="N198" s="4"/>
      <c r="O198" s="74"/>
      <c r="P198" s="4"/>
      <c r="Q198" s="74"/>
    </row>
    <row r="199" spans="1:17">
      <c r="A199" s="4">
        <f t="shared" si="2"/>
        <v>14</v>
      </c>
      <c r="B199" s="4">
        <f>IF(J199="",0,IF('Chart Information'!$V$14=A199,B198+1,IF(B198=0,0,IF(A199=A198,B198+1,0))))</f>
        <v>0</v>
      </c>
      <c r="C199" s="76"/>
      <c r="D199" s="4"/>
      <c r="E199" s="4"/>
      <c r="F199" s="55"/>
      <c r="G199" s="55"/>
      <c r="H199" s="55"/>
      <c r="I199" s="74">
        <v>1.2</v>
      </c>
      <c r="J199" s="74">
        <v>6</v>
      </c>
      <c r="K199" s="4">
        <v>510</v>
      </c>
      <c r="L199" s="74">
        <v>14</v>
      </c>
      <c r="M199" s="4">
        <v>23</v>
      </c>
      <c r="N199" s="4"/>
      <c r="O199" s="74"/>
      <c r="P199" s="4"/>
      <c r="Q199" s="74"/>
    </row>
    <row r="200" spans="1:17">
      <c r="A200" s="4">
        <f t="shared" ref="A200:A263" si="3">IF(D200="",A199,A199+1)</f>
        <v>14</v>
      </c>
      <c r="B200" s="4">
        <f>IF(J200="",0,IF('Chart Information'!$V$14=A200,B199+1,IF(B199=0,0,IF(A200=A199,B199+1,0))))</f>
        <v>0</v>
      </c>
      <c r="C200" s="76"/>
      <c r="D200" s="4"/>
      <c r="E200" s="4"/>
      <c r="F200" s="55"/>
      <c r="G200" s="55"/>
      <c r="H200" s="55"/>
      <c r="I200" s="74">
        <v>1.2</v>
      </c>
      <c r="J200" s="74">
        <v>6.25</v>
      </c>
      <c r="K200" s="4">
        <v>535</v>
      </c>
      <c r="L200" s="74">
        <v>14</v>
      </c>
      <c r="M200" s="4">
        <v>24</v>
      </c>
      <c r="N200" s="4"/>
      <c r="O200" s="74"/>
      <c r="P200" s="4"/>
      <c r="Q200" s="74"/>
    </row>
    <row r="201" spans="1:17">
      <c r="A201" s="4">
        <f t="shared" si="3"/>
        <v>14</v>
      </c>
      <c r="B201" s="4">
        <f>IF(J201="",0,IF('Chart Information'!$V$14=A201,B200+1,IF(B200=0,0,IF(A201=A200,B200+1,0))))</f>
        <v>0</v>
      </c>
      <c r="C201" s="76"/>
      <c r="D201" s="4"/>
      <c r="E201" s="4"/>
      <c r="F201" s="55"/>
      <c r="G201" s="55"/>
      <c r="H201" s="55"/>
      <c r="I201" s="74">
        <v>1.2</v>
      </c>
      <c r="J201" s="74">
        <v>6.5</v>
      </c>
      <c r="K201" s="4">
        <v>560</v>
      </c>
      <c r="L201" s="74">
        <v>14</v>
      </c>
      <c r="M201" s="4">
        <v>25</v>
      </c>
      <c r="N201" s="4"/>
      <c r="O201" s="74"/>
      <c r="P201" s="4"/>
      <c r="Q201" s="74"/>
    </row>
    <row r="202" spans="1:17">
      <c r="A202" s="4">
        <f t="shared" si="3"/>
        <v>14</v>
      </c>
      <c r="B202" s="4">
        <f>IF(J202="",0,IF('Chart Information'!$V$14=A202,B201+1,IF(B201=0,0,IF(A202=A201,B201+1,0))))</f>
        <v>0</v>
      </c>
      <c r="C202" s="76"/>
      <c r="D202" s="4"/>
      <c r="E202" s="4"/>
      <c r="F202" s="55"/>
      <c r="G202" s="55"/>
      <c r="H202" s="55"/>
      <c r="I202" s="74">
        <v>1.2</v>
      </c>
      <c r="J202" s="74">
        <v>6.75</v>
      </c>
      <c r="K202" s="4">
        <v>590</v>
      </c>
      <c r="L202" s="74">
        <v>14</v>
      </c>
      <c r="M202" s="4">
        <v>27</v>
      </c>
      <c r="N202" s="4"/>
      <c r="O202" s="74"/>
      <c r="P202" s="4"/>
      <c r="Q202" s="74"/>
    </row>
    <row r="203" spans="1:17">
      <c r="A203" s="4">
        <f t="shared" si="3"/>
        <v>14</v>
      </c>
      <c r="B203" s="4">
        <f>IF(J203="",0,IF('Chart Information'!$V$14=A203,B202+1,IF(B202=0,0,IF(A203=A202,B202+1,0))))</f>
        <v>0</v>
      </c>
      <c r="C203" s="76"/>
      <c r="D203" s="4"/>
      <c r="E203" s="4"/>
      <c r="F203" s="55"/>
      <c r="G203" s="55"/>
      <c r="H203" s="55"/>
      <c r="I203" s="74">
        <v>1.2</v>
      </c>
      <c r="J203" s="74">
        <v>7</v>
      </c>
      <c r="K203" s="4">
        <v>610</v>
      </c>
      <c r="L203" s="74">
        <v>14</v>
      </c>
      <c r="M203" s="4">
        <v>29</v>
      </c>
      <c r="N203" s="4"/>
      <c r="O203" s="74"/>
      <c r="P203" s="4"/>
      <c r="Q203" s="74"/>
    </row>
    <row r="204" spans="1:17">
      <c r="A204" s="4">
        <f t="shared" si="3"/>
        <v>14</v>
      </c>
      <c r="B204" s="4">
        <f>IF(J204="",0,IF('Chart Information'!$V$14=A204,B203+1,IF(B203=0,0,IF(A204=A203,B203+1,0))))</f>
        <v>0</v>
      </c>
      <c r="C204" s="76"/>
      <c r="D204" s="4"/>
      <c r="E204" s="4"/>
      <c r="F204" s="55"/>
      <c r="G204" s="55"/>
      <c r="H204" s="55"/>
      <c r="I204" s="74">
        <v>1.2</v>
      </c>
      <c r="J204" s="74">
        <v>7.25</v>
      </c>
      <c r="K204" s="4">
        <v>625</v>
      </c>
      <c r="L204" s="74">
        <v>14</v>
      </c>
      <c r="M204" s="4">
        <v>31</v>
      </c>
      <c r="N204" s="4"/>
      <c r="O204" s="74"/>
      <c r="P204" s="4"/>
      <c r="Q204" s="74"/>
    </row>
    <row r="205" spans="1:17">
      <c r="A205" s="4">
        <f t="shared" si="3"/>
        <v>14</v>
      </c>
      <c r="B205" s="4">
        <f>IF(J205="",0,IF('Chart Information'!$V$14=A205,B204+1,IF(B204=0,0,IF(A205=A204,B204+1,0))))</f>
        <v>0</v>
      </c>
      <c r="C205" s="76"/>
      <c r="D205" s="4"/>
      <c r="E205" s="4"/>
      <c r="F205" s="55"/>
      <c r="G205" s="55"/>
      <c r="H205" s="55"/>
      <c r="I205" s="74">
        <v>1.2</v>
      </c>
      <c r="J205" s="74">
        <v>7.5</v>
      </c>
      <c r="K205" s="4">
        <v>640</v>
      </c>
      <c r="L205" s="74">
        <v>14.5</v>
      </c>
      <c r="M205" s="4">
        <v>33</v>
      </c>
      <c r="N205" s="4"/>
      <c r="O205" s="74"/>
      <c r="P205" s="4"/>
      <c r="Q205" s="74"/>
    </row>
    <row r="206" spans="1:17">
      <c r="A206" s="4">
        <f t="shared" si="3"/>
        <v>14</v>
      </c>
      <c r="B206" s="4">
        <f>IF(J206="",0,IF('Chart Information'!$V$14=A206,B205+1,IF(B205=0,0,IF(A206=A205,B205+1,0))))</f>
        <v>0</v>
      </c>
      <c r="C206" s="76"/>
      <c r="D206" s="4"/>
      <c r="E206" s="4"/>
      <c r="F206" s="55"/>
      <c r="G206" s="55"/>
      <c r="H206" s="55"/>
      <c r="I206" s="74">
        <v>1.2</v>
      </c>
      <c r="J206" s="74">
        <v>7.75</v>
      </c>
      <c r="K206" s="4">
        <v>650</v>
      </c>
      <c r="L206" s="74">
        <v>14.75</v>
      </c>
      <c r="M206" s="4">
        <v>35</v>
      </c>
      <c r="N206" s="4"/>
      <c r="O206" s="74"/>
      <c r="P206" s="4"/>
      <c r="Q206" s="74"/>
    </row>
    <row r="207" spans="1:17">
      <c r="A207" s="4">
        <f t="shared" si="3"/>
        <v>14</v>
      </c>
      <c r="B207" s="4">
        <f>IF(J207="",0,IF('Chart Information'!$V$14=A207,B206+1,IF(B206=0,0,IF(A207=A206,B206+1,0))))</f>
        <v>0</v>
      </c>
      <c r="C207" s="76"/>
      <c r="D207" s="4"/>
      <c r="E207" s="4"/>
      <c r="F207" s="55"/>
      <c r="G207" s="55"/>
      <c r="H207" s="55"/>
      <c r="I207" s="74">
        <v>1.2</v>
      </c>
      <c r="J207" s="74">
        <v>8</v>
      </c>
      <c r="K207" s="4">
        <v>660</v>
      </c>
      <c r="L207" s="74">
        <v>15</v>
      </c>
      <c r="M207" s="4">
        <v>36</v>
      </c>
      <c r="N207" s="4"/>
      <c r="O207" s="74"/>
      <c r="P207" s="4"/>
      <c r="Q207" s="74"/>
    </row>
    <row r="208" spans="1:17">
      <c r="A208" s="4">
        <f t="shared" si="3"/>
        <v>14</v>
      </c>
      <c r="B208" s="4">
        <f>IF(J208="",0,IF('Chart Information'!$V$14=A208,B207+1,IF(B207=0,0,IF(A208=A207,B207+1,0))))</f>
        <v>0</v>
      </c>
      <c r="C208" s="76"/>
      <c r="D208" s="4"/>
      <c r="E208" s="4"/>
      <c r="F208" s="55"/>
      <c r="G208" s="55"/>
      <c r="H208" s="55"/>
      <c r="I208" s="74">
        <v>1.2</v>
      </c>
      <c r="J208" s="74">
        <v>8.25</v>
      </c>
      <c r="K208" s="4">
        <v>670</v>
      </c>
      <c r="L208" s="74">
        <v>15</v>
      </c>
      <c r="M208" s="4">
        <v>37</v>
      </c>
      <c r="N208" s="4"/>
      <c r="O208" s="74"/>
      <c r="P208" s="4"/>
      <c r="Q208" s="74"/>
    </row>
    <row r="209" spans="1:17">
      <c r="A209" s="4">
        <f t="shared" si="3"/>
        <v>14</v>
      </c>
      <c r="B209" s="4">
        <f>IF(J209="",0,IF('Chart Information'!$V$14=A209,B208+1,IF(B208=0,0,IF(A209=A208,B208+1,0))))</f>
        <v>0</v>
      </c>
      <c r="C209" s="76"/>
      <c r="D209" s="4"/>
      <c r="E209" s="4"/>
      <c r="F209" s="55"/>
      <c r="G209" s="55"/>
      <c r="H209" s="55"/>
      <c r="I209" s="74">
        <v>1.2</v>
      </c>
      <c r="J209" s="74">
        <v>8.5</v>
      </c>
      <c r="K209" s="4">
        <v>668</v>
      </c>
      <c r="L209" s="74">
        <v>15</v>
      </c>
      <c r="M209" s="4">
        <v>38</v>
      </c>
      <c r="N209" s="4"/>
      <c r="O209" s="74"/>
      <c r="P209" s="4"/>
      <c r="Q209" s="74"/>
    </row>
    <row r="210" spans="1:17">
      <c r="A210" s="4">
        <f t="shared" si="3"/>
        <v>14</v>
      </c>
      <c r="B210" s="4">
        <f>IF(J210="",0,IF('Chart Information'!$V$14=A210,B209+1,IF(B209=0,0,IF(A210=A209,B209+1,0))))</f>
        <v>0</v>
      </c>
      <c r="C210" s="76"/>
      <c r="D210" s="4"/>
      <c r="E210" s="4"/>
      <c r="F210" s="55"/>
      <c r="G210" s="55"/>
      <c r="H210" s="55"/>
      <c r="I210" s="74">
        <v>1.2</v>
      </c>
      <c r="J210" s="74">
        <v>8.75</v>
      </c>
      <c r="K210" s="4">
        <v>663</v>
      </c>
      <c r="L210" s="74">
        <v>15.25</v>
      </c>
      <c r="M210" s="4">
        <v>39</v>
      </c>
      <c r="N210" s="4"/>
      <c r="O210" s="74"/>
      <c r="P210" s="4"/>
      <c r="Q210" s="74"/>
    </row>
    <row r="211" spans="1:17">
      <c r="A211" s="4">
        <f t="shared" si="3"/>
        <v>14</v>
      </c>
      <c r="B211" s="4">
        <f>IF(J211="",0,IF('Chart Information'!$V$14=A211,B210+1,IF(B210=0,0,IF(A211=A210,B210+1,0))))</f>
        <v>0</v>
      </c>
      <c r="C211" s="76"/>
      <c r="D211" s="4"/>
      <c r="E211" s="4"/>
      <c r="F211" s="55"/>
      <c r="G211" s="55"/>
      <c r="H211" s="55"/>
      <c r="I211" s="74">
        <v>1.2</v>
      </c>
      <c r="J211" s="74">
        <v>9</v>
      </c>
      <c r="K211" s="4">
        <v>658</v>
      </c>
      <c r="L211" s="74">
        <v>15.25</v>
      </c>
      <c r="M211" s="4">
        <v>40</v>
      </c>
      <c r="N211" s="4"/>
      <c r="O211" s="74"/>
      <c r="P211" s="4"/>
      <c r="Q211" s="74"/>
    </row>
    <row r="212" spans="1:17">
      <c r="A212" s="4">
        <f t="shared" si="3"/>
        <v>14</v>
      </c>
      <c r="B212" s="4">
        <f>IF(J212="",0,IF('Chart Information'!$V$14=A212,B211+1,IF(B211=0,0,IF(A212=A211,B211+1,0))))</f>
        <v>0</v>
      </c>
      <c r="C212" s="76"/>
      <c r="D212" s="4"/>
      <c r="E212" s="4"/>
      <c r="F212" s="55"/>
      <c r="G212" s="55"/>
      <c r="H212" s="55"/>
      <c r="I212" s="74">
        <v>1.2</v>
      </c>
      <c r="J212" s="74">
        <v>9.25</v>
      </c>
      <c r="K212" s="4">
        <v>650</v>
      </c>
      <c r="L212" s="74">
        <v>15.5</v>
      </c>
      <c r="M212" s="4">
        <v>40</v>
      </c>
      <c r="N212" s="4"/>
      <c r="O212" s="74"/>
      <c r="P212" s="4"/>
      <c r="Q212" s="74"/>
    </row>
    <row r="213" spans="1:17">
      <c r="A213" s="4">
        <f t="shared" si="3"/>
        <v>14</v>
      </c>
      <c r="B213" s="4">
        <f>IF(J213="",0,IF('Chart Information'!$V$14=A213,B212+1,IF(B212=0,0,IF(A213=A212,B212+1,0))))</f>
        <v>0</v>
      </c>
      <c r="C213" s="76"/>
      <c r="D213" s="4"/>
      <c r="E213" s="4"/>
      <c r="F213" s="55"/>
      <c r="G213" s="55"/>
      <c r="H213" s="55"/>
      <c r="I213" s="74">
        <v>1.2</v>
      </c>
      <c r="J213" s="74">
        <v>9.5</v>
      </c>
      <c r="K213" s="4">
        <v>640</v>
      </c>
      <c r="L213" s="74">
        <v>15.5</v>
      </c>
      <c r="M213" s="4">
        <v>40</v>
      </c>
      <c r="N213" s="4"/>
      <c r="O213" s="74"/>
      <c r="P213" s="4"/>
      <c r="Q213" s="74"/>
    </row>
    <row r="214" spans="1:17">
      <c r="A214" s="4">
        <f t="shared" si="3"/>
        <v>14</v>
      </c>
      <c r="B214" s="4">
        <f>IF(J214="",0,IF('Chart Information'!$V$14=A214,B213+1,IF(B213=0,0,IF(A214=A213,B213+1,0))))</f>
        <v>0</v>
      </c>
      <c r="C214" s="76"/>
      <c r="D214" s="4"/>
      <c r="E214" s="4"/>
      <c r="F214" s="55"/>
      <c r="G214" s="55"/>
      <c r="H214" s="55"/>
      <c r="I214" s="74">
        <v>1.2</v>
      </c>
      <c r="J214" s="74">
        <v>9.75</v>
      </c>
      <c r="K214" s="4">
        <v>625</v>
      </c>
      <c r="L214" s="74">
        <v>15.75</v>
      </c>
      <c r="M214" s="4">
        <v>39</v>
      </c>
      <c r="N214" s="4"/>
      <c r="O214" s="74"/>
      <c r="P214" s="4"/>
      <c r="Q214" s="74"/>
    </row>
    <row r="215" spans="1:17">
      <c r="A215" s="4">
        <f t="shared" si="3"/>
        <v>14</v>
      </c>
      <c r="B215" s="4">
        <f>IF(J215="",0,IF('Chart Information'!$V$14=A215,B214+1,IF(B214=0,0,IF(A215=A214,B214+1,0))))</f>
        <v>0</v>
      </c>
      <c r="C215" s="76"/>
      <c r="D215" s="4"/>
      <c r="E215" s="4"/>
      <c r="F215" s="55"/>
      <c r="G215" s="55"/>
      <c r="H215" s="55"/>
      <c r="I215" s="74">
        <v>1.2</v>
      </c>
      <c r="J215" s="74">
        <v>10</v>
      </c>
      <c r="K215" s="4">
        <v>600</v>
      </c>
      <c r="L215" s="74">
        <v>16</v>
      </c>
      <c r="M215" s="4">
        <v>38</v>
      </c>
      <c r="N215" s="4"/>
      <c r="O215" s="74"/>
      <c r="P215" s="4"/>
      <c r="Q215" s="74"/>
    </row>
    <row r="216" spans="1:17">
      <c r="A216" s="4">
        <f t="shared" si="3"/>
        <v>14</v>
      </c>
      <c r="B216" s="4">
        <f>IF(J216="",0,IF('Chart Information'!$V$14=A216,B215+1,IF(B215=0,0,IF(A216=A215,B215+1,0))))</f>
        <v>0</v>
      </c>
      <c r="C216" s="76"/>
      <c r="D216" s="4"/>
      <c r="E216" s="4"/>
      <c r="F216" s="55"/>
      <c r="G216" s="55"/>
      <c r="H216" s="55"/>
      <c r="I216" s="74">
        <v>1.2</v>
      </c>
      <c r="J216" s="74">
        <v>10.25</v>
      </c>
      <c r="K216" s="4">
        <v>570</v>
      </c>
      <c r="L216" s="74">
        <v>16</v>
      </c>
      <c r="M216" s="4">
        <v>37</v>
      </c>
      <c r="N216" s="4"/>
      <c r="O216" s="74"/>
      <c r="P216" s="4"/>
      <c r="Q216" s="74"/>
    </row>
    <row r="217" spans="1:17">
      <c r="A217" s="4">
        <f t="shared" si="3"/>
        <v>14</v>
      </c>
      <c r="B217" s="4">
        <f>IF(J217="",0,IF('Chart Information'!$V$14=A217,B216+1,IF(B216=0,0,IF(A217=A216,B216+1,0))))</f>
        <v>0</v>
      </c>
      <c r="C217" s="76"/>
      <c r="D217" s="4"/>
      <c r="E217" s="4"/>
      <c r="F217" s="55"/>
      <c r="G217" s="55"/>
      <c r="H217" s="55"/>
      <c r="I217" s="74">
        <v>1.2</v>
      </c>
      <c r="J217" s="74">
        <v>10.5</v>
      </c>
      <c r="K217" s="4">
        <v>525</v>
      </c>
      <c r="L217" s="74">
        <v>16</v>
      </c>
      <c r="M217" s="4">
        <v>35</v>
      </c>
      <c r="N217" s="4"/>
      <c r="O217" s="74"/>
      <c r="P217" s="4"/>
      <c r="Q217" s="74"/>
    </row>
    <row r="218" spans="1:17">
      <c r="A218" s="4">
        <f t="shared" si="3"/>
        <v>14</v>
      </c>
      <c r="B218" s="4">
        <f>IF(J218="",0,IF('Chart Information'!$V$14=A218,B217+1,IF(B217=0,0,IF(A218=A217,B217+1,0))))</f>
        <v>0</v>
      </c>
      <c r="C218" s="76"/>
      <c r="D218" s="4"/>
      <c r="E218" s="4"/>
      <c r="F218" s="55"/>
      <c r="G218" s="55"/>
      <c r="H218" s="55"/>
      <c r="I218" s="74">
        <v>1.2</v>
      </c>
      <c r="J218" s="74">
        <v>10.75</v>
      </c>
      <c r="K218" s="4">
        <v>475</v>
      </c>
      <c r="L218" s="74">
        <v>16</v>
      </c>
      <c r="M218" s="4">
        <v>32</v>
      </c>
      <c r="N218" s="4"/>
      <c r="O218" s="74"/>
      <c r="P218" s="4"/>
      <c r="Q218" s="74"/>
    </row>
    <row r="219" spans="1:17">
      <c r="A219" s="4">
        <f t="shared" si="3"/>
        <v>14</v>
      </c>
      <c r="B219" s="4">
        <f>IF(J219="",0,IF('Chart Information'!$V$14=A219,B218+1,IF(B218=0,0,IF(A219=A218,B218+1,0))))</f>
        <v>0</v>
      </c>
      <c r="C219" s="76"/>
      <c r="D219" s="4"/>
      <c r="E219" s="4"/>
      <c r="F219" s="55"/>
      <c r="G219" s="55"/>
      <c r="H219" s="55"/>
      <c r="I219" s="74">
        <v>1.2</v>
      </c>
      <c r="J219" s="74">
        <v>11</v>
      </c>
      <c r="K219" s="4">
        <v>400</v>
      </c>
      <c r="L219" s="74">
        <v>16</v>
      </c>
      <c r="M219" s="4">
        <v>28</v>
      </c>
      <c r="N219" s="4"/>
      <c r="O219" s="74"/>
      <c r="P219" s="4"/>
      <c r="Q219" s="74"/>
    </row>
    <row r="220" spans="1:17">
      <c r="A220" s="4">
        <f t="shared" si="3"/>
        <v>14</v>
      </c>
      <c r="B220" s="4">
        <f>IF(J220="",0,IF('Chart Information'!$V$14=A220,B219+1,IF(B219=0,0,IF(A220=A219,B219+1,0))))</f>
        <v>0</v>
      </c>
      <c r="C220" s="76"/>
      <c r="D220" s="4"/>
      <c r="E220" s="4"/>
      <c r="F220" s="55"/>
      <c r="G220" s="55"/>
      <c r="H220" s="55"/>
      <c r="I220" s="74">
        <v>1.2</v>
      </c>
      <c r="J220" s="74">
        <v>11.25</v>
      </c>
      <c r="K220" s="4">
        <v>275</v>
      </c>
      <c r="L220" s="74">
        <v>16</v>
      </c>
      <c r="M220" s="4">
        <v>24</v>
      </c>
      <c r="N220" s="4"/>
      <c r="O220" s="74"/>
      <c r="P220" s="4"/>
      <c r="Q220" s="74"/>
    </row>
    <row r="221" spans="1:17">
      <c r="A221" s="4">
        <f t="shared" si="3"/>
        <v>14</v>
      </c>
      <c r="B221" s="4">
        <f>IF(J221="",0,IF('Chart Information'!$V$14=A221,B220+1,IF(B220=0,0,IF(A221=A220,B220+1,0))))</f>
        <v>0</v>
      </c>
      <c r="C221" s="76"/>
      <c r="D221" s="4"/>
      <c r="E221" s="4"/>
      <c r="F221" s="55"/>
      <c r="G221" s="55"/>
      <c r="H221" s="55"/>
      <c r="I221" s="74">
        <v>1.2</v>
      </c>
      <c r="J221" s="74">
        <v>11.5</v>
      </c>
      <c r="K221" s="4">
        <v>230</v>
      </c>
      <c r="L221" s="74">
        <v>15.75</v>
      </c>
      <c r="M221" s="4">
        <v>20</v>
      </c>
      <c r="N221" s="4"/>
      <c r="O221" s="74"/>
      <c r="P221" s="4"/>
      <c r="Q221" s="74"/>
    </row>
    <row r="222" spans="1:17">
      <c r="A222" s="4">
        <f t="shared" si="3"/>
        <v>14</v>
      </c>
      <c r="B222" s="4">
        <f>IF(J222="",0,IF('Chart Information'!$V$14=A222,B221+1,IF(B221=0,0,IF(A222=A221,B221+1,0))))</f>
        <v>0</v>
      </c>
      <c r="C222" s="76"/>
      <c r="D222" s="4"/>
      <c r="E222" s="4"/>
      <c r="F222" s="55"/>
      <c r="G222" s="55"/>
      <c r="H222" s="55"/>
      <c r="I222" s="74">
        <v>1.2</v>
      </c>
      <c r="J222" s="74">
        <v>11.75</v>
      </c>
      <c r="K222" s="4">
        <v>200</v>
      </c>
      <c r="L222" s="74">
        <v>15.5</v>
      </c>
      <c r="M222" s="4">
        <v>15</v>
      </c>
      <c r="N222" s="4"/>
      <c r="O222" s="74"/>
      <c r="P222" s="4"/>
      <c r="Q222" s="74"/>
    </row>
    <row r="223" spans="1:17">
      <c r="A223" s="4">
        <f t="shared" si="3"/>
        <v>15</v>
      </c>
      <c r="B223" s="4">
        <f>IF(J223="",0,IF('Chart Information'!$V$14=A223,B222+1,IF(B222=0,0,IF(A223=A222,B222+1,0))))</f>
        <v>0</v>
      </c>
      <c r="C223" s="76" t="s">
        <v>313</v>
      </c>
      <c r="D223" s="4" t="s">
        <v>290</v>
      </c>
      <c r="E223" s="4">
        <v>760</v>
      </c>
      <c r="F223" s="55">
        <v>30</v>
      </c>
      <c r="G223" s="55" t="s">
        <v>293</v>
      </c>
      <c r="H223" s="55" t="s">
        <v>298</v>
      </c>
      <c r="I223" s="74">
        <v>1.2</v>
      </c>
      <c r="J223" s="74">
        <v>6.25</v>
      </c>
      <c r="K223" s="4">
        <v>1875</v>
      </c>
      <c r="L223" s="74">
        <v>27</v>
      </c>
      <c r="M223" s="4">
        <v>43</v>
      </c>
      <c r="N223" s="4">
        <f>+K223</f>
        <v>1875</v>
      </c>
      <c r="O223" s="74">
        <f>+J223</f>
        <v>6.25</v>
      </c>
      <c r="P223" s="4">
        <f>+K225</f>
        <v>1925</v>
      </c>
      <c r="Q223" s="74">
        <f>+J225</f>
        <v>6.75</v>
      </c>
    </row>
    <row r="224" spans="1:17">
      <c r="A224" s="4">
        <f t="shared" si="3"/>
        <v>15</v>
      </c>
      <c r="B224" s="4">
        <f>IF(J224="",0,IF('Chart Information'!$V$14=A224,B223+1,IF(B223=0,0,IF(A224=A223,B223+1,0))))</f>
        <v>0</v>
      </c>
      <c r="C224" s="76"/>
      <c r="D224" s="4"/>
      <c r="E224" s="4"/>
      <c r="F224" s="55"/>
      <c r="G224" s="55"/>
      <c r="H224" s="55"/>
      <c r="I224" s="74">
        <v>1.2</v>
      </c>
      <c r="J224" s="74">
        <v>6.5</v>
      </c>
      <c r="K224" s="4">
        <v>1900</v>
      </c>
      <c r="L224" s="74">
        <v>27</v>
      </c>
      <c r="M224" s="4">
        <v>45</v>
      </c>
      <c r="N224" s="4"/>
      <c r="O224" s="74"/>
      <c r="P224" s="4"/>
      <c r="Q224" s="74"/>
    </row>
    <row r="225" spans="1:17">
      <c r="A225" s="4">
        <f t="shared" si="3"/>
        <v>15</v>
      </c>
      <c r="B225" s="4">
        <f>IF(J225="",0,IF('Chart Information'!$V$14=A225,B224+1,IF(B224=0,0,IF(A225=A224,B224+1,0))))</f>
        <v>0</v>
      </c>
      <c r="C225" s="76"/>
      <c r="D225" s="4"/>
      <c r="E225" s="4"/>
      <c r="F225" s="55"/>
      <c r="G225" s="55"/>
      <c r="H225" s="55"/>
      <c r="I225" s="74">
        <v>1.2</v>
      </c>
      <c r="J225" s="74">
        <v>6.75</v>
      </c>
      <c r="K225" s="4">
        <v>1925</v>
      </c>
      <c r="L225" s="74">
        <v>27.25</v>
      </c>
      <c r="M225" s="4">
        <v>47</v>
      </c>
      <c r="N225" s="4"/>
      <c r="O225" s="74"/>
      <c r="P225" s="4"/>
      <c r="Q225" s="74"/>
    </row>
    <row r="226" spans="1:17">
      <c r="A226" s="4">
        <f t="shared" si="3"/>
        <v>15</v>
      </c>
      <c r="B226" s="4">
        <f>IF(J226="",0,IF('Chart Information'!$V$14=A226,B225+1,IF(B225=0,0,IF(A226=A225,B225+1,0))))</f>
        <v>0</v>
      </c>
      <c r="C226" s="76"/>
      <c r="D226" s="4"/>
      <c r="E226" s="4"/>
      <c r="F226" s="55"/>
      <c r="G226" s="55"/>
      <c r="H226" s="55"/>
      <c r="I226" s="74">
        <v>1.2</v>
      </c>
      <c r="J226" s="74">
        <v>7</v>
      </c>
      <c r="K226" s="4">
        <v>1920</v>
      </c>
      <c r="L226" s="74">
        <v>28</v>
      </c>
      <c r="M226" s="4">
        <v>50</v>
      </c>
      <c r="N226" s="4"/>
      <c r="O226" s="74"/>
      <c r="P226" s="4"/>
      <c r="Q226" s="74"/>
    </row>
    <row r="227" spans="1:17">
      <c r="A227" s="4">
        <f t="shared" si="3"/>
        <v>15</v>
      </c>
      <c r="B227" s="4">
        <f>IF(J227="",0,IF('Chart Information'!$V$14=A227,B226+1,IF(B226=0,0,IF(A227=A226,B226+1,0))))</f>
        <v>0</v>
      </c>
      <c r="C227" s="76"/>
      <c r="D227" s="4"/>
      <c r="E227" s="4"/>
      <c r="F227" s="55"/>
      <c r="G227" s="55"/>
      <c r="H227" s="55"/>
      <c r="I227" s="74">
        <v>1.2</v>
      </c>
      <c r="J227" s="74">
        <v>7.25</v>
      </c>
      <c r="K227" s="4">
        <v>1900</v>
      </c>
      <c r="L227" s="74">
        <v>28</v>
      </c>
      <c r="M227" s="4">
        <v>51</v>
      </c>
      <c r="N227" s="4"/>
      <c r="O227" s="74"/>
      <c r="P227" s="4"/>
      <c r="Q227" s="74"/>
    </row>
    <row r="228" spans="1:17">
      <c r="A228" s="4">
        <f t="shared" si="3"/>
        <v>15</v>
      </c>
      <c r="B228" s="4">
        <f>IF(J228="",0,IF('Chart Information'!$V$14=A228,B227+1,IF(B227=0,0,IF(A228=A227,B227+1,0))))</f>
        <v>0</v>
      </c>
      <c r="C228" s="76"/>
      <c r="D228" s="4"/>
      <c r="E228" s="4"/>
      <c r="F228" s="55"/>
      <c r="G228" s="55"/>
      <c r="H228" s="55"/>
      <c r="I228" s="74">
        <v>1.2</v>
      </c>
      <c r="J228" s="74">
        <v>7.5</v>
      </c>
      <c r="K228" s="4">
        <v>1890</v>
      </c>
      <c r="L228" s="74">
        <v>28</v>
      </c>
      <c r="M228" s="4">
        <v>53</v>
      </c>
      <c r="N228" s="4"/>
      <c r="O228" s="74"/>
      <c r="P228" s="4"/>
      <c r="Q228" s="74"/>
    </row>
    <row r="229" spans="1:17">
      <c r="A229" s="4">
        <f t="shared" si="3"/>
        <v>15</v>
      </c>
      <c r="B229" s="4">
        <f>IF(J229="",0,IF('Chart Information'!$V$14=A229,B228+1,IF(B228=0,0,IF(A229=A228,B228+1,0))))</f>
        <v>0</v>
      </c>
      <c r="C229" s="76"/>
      <c r="D229" s="4"/>
      <c r="E229" s="4"/>
      <c r="F229" s="55"/>
      <c r="G229" s="55"/>
      <c r="H229" s="55"/>
      <c r="I229" s="74">
        <v>1.2</v>
      </c>
      <c r="J229" s="74">
        <v>7.75</v>
      </c>
      <c r="K229" s="4">
        <v>1875</v>
      </c>
      <c r="L229" s="74">
        <v>28</v>
      </c>
      <c r="M229" s="4">
        <v>54</v>
      </c>
      <c r="N229" s="4"/>
      <c r="O229" s="74"/>
      <c r="P229" s="4"/>
      <c r="Q229" s="74"/>
    </row>
    <row r="230" spans="1:17">
      <c r="A230" s="4">
        <f t="shared" si="3"/>
        <v>15</v>
      </c>
      <c r="B230" s="4">
        <f>IF(J230="",0,IF('Chart Information'!$V$14=A230,B229+1,IF(B229=0,0,IF(A230=A229,B229+1,0))))</f>
        <v>0</v>
      </c>
      <c r="C230" s="76"/>
      <c r="D230" s="4"/>
      <c r="E230" s="4"/>
      <c r="F230" s="55"/>
      <c r="G230" s="55"/>
      <c r="H230" s="55"/>
      <c r="I230" s="74">
        <v>1.2</v>
      </c>
      <c r="J230" s="74">
        <v>8</v>
      </c>
      <c r="K230" s="4">
        <v>1850</v>
      </c>
      <c r="L230" s="74">
        <v>28</v>
      </c>
      <c r="M230" s="4">
        <v>55</v>
      </c>
      <c r="N230" s="4"/>
      <c r="O230" s="74"/>
      <c r="P230" s="4"/>
      <c r="Q230" s="74"/>
    </row>
    <row r="231" spans="1:17">
      <c r="A231" s="4">
        <f t="shared" si="3"/>
        <v>15</v>
      </c>
      <c r="B231" s="4">
        <f>IF(J231="",0,IF('Chart Information'!$V$14=A231,B230+1,IF(B230=0,0,IF(A231=A230,B230+1,0))))</f>
        <v>0</v>
      </c>
      <c r="C231" s="76"/>
      <c r="D231" s="4"/>
      <c r="E231" s="4"/>
      <c r="F231" s="55"/>
      <c r="G231" s="55"/>
      <c r="H231" s="55"/>
      <c r="I231" s="74">
        <v>1.2</v>
      </c>
      <c r="J231" s="74">
        <v>8.25</v>
      </c>
      <c r="K231" s="4">
        <v>1825</v>
      </c>
      <c r="L231" s="74">
        <v>28</v>
      </c>
      <c r="M231" s="4">
        <v>55</v>
      </c>
      <c r="N231" s="4"/>
      <c r="O231" s="74"/>
      <c r="P231" s="4"/>
      <c r="Q231" s="74"/>
    </row>
    <row r="232" spans="1:17">
      <c r="A232" s="4">
        <f t="shared" si="3"/>
        <v>15</v>
      </c>
      <c r="B232" s="4">
        <f>IF(J232="",0,IF('Chart Information'!$V$14=A232,B231+1,IF(B231=0,0,IF(A232=A231,B231+1,0))))</f>
        <v>0</v>
      </c>
      <c r="C232" s="76"/>
      <c r="D232" s="4"/>
      <c r="E232" s="4"/>
      <c r="F232" s="55"/>
      <c r="G232" s="55"/>
      <c r="H232" s="55"/>
      <c r="I232" s="74">
        <v>1.2</v>
      </c>
      <c r="J232" s="74">
        <v>8.5</v>
      </c>
      <c r="K232" s="4">
        <v>1775</v>
      </c>
      <c r="L232" s="74">
        <v>27.75</v>
      </c>
      <c r="M232" s="4">
        <v>55</v>
      </c>
      <c r="N232" s="4"/>
      <c r="O232" s="74"/>
      <c r="P232" s="4"/>
      <c r="Q232" s="74"/>
    </row>
    <row r="233" spans="1:17">
      <c r="A233" s="4">
        <f t="shared" si="3"/>
        <v>15</v>
      </c>
      <c r="B233" s="4">
        <f>IF(J233="",0,IF('Chart Information'!$V$14=A233,B232+1,IF(B232=0,0,IF(A233=A232,B232+1,0))))</f>
        <v>0</v>
      </c>
      <c r="C233" s="76"/>
      <c r="D233" s="4"/>
      <c r="E233" s="4"/>
      <c r="F233" s="55"/>
      <c r="G233" s="55"/>
      <c r="H233" s="55"/>
      <c r="I233" s="74">
        <v>1.2</v>
      </c>
      <c r="J233" s="74">
        <v>8.75</v>
      </c>
      <c r="K233" s="4">
        <v>1725</v>
      </c>
      <c r="L233" s="74">
        <v>27.75</v>
      </c>
      <c r="M233" s="4">
        <v>55</v>
      </c>
      <c r="N233" s="4"/>
      <c r="O233" s="74"/>
      <c r="P233" s="4"/>
      <c r="Q233" s="74"/>
    </row>
    <row r="234" spans="1:17">
      <c r="A234" s="4">
        <f t="shared" si="3"/>
        <v>15</v>
      </c>
      <c r="B234" s="4">
        <f>IF(J234="",0,IF('Chart Information'!$V$14=A234,B233+1,IF(B233=0,0,IF(A234=A233,B233+1,0))))</f>
        <v>0</v>
      </c>
      <c r="C234" s="76"/>
      <c r="D234" s="4"/>
      <c r="E234" s="4"/>
      <c r="F234" s="55"/>
      <c r="G234" s="55"/>
      <c r="H234" s="55"/>
      <c r="I234" s="74">
        <v>1.2</v>
      </c>
      <c r="J234" s="74">
        <v>9</v>
      </c>
      <c r="K234" s="4">
        <v>1650</v>
      </c>
      <c r="L234" s="74">
        <v>27.5</v>
      </c>
      <c r="M234" s="4">
        <v>55</v>
      </c>
      <c r="N234" s="4"/>
      <c r="O234" s="74"/>
      <c r="P234" s="4"/>
      <c r="Q234" s="74"/>
    </row>
    <row r="235" spans="1:17">
      <c r="A235" s="4">
        <f t="shared" si="3"/>
        <v>15</v>
      </c>
      <c r="B235" s="4">
        <f>IF(J235="",0,IF('Chart Information'!$V$14=A235,B234+1,IF(B234=0,0,IF(A235=A234,B234+1,0))))</f>
        <v>0</v>
      </c>
      <c r="C235" s="76"/>
      <c r="D235" s="4"/>
      <c r="E235" s="4"/>
      <c r="F235" s="55"/>
      <c r="G235" s="55"/>
      <c r="H235" s="55"/>
      <c r="I235" s="74">
        <v>1.2</v>
      </c>
      <c r="J235" s="74">
        <v>9.25</v>
      </c>
      <c r="K235" s="4">
        <v>1575</v>
      </c>
      <c r="L235" s="74">
        <v>27</v>
      </c>
      <c r="M235" s="4">
        <v>55</v>
      </c>
      <c r="N235" s="4"/>
      <c r="O235" s="74"/>
      <c r="P235" s="4"/>
      <c r="Q235" s="74"/>
    </row>
    <row r="236" spans="1:17">
      <c r="A236" s="4">
        <f t="shared" si="3"/>
        <v>15</v>
      </c>
      <c r="B236" s="4">
        <f>IF(J236="",0,IF('Chart Information'!$V$14=A236,B235+1,IF(B235=0,0,IF(A236=A235,B235+1,0))))</f>
        <v>0</v>
      </c>
      <c r="C236" s="76"/>
      <c r="D236" s="4"/>
      <c r="E236" s="4"/>
      <c r="F236" s="55"/>
      <c r="G236" s="55"/>
      <c r="H236" s="55"/>
      <c r="I236" s="74">
        <v>1.2</v>
      </c>
      <c r="J236" s="74">
        <v>9.5</v>
      </c>
      <c r="K236" s="4">
        <v>1500</v>
      </c>
      <c r="L236" s="74">
        <v>27</v>
      </c>
      <c r="M236" s="4">
        <v>54</v>
      </c>
      <c r="N236" s="4"/>
      <c r="O236" s="74"/>
      <c r="P236" s="4"/>
      <c r="Q236" s="74"/>
    </row>
    <row r="237" spans="1:17">
      <c r="A237" s="4">
        <f t="shared" si="3"/>
        <v>15</v>
      </c>
      <c r="B237" s="4">
        <f>IF(J237="",0,IF('Chart Information'!$V$14=A237,B236+1,IF(B236=0,0,IF(A237=A236,B236+1,0))))</f>
        <v>0</v>
      </c>
      <c r="C237" s="76"/>
      <c r="D237" s="4"/>
      <c r="E237" s="4"/>
      <c r="F237" s="55"/>
      <c r="G237" s="55"/>
      <c r="H237" s="55"/>
      <c r="I237" s="74">
        <v>1.2</v>
      </c>
      <c r="J237" s="74">
        <v>9.75</v>
      </c>
      <c r="K237" s="4">
        <v>1400</v>
      </c>
      <c r="L237" s="74">
        <v>27</v>
      </c>
      <c r="M237" s="4">
        <v>53</v>
      </c>
      <c r="N237" s="4"/>
      <c r="O237" s="74"/>
      <c r="P237" s="4"/>
      <c r="Q237" s="74"/>
    </row>
    <row r="238" spans="1:17">
      <c r="A238" s="4">
        <f t="shared" si="3"/>
        <v>15</v>
      </c>
      <c r="B238" s="4">
        <f>IF(J238="",0,IF('Chart Information'!$V$14=A238,B237+1,IF(B237=0,0,IF(A238=A237,B237+1,0))))</f>
        <v>0</v>
      </c>
      <c r="C238" s="76"/>
      <c r="D238" s="4"/>
      <c r="E238" s="4"/>
      <c r="F238" s="55"/>
      <c r="G238" s="55"/>
      <c r="H238" s="55"/>
      <c r="I238" s="74">
        <v>1.2</v>
      </c>
      <c r="J238" s="74">
        <v>10</v>
      </c>
      <c r="K238" s="4">
        <v>1300</v>
      </c>
      <c r="L238" s="74">
        <v>26.5</v>
      </c>
      <c r="M238" s="4">
        <v>50</v>
      </c>
      <c r="N238" s="4"/>
      <c r="O238" s="74"/>
      <c r="P238" s="4"/>
      <c r="Q238" s="74"/>
    </row>
    <row r="239" spans="1:17">
      <c r="A239" s="4">
        <f t="shared" si="3"/>
        <v>15</v>
      </c>
      <c r="B239" s="4">
        <f>IF(J239="",0,IF('Chart Information'!$V$14=A239,B238+1,IF(B238=0,0,IF(A239=A238,B238+1,0))))</f>
        <v>0</v>
      </c>
      <c r="C239" s="76"/>
      <c r="D239" s="4"/>
      <c r="E239" s="4"/>
      <c r="F239" s="55"/>
      <c r="G239" s="55"/>
      <c r="H239" s="55"/>
      <c r="I239" s="74">
        <v>1.2</v>
      </c>
      <c r="J239" s="74">
        <v>10.25</v>
      </c>
      <c r="K239" s="4">
        <v>1200</v>
      </c>
      <c r="L239" s="74">
        <v>26</v>
      </c>
      <c r="M239" s="4">
        <v>47</v>
      </c>
      <c r="N239" s="4"/>
      <c r="O239" s="74"/>
      <c r="P239" s="4"/>
      <c r="Q239" s="74"/>
    </row>
    <row r="240" spans="1:17">
      <c r="A240" s="4">
        <f t="shared" si="3"/>
        <v>15</v>
      </c>
      <c r="B240" s="4">
        <f>IF(J240="",0,IF('Chart Information'!$V$14=A240,B239+1,IF(B239=0,0,IF(A240=A239,B239+1,0))))</f>
        <v>0</v>
      </c>
      <c r="C240" s="76"/>
      <c r="D240" s="4"/>
      <c r="E240" s="4"/>
      <c r="F240" s="55"/>
      <c r="G240" s="55"/>
      <c r="H240" s="55"/>
      <c r="I240" s="74">
        <v>1.2</v>
      </c>
      <c r="J240" s="74">
        <v>10.5</v>
      </c>
      <c r="K240" s="4">
        <v>1100</v>
      </c>
      <c r="L240" s="74">
        <v>26</v>
      </c>
      <c r="M240" s="4">
        <v>45</v>
      </c>
      <c r="N240" s="4"/>
      <c r="O240" s="74"/>
      <c r="P240" s="4"/>
      <c r="Q240" s="74"/>
    </row>
    <row r="241" spans="1:17">
      <c r="A241" s="4">
        <f t="shared" si="3"/>
        <v>15</v>
      </c>
      <c r="B241" s="4">
        <f>IF(J241="",0,IF('Chart Information'!$V$14=A241,B240+1,IF(B240=0,0,IF(A241=A240,B240+1,0))))</f>
        <v>0</v>
      </c>
      <c r="C241" s="76"/>
      <c r="D241" s="4"/>
      <c r="E241" s="4"/>
      <c r="F241" s="55"/>
      <c r="G241" s="55"/>
      <c r="H241" s="55"/>
      <c r="I241" s="74">
        <v>1.2</v>
      </c>
      <c r="J241" s="74">
        <v>10.75</v>
      </c>
      <c r="K241" s="4">
        <v>1000</v>
      </c>
      <c r="L241" s="74">
        <v>25.5</v>
      </c>
      <c r="M241" s="4">
        <v>42</v>
      </c>
      <c r="N241" s="4"/>
      <c r="O241" s="74"/>
      <c r="P241" s="4"/>
      <c r="Q241" s="74"/>
    </row>
    <row r="242" spans="1:17">
      <c r="A242" s="4">
        <f t="shared" si="3"/>
        <v>15</v>
      </c>
      <c r="B242" s="4">
        <f>IF(J242="",0,IF('Chart Information'!$V$14=A242,B241+1,IF(B241=0,0,IF(A242=A241,B241+1,0))))</f>
        <v>0</v>
      </c>
      <c r="C242" s="76"/>
      <c r="D242" s="4"/>
      <c r="E242" s="4"/>
      <c r="F242" s="55"/>
      <c r="G242" s="55"/>
      <c r="H242" s="55"/>
      <c r="I242" s="74">
        <v>1.2</v>
      </c>
      <c r="J242" s="74">
        <v>11</v>
      </c>
      <c r="K242" s="4">
        <v>875</v>
      </c>
      <c r="L242" s="74">
        <v>25</v>
      </c>
      <c r="M242" s="4">
        <v>33</v>
      </c>
      <c r="N242" s="4"/>
      <c r="O242" s="74"/>
      <c r="P242" s="4"/>
      <c r="Q242" s="74"/>
    </row>
    <row r="243" spans="1:17">
      <c r="A243" s="4">
        <f t="shared" si="3"/>
        <v>15</v>
      </c>
      <c r="B243" s="4">
        <f>IF(J243="",0,IF('Chart Information'!$V$14=A243,B242+1,IF(B242=0,0,IF(A243=A242,B242+1,0))))</f>
        <v>0</v>
      </c>
      <c r="C243" s="76"/>
      <c r="D243" s="4"/>
      <c r="E243" s="4"/>
      <c r="F243" s="55"/>
      <c r="G243" s="55"/>
      <c r="H243" s="55"/>
      <c r="I243" s="74">
        <v>1.2</v>
      </c>
      <c r="J243" s="74">
        <v>11.25</v>
      </c>
      <c r="K243" s="4">
        <v>750</v>
      </c>
      <c r="L243" s="74">
        <v>24.5</v>
      </c>
      <c r="M243" s="4">
        <v>34</v>
      </c>
      <c r="N243" s="4"/>
      <c r="O243" s="74"/>
      <c r="P243" s="4"/>
      <c r="Q243" s="74"/>
    </row>
    <row r="244" spans="1:17">
      <c r="A244" s="4">
        <f t="shared" si="3"/>
        <v>15</v>
      </c>
      <c r="B244" s="4">
        <f>IF(J244="",0,IF('Chart Information'!$V$14=A244,B243+1,IF(B243=0,0,IF(A244=A243,B243+1,0))))</f>
        <v>0</v>
      </c>
      <c r="C244" s="76"/>
      <c r="D244" s="4"/>
      <c r="E244" s="4"/>
      <c r="F244" s="55"/>
      <c r="G244" s="55"/>
      <c r="H244" s="55"/>
      <c r="I244" s="74">
        <v>1.2</v>
      </c>
      <c r="J244" s="74">
        <v>11.5</v>
      </c>
      <c r="K244" s="4">
        <v>625</v>
      </c>
      <c r="L244" s="74">
        <v>24</v>
      </c>
      <c r="M244" s="4">
        <v>30</v>
      </c>
      <c r="N244" s="4"/>
      <c r="O244" s="74"/>
      <c r="P244" s="4"/>
      <c r="Q244" s="74"/>
    </row>
    <row r="245" spans="1:17">
      <c r="A245" s="4">
        <f t="shared" si="3"/>
        <v>15</v>
      </c>
      <c r="B245" s="4">
        <f>IF(J245="",0,IF('Chart Information'!$V$14=A245,B244+1,IF(B244=0,0,IF(A245=A244,B244+1,0))))</f>
        <v>0</v>
      </c>
      <c r="C245" s="76"/>
      <c r="D245" s="4"/>
      <c r="E245" s="4"/>
      <c r="F245" s="55"/>
      <c r="G245" s="55"/>
      <c r="H245" s="55"/>
      <c r="I245" s="74">
        <v>1.2</v>
      </c>
      <c r="J245" s="74">
        <v>11.75</v>
      </c>
      <c r="K245" s="4">
        <v>500</v>
      </c>
      <c r="L245" s="74">
        <v>24</v>
      </c>
      <c r="M245" s="4">
        <v>24</v>
      </c>
      <c r="N245" s="4"/>
      <c r="O245" s="74"/>
      <c r="P245" s="4"/>
      <c r="Q245" s="74"/>
    </row>
    <row r="246" spans="1:17">
      <c r="A246" s="4">
        <f t="shared" si="3"/>
        <v>15</v>
      </c>
      <c r="B246" s="4">
        <f>IF(J246="",0,IF('Chart Information'!$V$14=A246,B245+1,IF(B245=0,0,IF(A246=A245,B245+1,0))))</f>
        <v>0</v>
      </c>
      <c r="C246" s="76"/>
      <c r="D246" s="4"/>
      <c r="E246" s="4"/>
      <c r="F246" s="55"/>
      <c r="G246" s="55"/>
      <c r="H246" s="55"/>
      <c r="I246" s="74">
        <v>1.2</v>
      </c>
      <c r="J246" s="74">
        <v>12</v>
      </c>
      <c r="K246" s="4">
        <v>350</v>
      </c>
      <c r="L246" s="74">
        <v>23</v>
      </c>
      <c r="M246" s="4">
        <v>17</v>
      </c>
      <c r="N246" s="4"/>
      <c r="O246" s="74"/>
      <c r="P246" s="4"/>
      <c r="Q246" s="74"/>
    </row>
    <row r="247" spans="1:17">
      <c r="A247" s="4">
        <f t="shared" si="3"/>
        <v>15</v>
      </c>
      <c r="B247" s="4">
        <f>IF(J247="",0,IF('Chart Information'!$V$14=A247,B246+1,IF(B246=0,0,IF(A247=A246,B246+1,0))))</f>
        <v>0</v>
      </c>
      <c r="C247" s="76"/>
      <c r="D247" s="4"/>
      <c r="E247" s="4"/>
      <c r="F247" s="55"/>
      <c r="G247" s="55"/>
      <c r="H247" s="55"/>
      <c r="I247" s="74">
        <v>1.2</v>
      </c>
      <c r="J247" s="74">
        <v>12.25</v>
      </c>
      <c r="K247" s="4">
        <v>200</v>
      </c>
      <c r="L247" s="74">
        <v>22.5</v>
      </c>
      <c r="M247" s="4">
        <v>7</v>
      </c>
      <c r="N247" s="4"/>
      <c r="O247" s="74"/>
      <c r="P247" s="4"/>
      <c r="Q247" s="74"/>
    </row>
    <row r="248" spans="1:17">
      <c r="A248" s="4">
        <f t="shared" si="3"/>
        <v>16</v>
      </c>
      <c r="B248" s="4">
        <f>IF(J248="",0,IF('Chart Information'!$V$14=A248,B247+1,IF(B247=0,0,IF(A248=A247,B247+1,0))))</f>
        <v>0</v>
      </c>
      <c r="C248" s="76" t="s">
        <v>314</v>
      </c>
      <c r="D248" s="4" t="s">
        <v>290</v>
      </c>
      <c r="E248" s="4">
        <v>760</v>
      </c>
      <c r="F248" s="55">
        <v>37</v>
      </c>
      <c r="G248" s="55" t="s">
        <v>293</v>
      </c>
      <c r="H248" s="55" t="s">
        <v>298</v>
      </c>
      <c r="I248" s="74">
        <v>1.2</v>
      </c>
      <c r="J248" s="74">
        <v>5.5</v>
      </c>
      <c r="K248" s="4">
        <v>1975</v>
      </c>
      <c r="L248" s="74">
        <v>33</v>
      </c>
      <c r="M248" s="4">
        <v>34</v>
      </c>
      <c r="N248" s="4">
        <f>+K248</f>
        <v>1975</v>
      </c>
      <c r="O248" s="74">
        <f>+J248</f>
        <v>5.5</v>
      </c>
      <c r="P248" s="4">
        <f>+K248</f>
        <v>1975</v>
      </c>
      <c r="Q248" s="74">
        <f>+J250</f>
        <v>6</v>
      </c>
    </row>
    <row r="249" spans="1:17">
      <c r="A249" s="4">
        <f t="shared" si="3"/>
        <v>16</v>
      </c>
      <c r="B249" s="4">
        <f>IF(J249="",0,IF('Chart Information'!$V$14=A249,B248+1,IF(B248=0,0,IF(A249=A248,B248+1,0))))</f>
        <v>0</v>
      </c>
      <c r="C249" s="76"/>
      <c r="D249" s="4"/>
      <c r="E249" s="4"/>
      <c r="F249" s="55"/>
      <c r="G249" s="55"/>
      <c r="H249" s="55"/>
      <c r="I249" s="74">
        <v>1.2</v>
      </c>
      <c r="J249" s="74">
        <v>5.75</v>
      </c>
      <c r="K249" s="4">
        <v>1960</v>
      </c>
      <c r="L249" s="74">
        <v>33</v>
      </c>
      <c r="M249" s="4">
        <v>35</v>
      </c>
      <c r="N249" s="4"/>
      <c r="O249" s="74"/>
      <c r="P249" s="4"/>
      <c r="Q249" s="74"/>
    </row>
    <row r="250" spans="1:17">
      <c r="A250" s="4">
        <f t="shared" si="3"/>
        <v>16</v>
      </c>
      <c r="B250" s="4">
        <f>IF(J250="",0,IF('Chart Information'!$V$14=A250,B249+1,IF(B249=0,0,IF(A250=A249,B249+1,0))))</f>
        <v>0</v>
      </c>
      <c r="C250" s="76"/>
      <c r="D250" s="4"/>
      <c r="E250" s="4"/>
      <c r="F250" s="55"/>
      <c r="G250" s="55"/>
      <c r="H250" s="55"/>
      <c r="I250" s="74">
        <v>1.2</v>
      </c>
      <c r="J250" s="74">
        <v>6</v>
      </c>
      <c r="K250" s="4">
        <v>1955</v>
      </c>
      <c r="L250" s="74">
        <v>33</v>
      </c>
      <c r="M250" s="4">
        <v>36</v>
      </c>
      <c r="N250" s="4"/>
      <c r="O250" s="74"/>
      <c r="P250" s="4"/>
      <c r="Q250" s="74"/>
    </row>
    <row r="251" spans="1:17">
      <c r="A251" s="4">
        <f t="shared" si="3"/>
        <v>16</v>
      </c>
      <c r="B251" s="4">
        <f>IF(J251="",0,IF('Chart Information'!$V$14=A251,B250+1,IF(B250=0,0,IF(A251=A250,B250+1,0))))</f>
        <v>0</v>
      </c>
      <c r="C251" s="76"/>
      <c r="D251" s="4"/>
      <c r="E251" s="4"/>
      <c r="F251" s="55"/>
      <c r="G251" s="55"/>
      <c r="H251" s="55"/>
      <c r="I251" s="74">
        <v>1.2</v>
      </c>
      <c r="J251" s="74">
        <v>6.25</v>
      </c>
      <c r="K251" s="4">
        <v>1950</v>
      </c>
      <c r="L251" s="74">
        <v>33</v>
      </c>
      <c r="M251" s="4">
        <v>37</v>
      </c>
      <c r="N251" s="4"/>
      <c r="O251" s="74"/>
      <c r="P251" s="4"/>
      <c r="Q251" s="74"/>
    </row>
    <row r="252" spans="1:17">
      <c r="A252" s="4">
        <f t="shared" si="3"/>
        <v>16</v>
      </c>
      <c r="B252" s="4">
        <f>IF(J252="",0,IF('Chart Information'!$V$14=A252,B251+1,IF(B251=0,0,IF(A252=A251,B251+1,0))))</f>
        <v>0</v>
      </c>
      <c r="C252" s="76"/>
      <c r="D252" s="4"/>
      <c r="E252" s="4"/>
      <c r="F252" s="55"/>
      <c r="G252" s="55"/>
      <c r="H252" s="55"/>
      <c r="I252" s="74">
        <v>1.2</v>
      </c>
      <c r="J252" s="74">
        <v>6.5</v>
      </c>
      <c r="K252" s="4">
        <v>1935</v>
      </c>
      <c r="L252" s="74">
        <v>33</v>
      </c>
      <c r="M252" s="4">
        <v>38</v>
      </c>
      <c r="N252" s="4"/>
      <c r="O252" s="74"/>
      <c r="P252" s="4"/>
      <c r="Q252" s="74"/>
    </row>
    <row r="253" spans="1:17">
      <c r="A253" s="4">
        <f t="shared" si="3"/>
        <v>16</v>
      </c>
      <c r="B253" s="4">
        <f>IF(J253="",0,IF('Chart Information'!$V$14=A253,B252+1,IF(B252=0,0,IF(A253=A252,B252+1,0))))</f>
        <v>0</v>
      </c>
      <c r="C253" s="76"/>
      <c r="D253" s="4"/>
      <c r="E253" s="4"/>
      <c r="F253" s="55"/>
      <c r="G253" s="55"/>
      <c r="H253" s="55"/>
      <c r="I253" s="74">
        <v>1.2</v>
      </c>
      <c r="J253" s="74">
        <v>6.75</v>
      </c>
      <c r="K253" s="4">
        <v>1930</v>
      </c>
      <c r="L253" s="74">
        <v>33</v>
      </c>
      <c r="M253" s="4">
        <v>40</v>
      </c>
      <c r="N253" s="4"/>
      <c r="O253" s="74"/>
      <c r="P253" s="4"/>
      <c r="Q253" s="74"/>
    </row>
    <row r="254" spans="1:17">
      <c r="A254" s="4">
        <f t="shared" si="3"/>
        <v>16</v>
      </c>
      <c r="B254" s="4">
        <f>IF(J254="",0,IF('Chart Information'!$V$14=A254,B253+1,IF(B253=0,0,IF(A254=A253,B253+1,0))))</f>
        <v>0</v>
      </c>
      <c r="C254" s="76"/>
      <c r="D254" s="4"/>
      <c r="E254" s="4"/>
      <c r="F254" s="55"/>
      <c r="G254" s="55"/>
      <c r="H254" s="55"/>
      <c r="I254" s="74">
        <v>1.2</v>
      </c>
      <c r="J254" s="74">
        <v>7</v>
      </c>
      <c r="K254" s="4">
        <v>1925</v>
      </c>
      <c r="L254" s="74">
        <v>33</v>
      </c>
      <c r="M254" s="4">
        <v>41</v>
      </c>
      <c r="N254" s="4"/>
      <c r="O254" s="74"/>
      <c r="P254" s="4"/>
      <c r="Q254" s="74"/>
    </row>
    <row r="255" spans="1:17">
      <c r="A255" s="4">
        <f t="shared" si="3"/>
        <v>16</v>
      </c>
      <c r="B255" s="4">
        <f>IF(J255="",0,IF('Chart Information'!$V$14=A255,B254+1,IF(B254=0,0,IF(A255=A254,B254+1,0))))</f>
        <v>0</v>
      </c>
      <c r="C255" s="76"/>
      <c r="D255" s="4"/>
      <c r="E255" s="4"/>
      <c r="F255" s="55"/>
      <c r="G255" s="55"/>
      <c r="H255" s="55"/>
      <c r="I255" s="74">
        <v>1.2</v>
      </c>
      <c r="J255" s="74">
        <v>7.25</v>
      </c>
      <c r="K255" s="4">
        <v>1920</v>
      </c>
      <c r="L255" s="74">
        <v>33</v>
      </c>
      <c r="M255" s="4">
        <v>43</v>
      </c>
      <c r="N255" s="4"/>
      <c r="O255" s="74"/>
      <c r="P255" s="4"/>
      <c r="Q255" s="74"/>
    </row>
    <row r="256" spans="1:17">
      <c r="A256" s="4">
        <f t="shared" si="3"/>
        <v>16</v>
      </c>
      <c r="B256" s="4">
        <f>IF(J256="",0,IF('Chart Information'!$V$14=A256,B255+1,IF(B255=0,0,IF(A256=A255,B255+1,0))))</f>
        <v>0</v>
      </c>
      <c r="C256" s="76"/>
      <c r="D256" s="4"/>
      <c r="E256" s="4"/>
      <c r="F256" s="55"/>
      <c r="G256" s="55"/>
      <c r="H256" s="55"/>
      <c r="I256" s="74">
        <v>1.2</v>
      </c>
      <c r="J256" s="74">
        <v>7.5</v>
      </c>
      <c r="K256" s="4">
        <v>1915</v>
      </c>
      <c r="L256" s="74">
        <v>33</v>
      </c>
      <c r="M256" s="4">
        <v>44</v>
      </c>
      <c r="N256" s="4"/>
      <c r="O256" s="74"/>
      <c r="P256" s="4"/>
      <c r="Q256" s="74"/>
    </row>
    <row r="257" spans="1:17">
      <c r="A257" s="4">
        <f t="shared" si="3"/>
        <v>16</v>
      </c>
      <c r="B257" s="4">
        <f>IF(J257="",0,IF('Chart Information'!$V$14=A257,B256+1,IF(B256=0,0,IF(A257=A256,B256+1,0))))</f>
        <v>0</v>
      </c>
      <c r="C257" s="76"/>
      <c r="D257" s="4"/>
      <c r="E257" s="4"/>
      <c r="F257" s="55"/>
      <c r="G257" s="55"/>
      <c r="H257" s="55"/>
      <c r="I257" s="74">
        <v>1.2</v>
      </c>
      <c r="J257" s="74">
        <v>7.75</v>
      </c>
      <c r="K257" s="4">
        <v>1910</v>
      </c>
      <c r="L257" s="74">
        <v>33</v>
      </c>
      <c r="M257" s="4">
        <v>46</v>
      </c>
      <c r="N257" s="4"/>
      <c r="O257" s="74"/>
      <c r="P257" s="4"/>
      <c r="Q257" s="74"/>
    </row>
    <row r="258" spans="1:17">
      <c r="A258" s="4">
        <f t="shared" si="3"/>
        <v>16</v>
      </c>
      <c r="B258" s="4">
        <f>IF(J258="",0,IF('Chart Information'!$V$14=A258,B257+1,IF(B257=0,0,IF(A258=A257,B257+1,0))))</f>
        <v>0</v>
      </c>
      <c r="C258" s="76"/>
      <c r="D258" s="4"/>
      <c r="E258" s="4"/>
      <c r="F258" s="55"/>
      <c r="G258" s="55"/>
      <c r="H258" s="55"/>
      <c r="I258" s="74">
        <v>1.2</v>
      </c>
      <c r="J258" s="74">
        <v>8</v>
      </c>
      <c r="K258" s="4">
        <v>1900</v>
      </c>
      <c r="L258" s="74">
        <v>33</v>
      </c>
      <c r="M258" s="4">
        <v>47</v>
      </c>
      <c r="N258" s="4"/>
      <c r="O258" s="74"/>
      <c r="P258" s="4"/>
      <c r="Q258" s="74"/>
    </row>
    <row r="259" spans="1:17">
      <c r="A259" s="4">
        <f t="shared" si="3"/>
        <v>16</v>
      </c>
      <c r="B259" s="4">
        <f>IF(J259="",0,IF('Chart Information'!$V$14=A259,B258+1,IF(B258=0,0,IF(A259=A258,B258+1,0))))</f>
        <v>0</v>
      </c>
      <c r="C259" s="76"/>
      <c r="D259" s="4"/>
      <c r="E259" s="4"/>
      <c r="F259" s="55"/>
      <c r="G259" s="55"/>
      <c r="H259" s="55"/>
      <c r="I259" s="74">
        <v>1.2</v>
      </c>
      <c r="J259" s="74">
        <v>8.25</v>
      </c>
      <c r="K259" s="4">
        <v>1895</v>
      </c>
      <c r="L259" s="74">
        <v>33</v>
      </c>
      <c r="M259" s="4">
        <v>50</v>
      </c>
      <c r="N259" s="4"/>
      <c r="O259" s="74"/>
      <c r="P259" s="4"/>
      <c r="Q259" s="74"/>
    </row>
    <row r="260" spans="1:17">
      <c r="A260" s="4">
        <f t="shared" si="3"/>
        <v>16</v>
      </c>
      <c r="B260" s="4">
        <f>IF(J260="",0,IF('Chart Information'!$V$14=A260,B259+1,IF(B259=0,0,IF(A260=A259,B259+1,0))))</f>
        <v>0</v>
      </c>
      <c r="C260" s="76"/>
      <c r="D260" s="4"/>
      <c r="E260" s="4"/>
      <c r="F260" s="55"/>
      <c r="G260" s="55"/>
      <c r="H260" s="55"/>
      <c r="I260" s="74">
        <v>1.2</v>
      </c>
      <c r="J260" s="74">
        <v>8.5</v>
      </c>
      <c r="K260" s="4">
        <v>1875</v>
      </c>
      <c r="L260" s="74">
        <v>32.75</v>
      </c>
      <c r="M260" s="4">
        <v>51</v>
      </c>
      <c r="N260" s="4"/>
      <c r="O260" s="74"/>
      <c r="P260" s="4"/>
      <c r="Q260" s="74"/>
    </row>
    <row r="261" spans="1:17">
      <c r="A261" s="4">
        <f t="shared" si="3"/>
        <v>16</v>
      </c>
      <c r="B261" s="4">
        <f>IF(J261="",0,IF('Chart Information'!$V$14=A261,B260+1,IF(B260=0,0,IF(A261=A260,B260+1,0))))</f>
        <v>0</v>
      </c>
      <c r="C261" s="76"/>
      <c r="D261" s="4"/>
      <c r="E261" s="4"/>
      <c r="F261" s="55"/>
      <c r="G261" s="55"/>
      <c r="H261" s="55"/>
      <c r="I261" s="74">
        <v>1.2</v>
      </c>
      <c r="J261" s="74">
        <v>8.75</v>
      </c>
      <c r="K261" s="4">
        <v>1850</v>
      </c>
      <c r="L261" s="74">
        <v>32.75</v>
      </c>
      <c r="M261" s="4">
        <v>52</v>
      </c>
      <c r="N261" s="4"/>
      <c r="O261" s="74"/>
      <c r="P261" s="4"/>
      <c r="Q261" s="74"/>
    </row>
    <row r="262" spans="1:17">
      <c r="A262" s="4">
        <f t="shared" si="3"/>
        <v>16</v>
      </c>
      <c r="B262" s="4">
        <f>IF(J262="",0,IF('Chart Information'!$V$14=A262,B261+1,IF(B261=0,0,IF(A262=A261,B261+1,0))))</f>
        <v>0</v>
      </c>
      <c r="C262" s="76"/>
      <c r="D262" s="4"/>
      <c r="E262" s="4"/>
      <c r="F262" s="55"/>
      <c r="G262" s="55"/>
      <c r="H262" s="55"/>
      <c r="I262" s="74">
        <v>1.2</v>
      </c>
      <c r="J262" s="74">
        <v>9</v>
      </c>
      <c r="K262" s="4">
        <v>1825</v>
      </c>
      <c r="L262" s="74">
        <v>32.5</v>
      </c>
      <c r="M262" s="4">
        <v>53</v>
      </c>
      <c r="N262" s="4"/>
      <c r="O262" s="74"/>
      <c r="P262" s="4"/>
      <c r="Q262" s="74"/>
    </row>
    <row r="263" spans="1:17">
      <c r="A263" s="4">
        <f t="shared" si="3"/>
        <v>16</v>
      </c>
      <c r="B263" s="4">
        <f>IF(J263="",0,IF('Chart Information'!$V$14=A263,B262+1,IF(B262=0,0,IF(A263=A262,B262+1,0))))</f>
        <v>0</v>
      </c>
      <c r="C263" s="76"/>
      <c r="D263" s="4"/>
      <c r="E263" s="4"/>
      <c r="F263" s="55"/>
      <c r="G263" s="55"/>
      <c r="H263" s="55"/>
      <c r="I263" s="74">
        <v>1.2</v>
      </c>
      <c r="J263" s="74">
        <v>9.25</v>
      </c>
      <c r="K263" s="4">
        <v>1800</v>
      </c>
      <c r="L263" s="74">
        <v>32</v>
      </c>
      <c r="M263" s="4">
        <v>54</v>
      </c>
      <c r="N263" s="4"/>
      <c r="O263" s="74"/>
      <c r="P263" s="4"/>
      <c r="Q263" s="74"/>
    </row>
    <row r="264" spans="1:17">
      <c r="A264" s="4">
        <f t="shared" ref="A264:A327" si="4">IF(D264="",A263,A263+1)</f>
        <v>16</v>
      </c>
      <c r="B264" s="4">
        <f>IF(J264="",0,IF('Chart Information'!$V$14=A264,B263+1,IF(B263=0,0,IF(A264=A263,B263+1,0))))</f>
        <v>0</v>
      </c>
      <c r="C264" s="76"/>
      <c r="D264" s="4"/>
      <c r="E264" s="4"/>
      <c r="F264" s="55"/>
      <c r="G264" s="55"/>
      <c r="H264" s="55"/>
      <c r="I264" s="74">
        <v>1.2</v>
      </c>
      <c r="J264" s="74">
        <v>9.5</v>
      </c>
      <c r="K264" s="4">
        <v>1775</v>
      </c>
      <c r="L264" s="74">
        <v>32</v>
      </c>
      <c r="M264" s="4">
        <v>55</v>
      </c>
      <c r="N264" s="4"/>
      <c r="O264" s="74"/>
      <c r="P264" s="4"/>
      <c r="Q264" s="74"/>
    </row>
    <row r="265" spans="1:17">
      <c r="A265" s="4">
        <f t="shared" si="4"/>
        <v>16</v>
      </c>
      <c r="B265" s="4">
        <f>IF(J265="",0,IF('Chart Information'!$V$14=A265,B264+1,IF(B264=0,0,IF(A265=A264,B264+1,0))))</f>
        <v>0</v>
      </c>
      <c r="C265" s="76"/>
      <c r="D265" s="4"/>
      <c r="E265" s="4"/>
      <c r="F265" s="55"/>
      <c r="G265" s="55"/>
      <c r="H265" s="55"/>
      <c r="I265" s="74">
        <v>1.2</v>
      </c>
      <c r="J265" s="74">
        <v>9.75</v>
      </c>
      <c r="K265" s="4">
        <v>1725</v>
      </c>
      <c r="L265" s="74">
        <v>31</v>
      </c>
      <c r="M265" s="4">
        <v>55</v>
      </c>
      <c r="N265" s="4"/>
      <c r="O265" s="74"/>
      <c r="P265" s="4"/>
      <c r="Q265" s="74"/>
    </row>
    <row r="266" spans="1:17">
      <c r="A266" s="4">
        <f t="shared" si="4"/>
        <v>16</v>
      </c>
      <c r="B266" s="4">
        <f>IF(J266="",0,IF('Chart Information'!$V$14=A266,B265+1,IF(B265=0,0,IF(A266=A265,B265+1,0))))</f>
        <v>0</v>
      </c>
      <c r="C266" s="76"/>
      <c r="D266" s="4"/>
      <c r="E266" s="4"/>
      <c r="F266" s="55"/>
      <c r="G266" s="55"/>
      <c r="H266" s="55"/>
      <c r="I266" s="74">
        <v>1.2</v>
      </c>
      <c r="J266" s="74">
        <v>10</v>
      </c>
      <c r="K266" s="4">
        <v>1675</v>
      </c>
      <c r="L266" s="74">
        <v>31</v>
      </c>
      <c r="M266" s="4">
        <v>55</v>
      </c>
      <c r="N266" s="4"/>
      <c r="O266" s="74"/>
      <c r="P266" s="4"/>
      <c r="Q266" s="74"/>
    </row>
    <row r="267" spans="1:17">
      <c r="A267" s="4">
        <f t="shared" si="4"/>
        <v>16</v>
      </c>
      <c r="B267" s="4">
        <f>IF(J267="",0,IF('Chart Information'!$V$14=A267,B266+1,IF(B266=0,0,IF(A267=A266,B266+1,0))))</f>
        <v>0</v>
      </c>
      <c r="C267" s="76"/>
      <c r="D267" s="4"/>
      <c r="E267" s="4"/>
      <c r="F267" s="55"/>
      <c r="G267" s="55"/>
      <c r="H267" s="55"/>
      <c r="I267" s="74">
        <v>1.2</v>
      </c>
      <c r="J267" s="74">
        <v>10.25</v>
      </c>
      <c r="K267" s="4">
        <v>1610</v>
      </c>
      <c r="L267" s="74">
        <v>31</v>
      </c>
      <c r="M267" s="4">
        <v>54</v>
      </c>
      <c r="N267" s="4"/>
      <c r="O267" s="74"/>
      <c r="P267" s="4"/>
      <c r="Q267" s="74"/>
    </row>
    <row r="268" spans="1:17">
      <c r="A268" s="4">
        <f t="shared" si="4"/>
        <v>16</v>
      </c>
      <c r="B268" s="4">
        <f>IF(J268="",0,IF('Chart Information'!$V$14=A268,B267+1,IF(B267=0,0,IF(A268=A267,B267+1,0))))</f>
        <v>0</v>
      </c>
      <c r="C268" s="76"/>
      <c r="D268" s="4"/>
      <c r="E268" s="4"/>
      <c r="F268" s="55"/>
      <c r="G268" s="55"/>
      <c r="H268" s="55"/>
      <c r="I268" s="74">
        <v>1.2</v>
      </c>
      <c r="J268" s="74">
        <v>10.5</v>
      </c>
      <c r="K268" s="4">
        <v>1535</v>
      </c>
      <c r="L268" s="74">
        <v>30.5</v>
      </c>
      <c r="M268" s="4">
        <v>53</v>
      </c>
      <c r="N268" s="4"/>
      <c r="O268" s="74"/>
      <c r="P268" s="4"/>
      <c r="Q268" s="74"/>
    </row>
    <row r="269" spans="1:17">
      <c r="A269" s="4">
        <f t="shared" si="4"/>
        <v>16</v>
      </c>
      <c r="B269" s="4">
        <f>IF(J269="",0,IF('Chart Information'!$V$14=A269,B268+1,IF(B268=0,0,IF(A269=A268,B268+1,0))))</f>
        <v>0</v>
      </c>
      <c r="C269" s="76"/>
      <c r="D269" s="4"/>
      <c r="E269" s="4"/>
      <c r="F269" s="55"/>
      <c r="G269" s="55"/>
      <c r="H269" s="55"/>
      <c r="I269" s="74">
        <v>1.2</v>
      </c>
      <c r="J269" s="74">
        <v>10.75</v>
      </c>
      <c r="K269" s="4">
        <v>1450</v>
      </c>
      <c r="L269" s="74">
        <v>30</v>
      </c>
      <c r="M269" s="4">
        <v>52</v>
      </c>
      <c r="N269" s="4"/>
      <c r="O269" s="74"/>
      <c r="P269" s="4"/>
      <c r="Q269" s="74"/>
    </row>
    <row r="270" spans="1:17">
      <c r="A270" s="4">
        <f t="shared" si="4"/>
        <v>16</v>
      </c>
      <c r="B270" s="4">
        <f>IF(J270="",0,IF('Chart Information'!$V$14=A270,B269+1,IF(B269=0,0,IF(A270=A269,B269+1,0))))</f>
        <v>0</v>
      </c>
      <c r="C270" s="76"/>
      <c r="D270" s="4"/>
      <c r="E270" s="4"/>
      <c r="F270" s="55"/>
      <c r="G270" s="55"/>
      <c r="H270" s="55"/>
      <c r="I270" s="74">
        <v>1.2</v>
      </c>
      <c r="J270" s="74">
        <v>11</v>
      </c>
      <c r="K270" s="4">
        <v>1375</v>
      </c>
      <c r="L270" s="74">
        <v>30</v>
      </c>
      <c r="M270" s="4">
        <v>50</v>
      </c>
      <c r="N270" s="4"/>
      <c r="O270" s="74"/>
      <c r="P270" s="4"/>
      <c r="Q270" s="74"/>
    </row>
    <row r="271" spans="1:17">
      <c r="A271" s="4">
        <f t="shared" si="4"/>
        <v>16</v>
      </c>
      <c r="B271" s="4">
        <f>IF(J271="",0,IF('Chart Information'!$V$14=A271,B270+1,IF(B270=0,0,IF(A271=A270,B270+1,0))))</f>
        <v>0</v>
      </c>
      <c r="C271" s="76"/>
      <c r="D271" s="4"/>
      <c r="E271" s="4"/>
      <c r="F271" s="55"/>
      <c r="G271" s="55"/>
      <c r="H271" s="55"/>
      <c r="I271" s="74">
        <v>1.2</v>
      </c>
      <c r="J271" s="74">
        <v>11.25</v>
      </c>
      <c r="K271" s="4">
        <v>1260</v>
      </c>
      <c r="L271" s="74">
        <v>29.5</v>
      </c>
      <c r="M271" s="4">
        <v>47</v>
      </c>
      <c r="N271" s="4"/>
      <c r="O271" s="74"/>
      <c r="P271" s="4"/>
      <c r="Q271" s="74"/>
    </row>
    <row r="272" spans="1:17">
      <c r="A272" s="4">
        <f t="shared" si="4"/>
        <v>16</v>
      </c>
      <c r="B272" s="4">
        <f>IF(J272="",0,IF('Chart Information'!$V$14=A272,B271+1,IF(B271=0,0,IF(A272=A271,B271+1,0))))</f>
        <v>0</v>
      </c>
      <c r="C272" s="76"/>
      <c r="D272" s="4"/>
      <c r="E272" s="4"/>
      <c r="F272" s="55"/>
      <c r="G272" s="55"/>
      <c r="H272" s="55"/>
      <c r="I272" s="74">
        <v>1.2</v>
      </c>
      <c r="J272" s="74">
        <v>11.5</v>
      </c>
      <c r="K272" s="4">
        <v>1150</v>
      </c>
      <c r="L272" s="74">
        <v>29</v>
      </c>
      <c r="M272" s="4">
        <v>44</v>
      </c>
      <c r="N272" s="4"/>
      <c r="O272" s="74"/>
      <c r="P272" s="4"/>
      <c r="Q272" s="74"/>
    </row>
    <row r="273" spans="1:17">
      <c r="A273" s="4">
        <f t="shared" si="4"/>
        <v>16</v>
      </c>
      <c r="B273" s="4">
        <f>IF(J273="",0,IF('Chart Information'!$V$14=A273,B272+1,IF(B272=0,0,IF(A273=A272,B272+1,0))))</f>
        <v>0</v>
      </c>
      <c r="C273" s="76"/>
      <c r="D273" s="4"/>
      <c r="E273" s="4"/>
      <c r="F273" s="55"/>
      <c r="G273" s="55"/>
      <c r="H273" s="55"/>
      <c r="I273" s="74">
        <v>1.2</v>
      </c>
      <c r="J273" s="74">
        <v>11.75</v>
      </c>
      <c r="K273" s="4">
        <v>1050</v>
      </c>
      <c r="L273" s="74">
        <v>29</v>
      </c>
      <c r="M273" s="4">
        <v>41</v>
      </c>
      <c r="N273" s="4"/>
      <c r="O273" s="74"/>
      <c r="P273" s="4"/>
      <c r="Q273" s="74"/>
    </row>
    <row r="274" spans="1:17">
      <c r="A274" s="4">
        <f t="shared" si="4"/>
        <v>16</v>
      </c>
      <c r="B274" s="4">
        <f>IF(J274="",0,IF('Chart Information'!$V$14=A274,B273+1,IF(B273=0,0,IF(A274=A273,B273+1,0))))</f>
        <v>0</v>
      </c>
      <c r="C274" s="76"/>
      <c r="D274" s="4"/>
      <c r="E274" s="4"/>
      <c r="F274" s="55"/>
      <c r="G274" s="55"/>
      <c r="H274" s="55"/>
      <c r="I274" s="74">
        <v>1.2</v>
      </c>
      <c r="J274" s="74">
        <v>12</v>
      </c>
      <c r="K274" s="4">
        <v>890</v>
      </c>
      <c r="L274" s="74">
        <v>28.5</v>
      </c>
      <c r="M274" s="4">
        <v>37</v>
      </c>
      <c r="N274" s="4"/>
      <c r="O274" s="74"/>
      <c r="P274" s="4"/>
      <c r="Q274" s="74"/>
    </row>
    <row r="275" spans="1:17">
      <c r="A275" s="4">
        <f t="shared" si="4"/>
        <v>16</v>
      </c>
      <c r="B275" s="4">
        <f>IF(J275="",0,IF('Chart Information'!$V$14=A275,B274+1,IF(B274=0,0,IF(A275=A274,B274+1,0))))</f>
        <v>0</v>
      </c>
      <c r="C275" s="76"/>
      <c r="D275" s="4"/>
      <c r="E275" s="4"/>
      <c r="F275" s="55"/>
      <c r="G275" s="55"/>
      <c r="H275" s="55"/>
      <c r="I275" s="74">
        <v>1.2</v>
      </c>
      <c r="J275" s="74">
        <v>12.25</v>
      </c>
      <c r="K275" s="4">
        <v>750</v>
      </c>
      <c r="L275" s="74">
        <v>28.25</v>
      </c>
      <c r="M275" s="4">
        <v>32</v>
      </c>
      <c r="N275" s="4"/>
      <c r="O275" s="74"/>
      <c r="P275" s="4"/>
      <c r="Q275" s="74"/>
    </row>
    <row r="276" spans="1:17">
      <c r="A276" s="4">
        <f t="shared" si="4"/>
        <v>16</v>
      </c>
      <c r="B276" s="4">
        <f>IF(J276="",0,IF('Chart Information'!$V$14=A276,B275+1,IF(B275=0,0,IF(A276=A275,B275+1,0))))</f>
        <v>0</v>
      </c>
      <c r="C276" s="76"/>
      <c r="D276" s="4"/>
      <c r="E276" s="4"/>
      <c r="F276" s="55"/>
      <c r="G276" s="55"/>
      <c r="H276" s="55"/>
      <c r="I276" s="74">
        <v>1.2</v>
      </c>
      <c r="J276" s="74">
        <v>12.5</v>
      </c>
      <c r="K276" s="4">
        <v>550</v>
      </c>
      <c r="L276" s="74">
        <v>28</v>
      </c>
      <c r="M276" s="4">
        <v>24</v>
      </c>
      <c r="N276" s="4"/>
      <c r="O276" s="74"/>
      <c r="P276" s="4"/>
      <c r="Q276" s="74"/>
    </row>
    <row r="277" spans="1:17">
      <c r="A277" s="4">
        <f t="shared" si="4"/>
        <v>17</v>
      </c>
      <c r="B277" s="4">
        <f>IF(J277="",0,IF('Chart Information'!$V$14=A277,B276+1,IF(B276=0,0,IF(A277=A276,B276+1,0))))</f>
        <v>0</v>
      </c>
      <c r="C277" s="76" t="s">
        <v>317</v>
      </c>
      <c r="D277" s="4" t="s">
        <v>294</v>
      </c>
      <c r="E277" s="4">
        <v>760</v>
      </c>
      <c r="F277" s="55">
        <v>45</v>
      </c>
      <c r="G277" s="55" t="s">
        <v>292</v>
      </c>
      <c r="H277" s="55" t="s">
        <v>298</v>
      </c>
      <c r="I277" s="74">
        <v>1.2</v>
      </c>
      <c r="J277" s="74">
        <v>5.75</v>
      </c>
      <c r="K277" s="4">
        <v>1125</v>
      </c>
      <c r="L277" s="74">
        <v>25</v>
      </c>
      <c r="M277" s="4">
        <v>26</v>
      </c>
      <c r="N277" s="4">
        <f>+K277</f>
        <v>1125</v>
      </c>
      <c r="O277" s="74">
        <f>+J277</f>
        <v>5.75</v>
      </c>
      <c r="P277" s="4">
        <f>+K292</f>
        <v>1715</v>
      </c>
      <c r="Q277" s="74">
        <f>+J292</f>
        <v>9.5</v>
      </c>
    </row>
    <row r="278" spans="1:17">
      <c r="A278" s="4">
        <f t="shared" si="4"/>
        <v>17</v>
      </c>
      <c r="B278" s="4">
        <f>IF(J278="",0,IF('Chart Information'!$V$14=A278,B277+1,IF(B277=0,0,IF(A278=A277,B277+1,0))))</f>
        <v>0</v>
      </c>
      <c r="C278" s="76"/>
      <c r="D278" s="4"/>
      <c r="E278" s="4"/>
      <c r="F278" s="55"/>
      <c r="G278" s="55"/>
      <c r="H278" s="55"/>
      <c r="I278" s="74">
        <v>1.2</v>
      </c>
      <c r="J278" s="74">
        <v>6</v>
      </c>
      <c r="K278" s="4">
        <v>1185</v>
      </c>
      <c r="L278" s="74">
        <v>25.5</v>
      </c>
      <c r="M278" s="4">
        <v>28</v>
      </c>
      <c r="N278" s="4"/>
      <c r="O278" s="74"/>
      <c r="P278" s="4"/>
      <c r="Q278" s="74"/>
    </row>
    <row r="279" spans="1:17">
      <c r="A279" s="4">
        <f t="shared" si="4"/>
        <v>17</v>
      </c>
      <c r="B279" s="4">
        <f>IF(J279="",0,IF('Chart Information'!$V$14=A279,B278+1,IF(B278=0,0,IF(A279=A278,B278+1,0))))</f>
        <v>0</v>
      </c>
      <c r="C279" s="76"/>
      <c r="D279" s="4"/>
      <c r="E279" s="4"/>
      <c r="F279" s="55"/>
      <c r="G279" s="55"/>
      <c r="H279" s="55"/>
      <c r="I279" s="74">
        <v>1.2</v>
      </c>
      <c r="J279" s="74">
        <v>6.25</v>
      </c>
      <c r="K279" s="4">
        <v>1240</v>
      </c>
      <c r="L279" s="74">
        <v>26</v>
      </c>
      <c r="M279" s="4">
        <v>30</v>
      </c>
      <c r="N279" s="4"/>
      <c r="O279" s="74"/>
      <c r="P279" s="4"/>
      <c r="Q279" s="74"/>
    </row>
    <row r="280" spans="1:17">
      <c r="A280" s="4">
        <f t="shared" si="4"/>
        <v>17</v>
      </c>
      <c r="B280" s="4">
        <f>IF(J280="",0,IF('Chart Information'!$V$14=A280,B279+1,IF(B279=0,0,IF(A280=A279,B279+1,0))))</f>
        <v>0</v>
      </c>
      <c r="C280" s="76"/>
      <c r="D280" s="4"/>
      <c r="E280" s="4"/>
      <c r="F280" s="55"/>
      <c r="G280" s="55"/>
      <c r="H280" s="55"/>
      <c r="I280" s="74">
        <v>1.2</v>
      </c>
      <c r="J280" s="74">
        <v>6.5</v>
      </c>
      <c r="K280" s="4">
        <v>1325</v>
      </c>
      <c r="L280" s="74">
        <v>27</v>
      </c>
      <c r="M280" s="4">
        <v>33</v>
      </c>
      <c r="N280" s="4"/>
      <c r="O280" s="74"/>
      <c r="P280" s="4"/>
      <c r="Q280" s="74"/>
    </row>
    <row r="281" spans="1:17">
      <c r="A281" s="4">
        <f t="shared" si="4"/>
        <v>17</v>
      </c>
      <c r="B281" s="4">
        <f>IF(J281="",0,IF('Chart Information'!$V$14=A281,B280+1,IF(B280=0,0,IF(A281=A280,B280+1,0))))</f>
        <v>0</v>
      </c>
      <c r="C281" s="76"/>
      <c r="D281" s="4"/>
      <c r="E281" s="4"/>
      <c r="F281" s="55"/>
      <c r="G281" s="55"/>
      <c r="H281" s="55"/>
      <c r="I281" s="74">
        <v>1.2</v>
      </c>
      <c r="J281" s="74">
        <v>6.75</v>
      </c>
      <c r="K281" s="4">
        <v>1375</v>
      </c>
      <c r="L281" s="74">
        <v>28</v>
      </c>
      <c r="M281" s="4">
        <v>35</v>
      </c>
      <c r="N281" s="4"/>
      <c r="O281" s="74"/>
      <c r="P281" s="4"/>
      <c r="Q281" s="74"/>
    </row>
    <row r="282" spans="1:17">
      <c r="A282" s="4">
        <f t="shared" si="4"/>
        <v>17</v>
      </c>
      <c r="B282" s="4">
        <f>IF(J282="",0,IF('Chart Information'!$V$14=A282,B281+1,IF(B281=0,0,IF(A282=A281,B281+1,0))))</f>
        <v>0</v>
      </c>
      <c r="C282" s="76"/>
      <c r="D282" s="4"/>
      <c r="E282" s="4"/>
      <c r="F282" s="55"/>
      <c r="G282" s="55"/>
      <c r="H282" s="55"/>
      <c r="I282" s="74">
        <v>1.2</v>
      </c>
      <c r="J282" s="74">
        <v>7</v>
      </c>
      <c r="K282" s="4">
        <v>1425</v>
      </c>
      <c r="L282" s="74">
        <v>28</v>
      </c>
      <c r="M282" s="4">
        <v>36</v>
      </c>
      <c r="N282" s="4"/>
      <c r="O282" s="74"/>
      <c r="P282" s="4"/>
      <c r="Q282" s="74"/>
    </row>
    <row r="283" spans="1:17">
      <c r="A283" s="4">
        <f t="shared" si="4"/>
        <v>17</v>
      </c>
      <c r="B283" s="4">
        <f>IF(J283="",0,IF('Chart Information'!$V$14=A283,B282+1,IF(B282=0,0,IF(A283=A282,B282+1,0))))</f>
        <v>0</v>
      </c>
      <c r="C283" s="76"/>
      <c r="D283" s="4"/>
      <c r="E283" s="4"/>
      <c r="F283" s="55"/>
      <c r="G283" s="55"/>
      <c r="H283" s="55"/>
      <c r="I283" s="74">
        <v>1.2</v>
      </c>
      <c r="J283" s="74">
        <v>7.25</v>
      </c>
      <c r="K283" s="4">
        <v>1475</v>
      </c>
      <c r="L283" s="74">
        <v>28.25</v>
      </c>
      <c r="M283" s="4">
        <v>38</v>
      </c>
      <c r="N283" s="4"/>
      <c r="O283" s="74"/>
      <c r="P283" s="4"/>
      <c r="Q283" s="74"/>
    </row>
    <row r="284" spans="1:17">
      <c r="A284" s="4">
        <f t="shared" si="4"/>
        <v>17</v>
      </c>
      <c r="B284" s="4">
        <f>IF(J284="",0,IF('Chart Information'!$V$14=A284,B283+1,IF(B283=0,0,IF(A284=A283,B283+1,0))))</f>
        <v>0</v>
      </c>
      <c r="C284" s="76"/>
      <c r="D284" s="4"/>
      <c r="E284" s="4"/>
      <c r="F284" s="55"/>
      <c r="G284" s="55"/>
      <c r="H284" s="55"/>
      <c r="I284" s="74">
        <v>1.2</v>
      </c>
      <c r="J284" s="74">
        <v>7.5</v>
      </c>
      <c r="K284" s="4">
        <v>1520</v>
      </c>
      <c r="L284" s="74">
        <v>28.75</v>
      </c>
      <c r="M284" s="4">
        <v>40</v>
      </c>
      <c r="N284" s="4"/>
      <c r="O284" s="74"/>
      <c r="P284" s="4"/>
      <c r="Q284" s="74"/>
    </row>
    <row r="285" spans="1:17">
      <c r="A285" s="4">
        <f t="shared" si="4"/>
        <v>17</v>
      </c>
      <c r="B285" s="4">
        <f>IF(J285="",0,IF('Chart Information'!$V$14=A285,B284+1,IF(B284=0,0,IF(A285=A284,B284+1,0))))</f>
        <v>0</v>
      </c>
      <c r="C285" s="76"/>
      <c r="D285" s="4"/>
      <c r="E285" s="4"/>
      <c r="F285" s="55"/>
      <c r="G285" s="55"/>
      <c r="H285" s="55"/>
      <c r="I285" s="74">
        <v>1.2</v>
      </c>
      <c r="J285" s="74">
        <v>7.75</v>
      </c>
      <c r="K285" s="4">
        <v>1560</v>
      </c>
      <c r="L285" s="74">
        <v>29</v>
      </c>
      <c r="M285" s="4">
        <v>42</v>
      </c>
      <c r="N285" s="4"/>
      <c r="O285" s="74"/>
      <c r="P285" s="4"/>
      <c r="Q285" s="74"/>
    </row>
    <row r="286" spans="1:17">
      <c r="A286" s="4">
        <f t="shared" si="4"/>
        <v>17</v>
      </c>
      <c r="B286" s="4">
        <f>IF(J286="",0,IF('Chart Information'!$V$14=A286,B285+1,IF(B285=0,0,IF(A286=A285,B285+1,0))))</f>
        <v>0</v>
      </c>
      <c r="C286" s="76"/>
      <c r="D286" s="4"/>
      <c r="E286" s="4"/>
      <c r="F286" s="55"/>
      <c r="G286" s="55"/>
      <c r="H286" s="55"/>
      <c r="I286" s="74">
        <v>1.2</v>
      </c>
      <c r="J286" s="74">
        <v>8</v>
      </c>
      <c r="K286" s="4">
        <v>1600</v>
      </c>
      <c r="L286" s="74">
        <v>29.5</v>
      </c>
      <c r="M286" s="4">
        <v>45</v>
      </c>
      <c r="N286" s="4"/>
      <c r="O286" s="74"/>
      <c r="P286" s="4"/>
      <c r="Q286" s="74"/>
    </row>
    <row r="287" spans="1:17">
      <c r="A287" s="4">
        <f t="shared" si="4"/>
        <v>17</v>
      </c>
      <c r="B287" s="4">
        <f>IF(J287="",0,IF('Chart Information'!$V$14=A287,B286+1,IF(B286=0,0,IF(A287=A286,B286+1,0))))</f>
        <v>0</v>
      </c>
      <c r="C287" s="76"/>
      <c r="D287" s="4"/>
      <c r="E287" s="4"/>
      <c r="F287" s="55"/>
      <c r="G287" s="55"/>
      <c r="H287" s="55"/>
      <c r="I287" s="74">
        <v>1.2</v>
      </c>
      <c r="J287" s="74">
        <v>8.25</v>
      </c>
      <c r="K287" s="4">
        <v>1625</v>
      </c>
      <c r="L287" s="74">
        <v>30</v>
      </c>
      <c r="M287" s="4">
        <v>46</v>
      </c>
      <c r="N287" s="4"/>
      <c r="O287" s="74"/>
      <c r="P287" s="4"/>
      <c r="Q287" s="74"/>
    </row>
    <row r="288" spans="1:17">
      <c r="A288" s="4">
        <f t="shared" si="4"/>
        <v>17</v>
      </c>
      <c r="B288" s="4">
        <f>IF(J288="",0,IF('Chart Information'!$V$14=A288,B287+1,IF(B287=0,0,IF(A288=A287,B287+1,0))))</f>
        <v>0</v>
      </c>
      <c r="C288" s="76"/>
      <c r="D288" s="4"/>
      <c r="E288" s="4"/>
      <c r="F288" s="55"/>
      <c r="G288" s="55"/>
      <c r="H288" s="55"/>
      <c r="I288" s="74">
        <v>1.2</v>
      </c>
      <c r="J288" s="74">
        <v>8.5</v>
      </c>
      <c r="K288" s="4">
        <v>1650</v>
      </c>
      <c r="L288" s="74">
        <v>30.25</v>
      </c>
      <c r="M288" s="4">
        <v>47</v>
      </c>
      <c r="N288" s="4"/>
      <c r="O288" s="74"/>
      <c r="P288" s="4"/>
      <c r="Q288" s="74"/>
    </row>
    <row r="289" spans="1:17">
      <c r="A289" s="4">
        <f t="shared" si="4"/>
        <v>17</v>
      </c>
      <c r="B289" s="4">
        <f>IF(J289="",0,IF('Chart Information'!$V$14=A289,B288+1,IF(B288=0,0,IF(A289=A288,B288+1,0))))</f>
        <v>0</v>
      </c>
      <c r="C289" s="76"/>
      <c r="D289" s="4"/>
      <c r="E289" s="4"/>
      <c r="F289" s="55"/>
      <c r="G289" s="55"/>
      <c r="H289" s="55"/>
      <c r="I289" s="74">
        <v>1.2</v>
      </c>
      <c r="J289" s="74">
        <v>8.75</v>
      </c>
      <c r="K289" s="4">
        <v>1675</v>
      </c>
      <c r="L289" s="74">
        <v>31</v>
      </c>
      <c r="M289" s="4">
        <v>48</v>
      </c>
      <c r="N289" s="4"/>
      <c r="O289" s="74"/>
      <c r="P289" s="4"/>
      <c r="Q289" s="74"/>
    </row>
    <row r="290" spans="1:17">
      <c r="A290" s="4">
        <f t="shared" si="4"/>
        <v>17</v>
      </c>
      <c r="B290" s="4">
        <f>IF(J290="",0,IF('Chart Information'!$V$14=A290,B289+1,IF(B289=0,0,IF(A290=A289,B289+1,0))))</f>
        <v>0</v>
      </c>
      <c r="C290" s="76"/>
      <c r="D290" s="4"/>
      <c r="E290" s="4"/>
      <c r="F290" s="55"/>
      <c r="G290" s="55"/>
      <c r="H290" s="55"/>
      <c r="I290" s="74">
        <v>1.2</v>
      </c>
      <c r="J290" s="74">
        <v>9</v>
      </c>
      <c r="K290" s="4">
        <v>1695</v>
      </c>
      <c r="L290" s="74">
        <v>32</v>
      </c>
      <c r="M290" s="4">
        <v>49</v>
      </c>
      <c r="N290" s="4"/>
      <c r="O290" s="74"/>
      <c r="P290" s="4"/>
      <c r="Q290" s="74"/>
    </row>
    <row r="291" spans="1:17">
      <c r="A291" s="4">
        <f t="shared" si="4"/>
        <v>17</v>
      </c>
      <c r="B291" s="4">
        <f>IF(J291="",0,IF('Chart Information'!$V$14=A291,B290+1,IF(B290=0,0,IF(A291=A290,B290+1,0))))</f>
        <v>0</v>
      </c>
      <c r="C291" s="76"/>
      <c r="D291" s="4"/>
      <c r="E291" s="4"/>
      <c r="F291" s="55"/>
      <c r="G291" s="55"/>
      <c r="H291" s="55"/>
      <c r="I291" s="74">
        <v>1.2</v>
      </c>
      <c r="J291" s="74">
        <v>9.25</v>
      </c>
      <c r="K291" s="4">
        <v>1705</v>
      </c>
      <c r="L291" s="74">
        <v>32</v>
      </c>
      <c r="M291" s="4">
        <v>50</v>
      </c>
      <c r="N291" s="4"/>
      <c r="O291" s="74"/>
      <c r="P291" s="4"/>
      <c r="Q291" s="74"/>
    </row>
    <row r="292" spans="1:17">
      <c r="A292" s="4">
        <f t="shared" si="4"/>
        <v>17</v>
      </c>
      <c r="B292" s="4">
        <f>IF(J292="",0,IF('Chart Information'!$V$14=A292,B291+1,IF(B291=0,0,IF(A292=A291,B291+1,0))))</f>
        <v>0</v>
      </c>
      <c r="C292" s="76"/>
      <c r="D292" s="4"/>
      <c r="E292" s="4"/>
      <c r="F292" s="55"/>
      <c r="G292" s="55"/>
      <c r="H292" s="55"/>
      <c r="I292" s="74">
        <v>1.2</v>
      </c>
      <c r="J292" s="74">
        <v>9.5</v>
      </c>
      <c r="K292" s="4">
        <v>1715</v>
      </c>
      <c r="L292" s="74">
        <v>33</v>
      </c>
      <c r="M292" s="4">
        <v>51</v>
      </c>
      <c r="N292" s="4"/>
      <c r="O292" s="74"/>
      <c r="P292" s="4"/>
      <c r="Q292" s="74"/>
    </row>
    <row r="293" spans="1:17">
      <c r="A293" s="4">
        <f t="shared" si="4"/>
        <v>17</v>
      </c>
      <c r="B293" s="4">
        <f>IF(J293="",0,IF('Chart Information'!$V$14=A293,B292+1,IF(B292=0,0,IF(A293=A292,B292+1,0))))</f>
        <v>0</v>
      </c>
      <c r="C293" s="76"/>
      <c r="D293" s="4"/>
      <c r="E293" s="4"/>
      <c r="F293" s="55"/>
      <c r="G293" s="55"/>
      <c r="H293" s="55"/>
      <c r="I293" s="74">
        <v>1.2</v>
      </c>
      <c r="J293" s="74">
        <v>9.75</v>
      </c>
      <c r="K293" s="4">
        <v>1710</v>
      </c>
      <c r="L293" s="74">
        <v>33</v>
      </c>
      <c r="M293" s="4">
        <v>52</v>
      </c>
      <c r="N293" s="4"/>
      <c r="O293" s="74"/>
      <c r="P293" s="4"/>
      <c r="Q293" s="74"/>
    </row>
    <row r="294" spans="1:17">
      <c r="A294" s="4">
        <f t="shared" si="4"/>
        <v>17</v>
      </c>
      <c r="B294" s="4">
        <f>IF(J294="",0,IF('Chart Information'!$V$14=A294,B293+1,IF(B293=0,0,IF(A294=A293,B293+1,0))))</f>
        <v>0</v>
      </c>
      <c r="C294" s="76"/>
      <c r="D294" s="4"/>
      <c r="E294" s="4"/>
      <c r="F294" s="55"/>
      <c r="G294" s="55"/>
      <c r="H294" s="55"/>
      <c r="I294" s="74">
        <v>1.2</v>
      </c>
      <c r="J294" s="74">
        <v>10</v>
      </c>
      <c r="K294" s="4">
        <v>1700</v>
      </c>
      <c r="L294" s="74">
        <v>33.5</v>
      </c>
      <c r="M294" s="4">
        <v>53</v>
      </c>
      <c r="N294" s="4"/>
      <c r="O294" s="74"/>
      <c r="P294" s="4"/>
      <c r="Q294" s="74"/>
    </row>
    <row r="295" spans="1:17">
      <c r="A295" s="4">
        <f t="shared" si="4"/>
        <v>17</v>
      </c>
      <c r="B295" s="4">
        <f>IF(J295="",0,IF('Chart Information'!$V$14=A295,B294+1,IF(B294=0,0,IF(A295=A294,B294+1,0))))</f>
        <v>0</v>
      </c>
      <c r="C295" s="76"/>
      <c r="D295" s="4"/>
      <c r="E295" s="4"/>
      <c r="F295" s="55"/>
      <c r="G295" s="55"/>
      <c r="H295" s="55"/>
      <c r="I295" s="74">
        <v>1.2</v>
      </c>
      <c r="J295" s="74">
        <v>10.25</v>
      </c>
      <c r="K295" s="4">
        <v>1690</v>
      </c>
      <c r="L295" s="74">
        <v>33.75</v>
      </c>
      <c r="M295" s="4">
        <v>53</v>
      </c>
      <c r="N295" s="4"/>
      <c r="O295" s="74"/>
      <c r="P295" s="4"/>
      <c r="Q295" s="74"/>
    </row>
    <row r="296" spans="1:17">
      <c r="A296" s="4">
        <f t="shared" si="4"/>
        <v>17</v>
      </c>
      <c r="B296" s="4">
        <f>IF(J296="",0,IF('Chart Information'!$V$14=A296,B295+1,IF(B295=0,0,IF(A296=A295,B295+1,0))))</f>
        <v>0</v>
      </c>
      <c r="C296" s="76"/>
      <c r="D296" s="4"/>
      <c r="E296" s="4"/>
      <c r="F296" s="55"/>
      <c r="G296" s="55"/>
      <c r="H296" s="55"/>
      <c r="I296" s="74">
        <v>1.2</v>
      </c>
      <c r="J296" s="74">
        <v>10.5</v>
      </c>
      <c r="K296" s="4">
        <v>1675</v>
      </c>
      <c r="L296" s="74">
        <v>33.75</v>
      </c>
      <c r="M296" s="4">
        <v>53</v>
      </c>
      <c r="N296" s="4"/>
      <c r="O296" s="74"/>
      <c r="P296" s="4"/>
      <c r="Q296" s="74"/>
    </row>
    <row r="297" spans="1:17">
      <c r="A297" s="4">
        <f t="shared" si="4"/>
        <v>17</v>
      </c>
      <c r="B297" s="4">
        <f>IF(J297="",0,IF('Chart Information'!$V$14=A297,B296+1,IF(B296=0,0,IF(A297=A296,B296+1,0))))</f>
        <v>0</v>
      </c>
      <c r="C297" s="76"/>
      <c r="D297" s="4"/>
      <c r="E297" s="4"/>
      <c r="F297" s="55"/>
      <c r="G297" s="55"/>
      <c r="H297" s="55"/>
      <c r="I297" s="74">
        <v>1.2</v>
      </c>
      <c r="J297" s="74">
        <v>10.75</v>
      </c>
      <c r="K297" s="4">
        <v>1650</v>
      </c>
      <c r="L297" s="74">
        <v>34</v>
      </c>
      <c r="M297" s="4">
        <v>53</v>
      </c>
      <c r="N297" s="4"/>
      <c r="O297" s="74"/>
      <c r="P297" s="4"/>
      <c r="Q297" s="74"/>
    </row>
    <row r="298" spans="1:17">
      <c r="A298" s="4">
        <f t="shared" si="4"/>
        <v>17</v>
      </c>
      <c r="B298" s="4">
        <f>IF(J298="",0,IF('Chart Information'!$V$14=A298,B297+1,IF(B297=0,0,IF(A298=A297,B297+1,0))))</f>
        <v>0</v>
      </c>
      <c r="C298" s="76"/>
      <c r="D298" s="4"/>
      <c r="E298" s="4"/>
      <c r="F298" s="55"/>
      <c r="G298" s="55"/>
      <c r="H298" s="55"/>
      <c r="I298" s="74">
        <v>1.2</v>
      </c>
      <c r="J298" s="74">
        <v>11</v>
      </c>
      <c r="K298" s="4">
        <v>1615</v>
      </c>
      <c r="L298" s="74">
        <v>34</v>
      </c>
      <c r="M298" s="4">
        <v>52</v>
      </c>
      <c r="N298" s="4"/>
      <c r="O298" s="74"/>
      <c r="P298" s="4"/>
      <c r="Q298" s="74"/>
    </row>
    <row r="299" spans="1:17">
      <c r="A299" s="4">
        <f t="shared" si="4"/>
        <v>17</v>
      </c>
      <c r="B299" s="4">
        <f>IF(J299="",0,IF('Chart Information'!$V$14=A299,B298+1,IF(B298=0,0,IF(A299=A298,B298+1,0))))</f>
        <v>0</v>
      </c>
      <c r="C299" s="76"/>
      <c r="D299" s="4"/>
      <c r="E299" s="4"/>
      <c r="F299" s="55"/>
      <c r="G299" s="55"/>
      <c r="H299" s="55"/>
      <c r="I299" s="74">
        <v>1.2</v>
      </c>
      <c r="J299" s="74">
        <v>11.25</v>
      </c>
      <c r="K299" s="4">
        <v>1575</v>
      </c>
      <c r="L299" s="74">
        <v>34.5</v>
      </c>
      <c r="M299" s="4">
        <v>52</v>
      </c>
      <c r="N299" s="4"/>
      <c r="O299" s="74"/>
      <c r="P299" s="4"/>
      <c r="Q299" s="74"/>
    </row>
    <row r="300" spans="1:17">
      <c r="A300" s="4">
        <f t="shared" si="4"/>
        <v>17</v>
      </c>
      <c r="B300" s="4">
        <f>IF(J300="",0,IF('Chart Information'!$V$14=A300,B299+1,IF(B299=0,0,IF(A300=A299,B299+1,0))))</f>
        <v>0</v>
      </c>
      <c r="C300" s="76"/>
      <c r="D300" s="4"/>
      <c r="E300" s="4"/>
      <c r="F300" s="55"/>
      <c r="G300" s="55"/>
      <c r="H300" s="55"/>
      <c r="I300" s="74">
        <v>1.2</v>
      </c>
      <c r="J300" s="74">
        <v>11.5</v>
      </c>
      <c r="K300" s="4">
        <v>1530</v>
      </c>
      <c r="L300" s="74">
        <v>35</v>
      </c>
      <c r="M300" s="4">
        <v>51</v>
      </c>
      <c r="N300" s="4"/>
      <c r="O300" s="74"/>
      <c r="P300" s="4"/>
      <c r="Q300" s="74"/>
    </row>
    <row r="301" spans="1:17">
      <c r="A301" s="4">
        <f t="shared" si="4"/>
        <v>17</v>
      </c>
      <c r="B301" s="4">
        <f>IF(J301="",0,IF('Chart Information'!$V$14=A301,B300+1,IF(B300=0,0,IF(A301=A300,B300+1,0))))</f>
        <v>0</v>
      </c>
      <c r="C301" s="76"/>
      <c r="D301" s="4"/>
      <c r="E301" s="4"/>
      <c r="F301" s="55"/>
      <c r="G301" s="55"/>
      <c r="H301" s="55"/>
      <c r="I301" s="74">
        <v>1.2</v>
      </c>
      <c r="J301" s="74">
        <v>11.75</v>
      </c>
      <c r="K301" s="4">
        <v>1485</v>
      </c>
      <c r="L301" s="74">
        <v>35</v>
      </c>
      <c r="M301" s="4">
        <v>50</v>
      </c>
      <c r="N301" s="4"/>
      <c r="O301" s="74"/>
      <c r="P301" s="4"/>
      <c r="Q301" s="74"/>
    </row>
    <row r="302" spans="1:17">
      <c r="A302" s="4">
        <f t="shared" si="4"/>
        <v>17</v>
      </c>
      <c r="B302" s="4">
        <f>IF(J302="",0,IF('Chart Information'!$V$14=A302,B301+1,IF(B301=0,0,IF(A302=A301,B301+1,0))))</f>
        <v>0</v>
      </c>
      <c r="C302" s="76"/>
      <c r="D302" s="4"/>
      <c r="E302" s="4"/>
      <c r="F302" s="55"/>
      <c r="G302" s="55"/>
      <c r="H302" s="55"/>
      <c r="I302" s="74">
        <v>1.2</v>
      </c>
      <c r="J302" s="74">
        <v>12</v>
      </c>
      <c r="K302" s="4">
        <v>1425</v>
      </c>
      <c r="L302" s="74">
        <v>35</v>
      </c>
      <c r="M302" s="4">
        <v>49</v>
      </c>
      <c r="N302" s="4"/>
      <c r="O302" s="74"/>
      <c r="P302" s="4"/>
      <c r="Q302" s="74"/>
    </row>
    <row r="303" spans="1:17">
      <c r="A303" s="4">
        <f t="shared" si="4"/>
        <v>17</v>
      </c>
      <c r="B303" s="4">
        <f>IF(J303="",0,IF('Chart Information'!$V$14=A303,B302+1,IF(B302=0,0,IF(A303=A302,B302+1,0))))</f>
        <v>0</v>
      </c>
      <c r="C303" s="76"/>
      <c r="D303" s="4"/>
      <c r="E303" s="4"/>
      <c r="F303" s="55"/>
      <c r="G303" s="55"/>
      <c r="H303" s="55"/>
      <c r="I303" s="74">
        <v>1.2</v>
      </c>
      <c r="J303" s="74">
        <v>12.25</v>
      </c>
      <c r="K303" s="4">
        <v>1375</v>
      </c>
      <c r="L303" s="74">
        <v>35.25</v>
      </c>
      <c r="M303" s="4">
        <v>48</v>
      </c>
      <c r="N303" s="4"/>
      <c r="O303" s="74"/>
      <c r="P303" s="4"/>
      <c r="Q303" s="74"/>
    </row>
    <row r="304" spans="1:17">
      <c r="A304" s="4">
        <f t="shared" si="4"/>
        <v>17</v>
      </c>
      <c r="B304" s="4">
        <f>IF(J304="",0,IF('Chart Information'!$V$14=A304,B303+1,IF(B303=0,0,IF(A304=A303,B303+1,0))))</f>
        <v>0</v>
      </c>
      <c r="C304" s="76"/>
      <c r="D304" s="4"/>
      <c r="E304" s="4"/>
      <c r="F304" s="55"/>
      <c r="G304" s="55"/>
      <c r="H304" s="55"/>
      <c r="I304" s="74">
        <v>1.2</v>
      </c>
      <c r="J304" s="74">
        <v>12.5</v>
      </c>
      <c r="K304" s="4">
        <v>1300</v>
      </c>
      <c r="L304" s="74">
        <v>35.75</v>
      </c>
      <c r="M304" s="4">
        <v>46</v>
      </c>
      <c r="N304" s="4"/>
      <c r="O304" s="74"/>
      <c r="P304" s="4"/>
      <c r="Q304" s="74"/>
    </row>
    <row r="305" spans="1:17">
      <c r="A305" s="4">
        <f t="shared" si="4"/>
        <v>17</v>
      </c>
      <c r="B305" s="4">
        <f>IF(J305="",0,IF('Chart Information'!$V$14=A305,B304+1,IF(B304=0,0,IF(A305=A304,B304+1,0))))</f>
        <v>0</v>
      </c>
      <c r="C305" s="76"/>
      <c r="D305" s="4"/>
      <c r="E305" s="4"/>
      <c r="F305" s="55"/>
      <c r="G305" s="55"/>
      <c r="H305" s="55"/>
      <c r="I305" s="74">
        <v>1.2</v>
      </c>
      <c r="J305" s="74">
        <v>12.75</v>
      </c>
      <c r="K305" s="4">
        <v>1225</v>
      </c>
      <c r="L305" s="74">
        <v>36</v>
      </c>
      <c r="M305" s="4">
        <v>44</v>
      </c>
      <c r="N305" s="4"/>
      <c r="O305" s="74"/>
      <c r="P305" s="4"/>
      <c r="Q305" s="74"/>
    </row>
    <row r="306" spans="1:17">
      <c r="A306" s="4">
        <f t="shared" si="4"/>
        <v>17</v>
      </c>
      <c r="B306" s="4">
        <f>IF(J306="",0,IF('Chart Information'!$V$14=A306,B305+1,IF(B305=0,0,IF(A306=A305,B305+1,0))))</f>
        <v>0</v>
      </c>
      <c r="C306" s="76"/>
      <c r="D306" s="4"/>
      <c r="E306" s="4"/>
      <c r="F306" s="55"/>
      <c r="G306" s="55"/>
      <c r="H306" s="55"/>
      <c r="I306" s="74">
        <v>1.2</v>
      </c>
      <c r="J306" s="74">
        <v>13</v>
      </c>
      <c r="K306" s="4">
        <v>1150</v>
      </c>
      <c r="L306" s="74">
        <v>36</v>
      </c>
      <c r="M306" s="4">
        <v>42</v>
      </c>
      <c r="N306" s="4"/>
      <c r="O306" s="74"/>
      <c r="P306" s="4"/>
      <c r="Q306" s="74"/>
    </row>
    <row r="307" spans="1:17">
      <c r="A307" s="4">
        <f t="shared" si="4"/>
        <v>17</v>
      </c>
      <c r="B307" s="4">
        <f>IF(J307="",0,IF('Chart Information'!$V$14=A307,B306+1,IF(B306=0,0,IF(A307=A306,B306+1,0))))</f>
        <v>0</v>
      </c>
      <c r="C307" s="76"/>
      <c r="D307" s="4"/>
      <c r="E307" s="4"/>
      <c r="F307" s="55"/>
      <c r="G307" s="55"/>
      <c r="H307" s="55"/>
      <c r="I307" s="74">
        <v>1.2</v>
      </c>
      <c r="J307" s="74">
        <v>13.25</v>
      </c>
      <c r="K307" s="4">
        <v>1075</v>
      </c>
      <c r="L307" s="74">
        <v>37</v>
      </c>
      <c r="M307" s="4">
        <v>39</v>
      </c>
      <c r="N307" s="4"/>
      <c r="O307" s="74"/>
      <c r="P307" s="4"/>
      <c r="Q307" s="74"/>
    </row>
    <row r="308" spans="1:17">
      <c r="A308" s="4">
        <f t="shared" si="4"/>
        <v>17</v>
      </c>
      <c r="B308" s="4">
        <f>IF(J308="",0,IF('Chart Information'!$V$14=A308,B307+1,IF(B307=0,0,IF(A308=A307,B307+1,0))))</f>
        <v>0</v>
      </c>
      <c r="C308" s="76"/>
      <c r="D308" s="4"/>
      <c r="E308" s="4"/>
      <c r="F308" s="55"/>
      <c r="G308" s="55"/>
      <c r="H308" s="55"/>
      <c r="I308" s="74">
        <v>1.2</v>
      </c>
      <c r="J308" s="74">
        <v>13.5</v>
      </c>
      <c r="K308" s="4">
        <v>975</v>
      </c>
      <c r="L308" s="74">
        <v>37</v>
      </c>
      <c r="M308" s="4">
        <v>36</v>
      </c>
      <c r="N308" s="4"/>
      <c r="O308" s="74"/>
      <c r="P308" s="4"/>
      <c r="Q308" s="74"/>
    </row>
    <row r="309" spans="1:17">
      <c r="A309" s="4">
        <f t="shared" si="4"/>
        <v>17</v>
      </c>
      <c r="B309" s="4">
        <f>IF(J309="",0,IF('Chart Information'!$V$14=A309,B308+1,IF(B308=0,0,IF(A309=A308,B308+1,0))))</f>
        <v>0</v>
      </c>
      <c r="C309" s="76"/>
      <c r="D309" s="4"/>
      <c r="E309" s="4"/>
      <c r="F309" s="55"/>
      <c r="G309" s="55"/>
      <c r="H309" s="55"/>
      <c r="I309" s="74">
        <v>1.2</v>
      </c>
      <c r="J309" s="74">
        <v>13.75</v>
      </c>
      <c r="K309" s="4">
        <v>885</v>
      </c>
      <c r="L309" s="74">
        <v>37</v>
      </c>
      <c r="M309" s="4">
        <v>31</v>
      </c>
      <c r="N309" s="4"/>
      <c r="O309" s="74"/>
      <c r="P309" s="4"/>
      <c r="Q309" s="74"/>
    </row>
    <row r="310" spans="1:17">
      <c r="A310" s="4">
        <f t="shared" si="4"/>
        <v>17</v>
      </c>
      <c r="B310" s="4">
        <f>IF(J310="",0,IF('Chart Information'!$V$14=A310,B309+1,IF(B309=0,0,IF(A310=A309,B309+1,0))))</f>
        <v>0</v>
      </c>
      <c r="C310" s="76"/>
      <c r="D310" s="4"/>
      <c r="E310" s="4"/>
      <c r="F310" s="55"/>
      <c r="G310" s="55"/>
      <c r="H310" s="55"/>
      <c r="I310" s="74">
        <v>1.2</v>
      </c>
      <c r="J310" s="74">
        <v>14</v>
      </c>
      <c r="K310" s="4">
        <v>770</v>
      </c>
      <c r="L310" s="74">
        <v>37.5</v>
      </c>
      <c r="M310" s="4">
        <v>29</v>
      </c>
      <c r="N310" s="4"/>
      <c r="O310" s="74"/>
      <c r="P310" s="4"/>
      <c r="Q310" s="74"/>
    </row>
    <row r="311" spans="1:17">
      <c r="A311" s="4">
        <f t="shared" si="4"/>
        <v>17</v>
      </c>
      <c r="B311" s="4">
        <f>IF(J311="",0,IF('Chart Information'!$V$14=A311,B310+1,IF(B310=0,0,IF(A311=A310,B310+1,0))))</f>
        <v>0</v>
      </c>
      <c r="C311" s="76"/>
      <c r="D311" s="4"/>
      <c r="E311" s="4"/>
      <c r="F311" s="55"/>
      <c r="G311" s="55"/>
      <c r="H311" s="55"/>
      <c r="I311" s="74">
        <v>1.2</v>
      </c>
      <c r="J311" s="74">
        <v>14.25</v>
      </c>
      <c r="K311" s="4">
        <v>675</v>
      </c>
      <c r="L311" s="74">
        <v>37.75</v>
      </c>
      <c r="M311" s="4">
        <v>27</v>
      </c>
      <c r="N311" s="4"/>
      <c r="O311" s="74"/>
      <c r="P311" s="4"/>
      <c r="Q311" s="74"/>
    </row>
    <row r="312" spans="1:17">
      <c r="A312" s="4">
        <f t="shared" si="4"/>
        <v>17</v>
      </c>
      <c r="B312" s="4">
        <f>IF(J312="",0,IF('Chart Information'!$V$14=A312,B311+1,IF(B311=0,0,IF(A312=A311,B311+1,0))))</f>
        <v>0</v>
      </c>
      <c r="C312" s="76"/>
      <c r="D312" s="4"/>
      <c r="E312" s="4"/>
      <c r="F312" s="55"/>
      <c r="G312" s="55"/>
      <c r="H312" s="55"/>
      <c r="I312" s="74">
        <v>1.2</v>
      </c>
      <c r="J312" s="74">
        <v>14.5</v>
      </c>
      <c r="K312" s="4">
        <v>550</v>
      </c>
      <c r="L312" s="74">
        <v>38</v>
      </c>
      <c r="M312" s="4">
        <v>20</v>
      </c>
      <c r="N312" s="4"/>
      <c r="O312" s="74"/>
      <c r="P312" s="4"/>
      <c r="Q312" s="74"/>
    </row>
    <row r="313" spans="1:17">
      <c r="A313" s="4">
        <f t="shared" si="4"/>
        <v>17</v>
      </c>
      <c r="B313" s="4">
        <f>IF(J313="",0,IF('Chart Information'!$V$14=A313,B312+1,IF(B312=0,0,IF(A313=A312,B312+1,0))))</f>
        <v>0</v>
      </c>
      <c r="C313" s="76"/>
      <c r="D313" s="4"/>
      <c r="E313" s="4"/>
      <c r="F313" s="55"/>
      <c r="G313" s="55"/>
      <c r="H313" s="55"/>
      <c r="I313" s="74">
        <v>1.2</v>
      </c>
      <c r="J313" s="74">
        <v>14.75</v>
      </c>
      <c r="K313" s="4">
        <v>450</v>
      </c>
      <c r="L313" s="74">
        <v>38</v>
      </c>
      <c r="M313" s="4">
        <v>18</v>
      </c>
      <c r="N313" s="4"/>
      <c r="O313" s="74"/>
      <c r="P313" s="4"/>
      <c r="Q313" s="74"/>
    </row>
    <row r="314" spans="1:17">
      <c r="A314" s="4">
        <f t="shared" si="4"/>
        <v>18</v>
      </c>
      <c r="B314" s="4">
        <f>IF(J314="",0,IF('Chart Information'!$V$14=A314,B313+1,IF(B313=0,0,IF(A314=A313,B313+1,0))))</f>
        <v>0</v>
      </c>
      <c r="C314" s="76" t="s">
        <v>318</v>
      </c>
      <c r="D314" s="4" t="s">
        <v>290</v>
      </c>
      <c r="E314" s="4">
        <v>760</v>
      </c>
      <c r="F314" s="55">
        <v>45</v>
      </c>
      <c r="G314" s="55" t="s">
        <v>293</v>
      </c>
      <c r="H314" s="55" t="s">
        <v>298</v>
      </c>
      <c r="I314" s="74">
        <v>1.2</v>
      </c>
      <c r="J314" s="74">
        <v>8.25</v>
      </c>
      <c r="K314" s="4">
        <v>1900</v>
      </c>
      <c r="L314" s="74">
        <v>34.5</v>
      </c>
      <c r="M314" s="4">
        <v>46</v>
      </c>
      <c r="N314" s="4">
        <f>+K314</f>
        <v>1900</v>
      </c>
      <c r="O314" s="74">
        <f>+J314</f>
        <v>8.25</v>
      </c>
      <c r="P314" s="4">
        <f>+K322</f>
        <v>2275</v>
      </c>
      <c r="Q314" s="74">
        <f>+J322</f>
        <v>10.25</v>
      </c>
    </row>
    <row r="315" spans="1:17">
      <c r="A315" s="4">
        <f t="shared" si="4"/>
        <v>18</v>
      </c>
      <c r="B315" s="4">
        <f>IF(J315="",0,IF('Chart Information'!$V$14=A315,B314+1,IF(B314=0,0,IF(A315=A314,B314+1,0))))</f>
        <v>0</v>
      </c>
      <c r="C315" s="76"/>
      <c r="D315" s="4"/>
      <c r="E315" s="4"/>
      <c r="F315" s="55"/>
      <c r="G315" s="55"/>
      <c r="H315" s="55"/>
      <c r="I315" s="74">
        <v>1.2</v>
      </c>
      <c r="J315" s="74">
        <v>8.5</v>
      </c>
      <c r="K315" s="4">
        <v>2000</v>
      </c>
      <c r="L315" s="74">
        <v>35</v>
      </c>
      <c r="M315" s="4">
        <v>48</v>
      </c>
      <c r="N315" s="4"/>
      <c r="O315" s="74"/>
      <c r="P315" s="4"/>
      <c r="Q315" s="74"/>
    </row>
    <row r="316" spans="1:17">
      <c r="A316" s="4">
        <f t="shared" si="4"/>
        <v>18</v>
      </c>
      <c r="B316" s="4">
        <f>IF(J316="",0,IF('Chart Information'!$V$14=A316,B315+1,IF(B315=0,0,IF(A316=A315,B315+1,0))))</f>
        <v>0</v>
      </c>
      <c r="C316" s="76"/>
      <c r="D316" s="4"/>
      <c r="E316" s="4"/>
      <c r="F316" s="55"/>
      <c r="G316" s="55"/>
      <c r="H316" s="55"/>
      <c r="I316" s="74">
        <v>1.2</v>
      </c>
      <c r="J316" s="74">
        <v>8.75</v>
      </c>
      <c r="K316" s="4">
        <v>2075</v>
      </c>
      <c r="L316" s="74">
        <v>36.5</v>
      </c>
      <c r="M316" s="4">
        <v>49</v>
      </c>
      <c r="N316" s="4"/>
      <c r="O316" s="74"/>
      <c r="P316" s="4"/>
      <c r="Q316" s="74"/>
    </row>
    <row r="317" spans="1:17">
      <c r="A317" s="4">
        <f t="shared" si="4"/>
        <v>18</v>
      </c>
      <c r="B317" s="4">
        <f>IF(J317="",0,IF('Chart Information'!$V$14=A317,B316+1,IF(B316=0,0,IF(A317=A316,B316+1,0))))</f>
        <v>0</v>
      </c>
      <c r="C317" s="76"/>
      <c r="D317" s="4"/>
      <c r="E317" s="4"/>
      <c r="F317" s="55"/>
      <c r="G317" s="55"/>
      <c r="H317" s="55"/>
      <c r="I317" s="74">
        <v>1.2</v>
      </c>
      <c r="J317" s="74">
        <v>9</v>
      </c>
      <c r="K317" s="4">
        <v>2125</v>
      </c>
      <c r="L317" s="74">
        <v>37</v>
      </c>
      <c r="M317" s="4">
        <v>50</v>
      </c>
      <c r="N317" s="4"/>
      <c r="O317" s="74"/>
      <c r="P317" s="4"/>
      <c r="Q317" s="74"/>
    </row>
    <row r="318" spans="1:17">
      <c r="A318" s="4">
        <f t="shared" si="4"/>
        <v>18</v>
      </c>
      <c r="B318" s="4">
        <f>IF(J318="",0,IF('Chart Information'!$V$14=A318,B317+1,IF(B317=0,0,IF(A318=A317,B317+1,0))))</f>
        <v>0</v>
      </c>
      <c r="C318" s="76"/>
      <c r="D318" s="4"/>
      <c r="E318" s="4"/>
      <c r="F318" s="55"/>
      <c r="G318" s="55"/>
      <c r="H318" s="55"/>
      <c r="I318" s="74">
        <v>1.2</v>
      </c>
      <c r="J318" s="74">
        <v>9.25</v>
      </c>
      <c r="K318" s="4">
        <v>2175</v>
      </c>
      <c r="L318" s="74">
        <v>38</v>
      </c>
      <c r="M318" s="4">
        <v>52</v>
      </c>
      <c r="N318" s="4"/>
      <c r="O318" s="74"/>
      <c r="P318" s="4"/>
      <c r="Q318" s="74"/>
    </row>
    <row r="319" spans="1:17">
      <c r="A319" s="4">
        <f t="shared" si="4"/>
        <v>18</v>
      </c>
      <c r="B319" s="4">
        <f>IF(J319="",0,IF('Chart Information'!$V$14=A319,B318+1,IF(B318=0,0,IF(A319=A318,B318+1,0))))</f>
        <v>0</v>
      </c>
      <c r="C319" s="76"/>
      <c r="D319" s="4"/>
      <c r="E319" s="4"/>
      <c r="F319" s="55"/>
      <c r="G319" s="55"/>
      <c r="H319" s="55"/>
      <c r="I319" s="74">
        <v>1.2</v>
      </c>
      <c r="J319" s="74">
        <v>9.5</v>
      </c>
      <c r="K319" s="4">
        <v>2225</v>
      </c>
      <c r="L319" s="74">
        <v>39</v>
      </c>
      <c r="M319" s="4">
        <v>54</v>
      </c>
      <c r="N319" s="4"/>
      <c r="O319" s="74"/>
      <c r="P319" s="4"/>
      <c r="Q319" s="74"/>
    </row>
    <row r="320" spans="1:17">
      <c r="A320" s="4">
        <f t="shared" si="4"/>
        <v>18</v>
      </c>
      <c r="B320" s="4">
        <f>IF(J320="",0,IF('Chart Information'!$V$14=A320,B319+1,IF(B319=0,0,IF(A320=A319,B319+1,0))))</f>
        <v>0</v>
      </c>
      <c r="C320" s="76"/>
      <c r="D320" s="4"/>
      <c r="E320" s="4"/>
      <c r="F320" s="55"/>
      <c r="G320" s="55"/>
      <c r="H320" s="55"/>
      <c r="I320" s="74">
        <v>1.2</v>
      </c>
      <c r="J320" s="74">
        <v>9.75</v>
      </c>
      <c r="K320" s="4">
        <v>2250</v>
      </c>
      <c r="L320" s="74">
        <v>39.5</v>
      </c>
      <c r="M320" s="4">
        <v>55</v>
      </c>
      <c r="N320" s="4"/>
      <c r="O320" s="74"/>
      <c r="P320" s="4"/>
      <c r="Q320" s="74"/>
    </row>
    <row r="321" spans="1:17">
      <c r="A321" s="4">
        <f t="shared" si="4"/>
        <v>18</v>
      </c>
      <c r="B321" s="4">
        <f>IF(J321="",0,IF('Chart Information'!$V$14=A321,B320+1,IF(B320=0,0,IF(A321=A320,B320+1,0))))</f>
        <v>0</v>
      </c>
      <c r="C321" s="76"/>
      <c r="D321" s="4"/>
      <c r="E321" s="4"/>
      <c r="F321" s="55"/>
      <c r="G321" s="55"/>
      <c r="H321" s="55"/>
      <c r="I321" s="74">
        <v>1.2</v>
      </c>
      <c r="J321" s="74">
        <v>10</v>
      </c>
      <c r="K321" s="4">
        <v>2275</v>
      </c>
      <c r="L321" s="74">
        <v>40</v>
      </c>
      <c r="M321" s="4">
        <v>56</v>
      </c>
      <c r="N321" s="4"/>
      <c r="O321" s="74"/>
      <c r="P321" s="4"/>
      <c r="Q321" s="74"/>
    </row>
    <row r="322" spans="1:17">
      <c r="A322" s="4">
        <f t="shared" si="4"/>
        <v>18</v>
      </c>
      <c r="B322" s="4">
        <f>IF(J322="",0,IF('Chart Information'!$V$14=A322,B321+1,IF(B321=0,0,IF(A322=A321,B321+1,0))))</f>
        <v>0</v>
      </c>
      <c r="C322" s="76"/>
      <c r="D322" s="4"/>
      <c r="E322" s="4"/>
      <c r="F322" s="55"/>
      <c r="G322" s="55"/>
      <c r="H322" s="55"/>
      <c r="I322" s="74">
        <v>1.2</v>
      </c>
      <c r="J322" s="74">
        <v>10.25</v>
      </c>
      <c r="K322" s="4">
        <v>2275</v>
      </c>
      <c r="L322" s="74">
        <v>40</v>
      </c>
      <c r="M322" s="4">
        <v>57</v>
      </c>
      <c r="N322" s="4"/>
      <c r="O322" s="74"/>
      <c r="P322" s="4"/>
      <c r="Q322" s="74"/>
    </row>
    <row r="323" spans="1:17">
      <c r="A323" s="4">
        <f t="shared" si="4"/>
        <v>18</v>
      </c>
      <c r="B323" s="4">
        <f>IF(J323="",0,IF('Chart Information'!$V$14=A323,B322+1,IF(B322=0,0,IF(A323=A322,B322+1,0))))</f>
        <v>0</v>
      </c>
      <c r="C323" s="76"/>
      <c r="D323" s="4"/>
      <c r="E323" s="4"/>
      <c r="F323" s="55"/>
      <c r="G323" s="55"/>
      <c r="H323" s="55"/>
      <c r="I323" s="74">
        <v>1.2</v>
      </c>
      <c r="J323" s="74">
        <v>10.5</v>
      </c>
      <c r="K323" s="4">
        <v>2260</v>
      </c>
      <c r="L323" s="74">
        <v>41</v>
      </c>
      <c r="M323" s="4">
        <v>58</v>
      </c>
      <c r="N323" s="4"/>
      <c r="O323" s="74"/>
      <c r="P323" s="4"/>
      <c r="Q323" s="74"/>
    </row>
    <row r="324" spans="1:17">
      <c r="A324" s="4">
        <f t="shared" si="4"/>
        <v>18</v>
      </c>
      <c r="B324" s="4">
        <f>IF(J324="",0,IF('Chart Information'!$V$14=A324,B323+1,IF(B323=0,0,IF(A324=A323,B323+1,0))))</f>
        <v>0</v>
      </c>
      <c r="C324" s="76"/>
      <c r="D324" s="4"/>
      <c r="E324" s="4"/>
      <c r="F324" s="55"/>
      <c r="G324" s="55"/>
      <c r="H324" s="55"/>
      <c r="I324" s="74">
        <v>1.2</v>
      </c>
      <c r="J324" s="74">
        <v>10.75</v>
      </c>
      <c r="K324" s="4">
        <v>2235</v>
      </c>
      <c r="L324" s="74">
        <v>41</v>
      </c>
      <c r="M324" s="4">
        <v>58</v>
      </c>
      <c r="N324" s="4"/>
      <c r="O324" s="74"/>
      <c r="P324" s="4"/>
      <c r="Q324" s="74"/>
    </row>
    <row r="325" spans="1:17">
      <c r="A325" s="4">
        <f t="shared" si="4"/>
        <v>18</v>
      </c>
      <c r="B325" s="4">
        <f>IF(J325="",0,IF('Chart Information'!$V$14=A325,B324+1,IF(B324=0,0,IF(A325=A324,B324+1,0))))</f>
        <v>0</v>
      </c>
      <c r="C325" s="76"/>
      <c r="D325" s="4"/>
      <c r="E325" s="4"/>
      <c r="F325" s="55"/>
      <c r="G325" s="55"/>
      <c r="H325" s="55"/>
      <c r="I325" s="74">
        <v>1.2</v>
      </c>
      <c r="J325" s="74">
        <v>11</v>
      </c>
      <c r="K325" s="4">
        <v>2200</v>
      </c>
      <c r="L325" s="74">
        <v>42</v>
      </c>
      <c r="M325" s="4">
        <v>59</v>
      </c>
      <c r="N325" s="4"/>
      <c r="O325" s="74"/>
      <c r="P325" s="4"/>
      <c r="Q325" s="74"/>
    </row>
    <row r="326" spans="1:17">
      <c r="A326" s="4">
        <f t="shared" si="4"/>
        <v>18</v>
      </c>
      <c r="B326" s="4">
        <f>IF(J326="",0,IF('Chart Information'!$V$14=A326,B325+1,IF(B325=0,0,IF(A326=A325,B325+1,0))))</f>
        <v>0</v>
      </c>
      <c r="C326" s="76"/>
      <c r="D326" s="4"/>
      <c r="E326" s="4"/>
      <c r="F326" s="55"/>
      <c r="G326" s="55"/>
      <c r="H326" s="55"/>
      <c r="I326" s="74">
        <v>1.2</v>
      </c>
      <c r="J326" s="74">
        <v>11.25</v>
      </c>
      <c r="K326" s="4">
        <v>2150</v>
      </c>
      <c r="L326" s="74">
        <v>42</v>
      </c>
      <c r="M326" s="4">
        <v>59</v>
      </c>
      <c r="N326" s="4"/>
      <c r="O326" s="74"/>
      <c r="P326" s="4"/>
      <c r="Q326" s="74"/>
    </row>
    <row r="327" spans="1:17">
      <c r="A327" s="4">
        <f t="shared" si="4"/>
        <v>18</v>
      </c>
      <c r="B327" s="4">
        <f>IF(J327="",0,IF('Chart Information'!$V$14=A327,B326+1,IF(B326=0,0,IF(A327=A326,B326+1,0))))</f>
        <v>0</v>
      </c>
      <c r="C327" s="76"/>
      <c r="D327" s="4"/>
      <c r="E327" s="4"/>
      <c r="F327" s="55"/>
      <c r="G327" s="55"/>
      <c r="H327" s="55"/>
      <c r="I327" s="74">
        <v>1.2</v>
      </c>
      <c r="J327" s="74">
        <v>11.5</v>
      </c>
      <c r="K327" s="4">
        <v>2100</v>
      </c>
      <c r="L327" s="74">
        <v>42</v>
      </c>
      <c r="M327" s="4">
        <v>58</v>
      </c>
      <c r="N327" s="4"/>
      <c r="O327" s="74"/>
      <c r="P327" s="4"/>
      <c r="Q327" s="74"/>
    </row>
    <row r="328" spans="1:17">
      <c r="A328" s="4">
        <f t="shared" ref="A328:A391" si="5">IF(D328="",A327,A327+1)</f>
        <v>18</v>
      </c>
      <c r="B328" s="4">
        <f>IF(J328="",0,IF('Chart Information'!$V$14=A328,B327+1,IF(B327=0,0,IF(A328=A327,B327+1,0))))</f>
        <v>0</v>
      </c>
      <c r="C328" s="76"/>
      <c r="D328" s="4"/>
      <c r="E328" s="4"/>
      <c r="F328" s="55"/>
      <c r="G328" s="55"/>
      <c r="H328" s="55"/>
      <c r="I328" s="74">
        <v>1.2</v>
      </c>
      <c r="J328" s="74">
        <v>11.75</v>
      </c>
      <c r="K328" s="4">
        <v>2050</v>
      </c>
      <c r="L328" s="74">
        <v>42</v>
      </c>
      <c r="M328" s="4">
        <v>58</v>
      </c>
      <c r="N328" s="4"/>
      <c r="O328" s="74"/>
      <c r="P328" s="4"/>
      <c r="Q328" s="74"/>
    </row>
    <row r="329" spans="1:17">
      <c r="A329" s="4">
        <f t="shared" si="5"/>
        <v>18</v>
      </c>
      <c r="B329" s="4">
        <f>IF(J329="",0,IF('Chart Information'!$V$14=A329,B328+1,IF(B328=0,0,IF(A329=A328,B328+1,0))))</f>
        <v>0</v>
      </c>
      <c r="C329" s="76"/>
      <c r="D329" s="4"/>
      <c r="E329" s="4"/>
      <c r="F329" s="55"/>
      <c r="G329" s="55"/>
      <c r="H329" s="55"/>
      <c r="I329" s="74">
        <v>1.2</v>
      </c>
      <c r="J329" s="74">
        <v>12</v>
      </c>
      <c r="K329" s="4">
        <v>1975</v>
      </c>
      <c r="L329" s="74">
        <v>42</v>
      </c>
      <c r="M329" s="4">
        <v>57</v>
      </c>
      <c r="N329" s="4"/>
      <c r="O329" s="74"/>
      <c r="P329" s="4"/>
      <c r="Q329" s="74"/>
    </row>
    <row r="330" spans="1:17">
      <c r="A330" s="4">
        <f t="shared" si="5"/>
        <v>18</v>
      </c>
      <c r="B330" s="4">
        <f>IF(J330="",0,IF('Chart Information'!$V$14=A330,B329+1,IF(B329=0,0,IF(A330=A329,B329+1,0))))</f>
        <v>0</v>
      </c>
      <c r="C330" s="76"/>
      <c r="D330" s="4"/>
      <c r="E330" s="4"/>
      <c r="F330" s="55"/>
      <c r="G330" s="55"/>
      <c r="H330" s="55"/>
      <c r="I330" s="74">
        <v>1.2</v>
      </c>
      <c r="J330" s="74">
        <v>12.25</v>
      </c>
      <c r="K330" s="4">
        <v>1875</v>
      </c>
      <c r="L330" s="74">
        <v>42</v>
      </c>
      <c r="M330" s="4">
        <v>56</v>
      </c>
      <c r="N330" s="4"/>
      <c r="O330" s="74"/>
      <c r="P330" s="4"/>
      <c r="Q330" s="74"/>
    </row>
    <row r="331" spans="1:17">
      <c r="A331" s="4">
        <f t="shared" si="5"/>
        <v>18</v>
      </c>
      <c r="B331" s="4">
        <f>IF(J331="",0,IF('Chart Information'!$V$14=A331,B330+1,IF(B330=0,0,IF(A331=A330,B330+1,0))))</f>
        <v>0</v>
      </c>
      <c r="C331" s="76"/>
      <c r="D331" s="4"/>
      <c r="E331" s="4"/>
      <c r="F331" s="55"/>
      <c r="G331" s="55"/>
      <c r="H331" s="55"/>
      <c r="I331" s="74">
        <v>1.2</v>
      </c>
      <c r="J331" s="74">
        <v>12.5</v>
      </c>
      <c r="K331" s="4">
        <v>1775</v>
      </c>
      <c r="L331" s="74">
        <v>41</v>
      </c>
      <c r="M331" s="4">
        <v>55</v>
      </c>
      <c r="N331" s="4"/>
      <c r="O331" s="74"/>
      <c r="P331" s="4"/>
      <c r="Q331" s="74"/>
    </row>
    <row r="332" spans="1:17">
      <c r="A332" s="4">
        <f t="shared" si="5"/>
        <v>18</v>
      </c>
      <c r="B332" s="4">
        <f>IF(J332="",0,IF('Chart Information'!$V$14=A332,B331+1,IF(B331=0,0,IF(A332=A331,B331+1,0))))</f>
        <v>0</v>
      </c>
      <c r="C332" s="76"/>
      <c r="D332" s="4"/>
      <c r="E332" s="4"/>
      <c r="F332" s="55"/>
      <c r="G332" s="55"/>
      <c r="H332" s="55"/>
      <c r="I332" s="74">
        <v>1.2</v>
      </c>
      <c r="J332" s="74">
        <v>12.75</v>
      </c>
      <c r="K332" s="4">
        <v>1675</v>
      </c>
      <c r="L332" s="74">
        <v>41</v>
      </c>
      <c r="M332" s="4">
        <v>53</v>
      </c>
      <c r="N332" s="4"/>
      <c r="O332" s="74"/>
      <c r="P332" s="4"/>
      <c r="Q332" s="74"/>
    </row>
    <row r="333" spans="1:17">
      <c r="A333" s="4">
        <f t="shared" si="5"/>
        <v>18</v>
      </c>
      <c r="B333" s="4">
        <f>IF(J333="",0,IF('Chart Information'!$V$14=A333,B332+1,IF(B332=0,0,IF(A333=A332,B332+1,0))))</f>
        <v>0</v>
      </c>
      <c r="C333" s="76"/>
      <c r="D333" s="4"/>
      <c r="E333" s="4"/>
      <c r="F333" s="55"/>
      <c r="G333" s="55"/>
      <c r="H333" s="55"/>
      <c r="I333" s="74">
        <v>1.2</v>
      </c>
      <c r="J333" s="74">
        <v>13</v>
      </c>
      <c r="K333" s="4">
        <v>1575</v>
      </c>
      <c r="L333" s="74">
        <v>41</v>
      </c>
      <c r="M333" s="4">
        <v>50</v>
      </c>
      <c r="N333" s="4"/>
      <c r="O333" s="74"/>
      <c r="P333" s="4"/>
      <c r="Q333" s="74"/>
    </row>
    <row r="334" spans="1:17">
      <c r="A334" s="4">
        <f t="shared" si="5"/>
        <v>18</v>
      </c>
      <c r="B334" s="4">
        <f>IF(J334="",0,IF('Chart Information'!$V$14=A334,B333+1,IF(B333=0,0,IF(A334=A333,B333+1,0))))</f>
        <v>0</v>
      </c>
      <c r="C334" s="76"/>
      <c r="D334" s="4"/>
      <c r="E334" s="4"/>
      <c r="F334" s="55"/>
      <c r="G334" s="55"/>
      <c r="H334" s="55"/>
      <c r="I334" s="74">
        <v>1.2</v>
      </c>
      <c r="J334" s="74">
        <v>13.25</v>
      </c>
      <c r="K334" s="4">
        <v>1425</v>
      </c>
      <c r="L334" s="74">
        <v>40.5</v>
      </c>
      <c r="M334" s="4">
        <v>47</v>
      </c>
      <c r="N334" s="4"/>
      <c r="O334" s="74"/>
      <c r="P334" s="4"/>
      <c r="Q334" s="74"/>
    </row>
    <row r="335" spans="1:17">
      <c r="A335" s="4">
        <f t="shared" si="5"/>
        <v>18</v>
      </c>
      <c r="B335" s="4">
        <f>IF(J335="",0,IF('Chart Information'!$V$14=A335,B334+1,IF(B334=0,0,IF(A335=A334,B334+1,0))))</f>
        <v>0</v>
      </c>
      <c r="C335" s="76"/>
      <c r="D335" s="4"/>
      <c r="E335" s="4"/>
      <c r="F335" s="55"/>
      <c r="G335" s="55"/>
      <c r="H335" s="55"/>
      <c r="I335" s="74">
        <v>1.2</v>
      </c>
      <c r="J335" s="74">
        <v>13.5</v>
      </c>
      <c r="K335" s="4">
        <v>1300</v>
      </c>
      <c r="L335" s="74">
        <v>40</v>
      </c>
      <c r="M335" s="4">
        <v>45</v>
      </c>
      <c r="N335" s="4"/>
      <c r="O335" s="74"/>
      <c r="P335" s="4"/>
      <c r="Q335" s="74"/>
    </row>
    <row r="336" spans="1:17">
      <c r="A336" s="4">
        <f t="shared" si="5"/>
        <v>18</v>
      </c>
      <c r="B336" s="4">
        <f>IF(J336="",0,IF('Chart Information'!$V$14=A336,B335+1,IF(B335=0,0,IF(A336=A335,B335+1,0))))</f>
        <v>0</v>
      </c>
      <c r="C336" s="76"/>
      <c r="D336" s="4"/>
      <c r="E336" s="4"/>
      <c r="F336" s="55"/>
      <c r="G336" s="55"/>
      <c r="H336" s="55"/>
      <c r="I336" s="74">
        <v>1.2</v>
      </c>
      <c r="J336" s="74">
        <v>13.75</v>
      </c>
      <c r="K336" s="4">
        <v>1175</v>
      </c>
      <c r="L336" s="74">
        <v>40</v>
      </c>
      <c r="M336" s="4">
        <v>40</v>
      </c>
      <c r="N336" s="4"/>
      <c r="O336" s="74"/>
      <c r="P336" s="4"/>
      <c r="Q336" s="74"/>
    </row>
    <row r="337" spans="1:17">
      <c r="A337" s="4">
        <f t="shared" si="5"/>
        <v>18</v>
      </c>
      <c r="B337" s="4">
        <f>IF(J337="",0,IF('Chart Information'!$V$14=A337,B336+1,IF(B336=0,0,IF(A337=A336,B336+1,0))))</f>
        <v>0</v>
      </c>
      <c r="C337" s="76"/>
      <c r="D337" s="4"/>
      <c r="E337" s="4"/>
      <c r="F337" s="55"/>
      <c r="G337" s="55"/>
      <c r="H337" s="55"/>
      <c r="I337" s="74">
        <v>1.2</v>
      </c>
      <c r="J337" s="74">
        <v>14</v>
      </c>
      <c r="K337" s="4">
        <v>1000</v>
      </c>
      <c r="L337" s="74">
        <v>39</v>
      </c>
      <c r="M337" s="4">
        <v>35</v>
      </c>
      <c r="N337" s="4"/>
      <c r="O337" s="74"/>
      <c r="P337" s="4"/>
      <c r="Q337" s="74"/>
    </row>
    <row r="338" spans="1:17">
      <c r="A338" s="4">
        <f t="shared" si="5"/>
        <v>18</v>
      </c>
      <c r="B338" s="4">
        <f>IF(J338="",0,IF('Chart Information'!$V$14=A338,B337+1,IF(B337=0,0,IF(A338=A337,B337+1,0))))</f>
        <v>0</v>
      </c>
      <c r="C338" s="76"/>
      <c r="D338" s="4"/>
      <c r="E338" s="4"/>
      <c r="F338" s="55"/>
      <c r="G338" s="55"/>
      <c r="H338" s="55"/>
      <c r="I338" s="74">
        <v>1.2</v>
      </c>
      <c r="J338" s="74">
        <v>14.25</v>
      </c>
      <c r="K338" s="4">
        <v>850</v>
      </c>
      <c r="L338" s="74">
        <v>38.5</v>
      </c>
      <c r="M338" s="4">
        <v>30</v>
      </c>
      <c r="N338" s="4"/>
      <c r="O338" s="74"/>
      <c r="P338" s="4"/>
      <c r="Q338" s="74"/>
    </row>
    <row r="339" spans="1:17">
      <c r="A339" s="4">
        <f t="shared" si="5"/>
        <v>18</v>
      </c>
      <c r="B339" s="4">
        <f>IF(J339="",0,IF('Chart Information'!$V$14=A339,B338+1,IF(B338=0,0,IF(A339=A338,B338+1,0))))</f>
        <v>0</v>
      </c>
      <c r="C339" s="76"/>
      <c r="D339" s="4"/>
      <c r="E339" s="4"/>
      <c r="F339" s="55"/>
      <c r="G339" s="55"/>
      <c r="H339" s="55"/>
      <c r="I339" s="74">
        <v>1.2</v>
      </c>
      <c r="J339" s="74">
        <v>14.5</v>
      </c>
      <c r="K339" s="4">
        <v>680</v>
      </c>
      <c r="L339" s="74">
        <v>38</v>
      </c>
      <c r="M339" s="4">
        <v>25</v>
      </c>
      <c r="N339" s="4"/>
      <c r="O339" s="74"/>
      <c r="P339" s="4"/>
      <c r="Q339" s="74"/>
    </row>
    <row r="340" spans="1:17">
      <c r="A340" s="4">
        <f t="shared" si="5"/>
        <v>18</v>
      </c>
      <c r="B340" s="4">
        <f>IF(J340="",0,IF('Chart Information'!$V$14=A340,B339+1,IF(B339=0,0,IF(A340=A339,B339+1,0))))</f>
        <v>0</v>
      </c>
      <c r="C340" s="76"/>
      <c r="D340" s="4"/>
      <c r="E340" s="4"/>
      <c r="F340" s="55"/>
      <c r="G340" s="55"/>
      <c r="H340" s="55"/>
      <c r="I340" s="74">
        <v>1.2</v>
      </c>
      <c r="J340" s="74">
        <v>14.75</v>
      </c>
      <c r="K340" s="4">
        <v>520</v>
      </c>
      <c r="L340" s="74">
        <v>38</v>
      </c>
      <c r="M340" s="4">
        <v>20</v>
      </c>
      <c r="N340" s="4"/>
      <c r="O340" s="74"/>
      <c r="P340" s="4"/>
      <c r="Q340" s="74"/>
    </row>
    <row r="341" spans="1:17">
      <c r="A341" s="4">
        <f t="shared" si="5"/>
        <v>18</v>
      </c>
      <c r="B341" s="4">
        <f>IF(J341="",0,IF('Chart Information'!$V$14=A341,B340+1,IF(B340=0,0,IF(A341=A340,B340+1,0))))</f>
        <v>0</v>
      </c>
      <c r="C341" s="76"/>
      <c r="D341" s="4"/>
      <c r="E341" s="4"/>
      <c r="F341" s="55"/>
      <c r="G341" s="55"/>
      <c r="H341" s="55"/>
      <c r="I341" s="74">
        <v>1.2</v>
      </c>
      <c r="J341" s="74">
        <v>15</v>
      </c>
      <c r="K341" s="4">
        <v>325</v>
      </c>
      <c r="L341" s="74">
        <v>37</v>
      </c>
      <c r="M341" s="4">
        <v>10</v>
      </c>
      <c r="N341" s="4"/>
      <c r="O341" s="74"/>
      <c r="P341" s="4"/>
      <c r="Q341" s="74"/>
    </row>
    <row r="342" spans="1:17">
      <c r="A342" s="4">
        <f t="shared" si="5"/>
        <v>19</v>
      </c>
      <c r="B342" s="4">
        <f>IF(J342="",0,IF('Chart Information'!$V$14=A342,B341+1,IF(B341=0,0,IF(A342=A341,B341+1,0))))</f>
        <v>0</v>
      </c>
      <c r="C342" s="76" t="s">
        <v>319</v>
      </c>
      <c r="D342" s="4" t="s">
        <v>290</v>
      </c>
      <c r="E342" s="4">
        <v>1016</v>
      </c>
      <c r="F342" s="55">
        <v>75</v>
      </c>
      <c r="G342" s="55" t="s">
        <v>293</v>
      </c>
      <c r="H342" s="55" t="s">
        <v>298</v>
      </c>
      <c r="I342" s="74">
        <v>1.2</v>
      </c>
      <c r="J342" s="74">
        <v>8</v>
      </c>
      <c r="K342" s="4">
        <v>3600</v>
      </c>
      <c r="L342" s="74">
        <v>67</v>
      </c>
      <c r="M342" s="4">
        <v>42</v>
      </c>
      <c r="N342" s="4">
        <f>+K342</f>
        <v>3600</v>
      </c>
      <c r="O342" s="74">
        <f>+J342</f>
        <v>8</v>
      </c>
      <c r="P342" s="4">
        <f>+K342</f>
        <v>3600</v>
      </c>
      <c r="Q342" s="74">
        <f>+J342</f>
        <v>8</v>
      </c>
    </row>
    <row r="343" spans="1:17">
      <c r="A343" s="4">
        <f t="shared" si="5"/>
        <v>19</v>
      </c>
      <c r="B343" s="4">
        <f>IF(J343="",0,IF('Chart Information'!$V$14=A343,B342+1,IF(B342=0,0,IF(A343=A342,B342+1,0))))</f>
        <v>0</v>
      </c>
      <c r="C343" s="76"/>
      <c r="D343" s="4"/>
      <c r="E343" s="4"/>
      <c r="F343" s="55"/>
      <c r="G343" s="55"/>
      <c r="H343" s="55"/>
      <c r="I343" s="74">
        <v>1.2</v>
      </c>
      <c r="J343" s="74">
        <v>8.5</v>
      </c>
      <c r="K343" s="4">
        <v>3575</v>
      </c>
      <c r="L343" s="74">
        <v>66</v>
      </c>
      <c r="M343" s="4">
        <v>42</v>
      </c>
      <c r="N343" s="4"/>
      <c r="O343" s="74"/>
      <c r="P343" s="4"/>
      <c r="Q343" s="74"/>
    </row>
    <row r="344" spans="1:17">
      <c r="A344" s="4">
        <f t="shared" si="5"/>
        <v>19</v>
      </c>
      <c r="B344" s="4">
        <f>IF(J344="",0,IF('Chart Information'!$V$14=A344,B343+1,IF(B343=0,0,IF(A344=A343,B343+1,0))))</f>
        <v>0</v>
      </c>
      <c r="C344" s="76"/>
      <c r="D344" s="4"/>
      <c r="E344" s="4"/>
      <c r="F344" s="55"/>
      <c r="G344" s="55"/>
      <c r="H344" s="55"/>
      <c r="I344" s="74">
        <v>1.2</v>
      </c>
      <c r="J344" s="74">
        <v>9</v>
      </c>
      <c r="K344" s="4">
        <v>3500</v>
      </c>
      <c r="L344" s="74">
        <v>65</v>
      </c>
      <c r="M344" s="4">
        <v>43</v>
      </c>
      <c r="N344" s="4"/>
      <c r="O344" s="74"/>
      <c r="P344" s="4"/>
      <c r="Q344" s="74"/>
    </row>
    <row r="345" spans="1:17">
      <c r="A345" s="4">
        <f t="shared" si="5"/>
        <v>19</v>
      </c>
      <c r="B345" s="4">
        <f>IF(J345="",0,IF('Chart Information'!$V$14=A345,B344+1,IF(B344=0,0,IF(A345=A344,B344+1,0))))</f>
        <v>0</v>
      </c>
      <c r="C345" s="76"/>
      <c r="D345" s="4"/>
      <c r="E345" s="4"/>
      <c r="F345" s="55"/>
      <c r="G345" s="55"/>
      <c r="H345" s="55"/>
      <c r="I345" s="74">
        <v>1.2</v>
      </c>
      <c r="J345" s="74">
        <v>9.5</v>
      </c>
      <c r="K345" s="4">
        <v>3450</v>
      </c>
      <c r="L345" s="74">
        <v>64</v>
      </c>
      <c r="M345" s="4">
        <v>45</v>
      </c>
      <c r="N345" s="4"/>
      <c r="O345" s="74"/>
      <c r="P345" s="4"/>
      <c r="Q345" s="74"/>
    </row>
    <row r="346" spans="1:17">
      <c r="A346" s="4">
        <f t="shared" si="5"/>
        <v>19</v>
      </c>
      <c r="B346" s="4">
        <f>IF(J346="",0,IF('Chart Information'!$V$14=A346,B345+1,IF(B345=0,0,IF(A346=A345,B345+1,0))))</f>
        <v>0</v>
      </c>
      <c r="C346" s="76"/>
      <c r="D346" s="4"/>
      <c r="E346" s="4"/>
      <c r="F346" s="55"/>
      <c r="G346" s="55"/>
      <c r="H346" s="55"/>
      <c r="I346" s="74">
        <v>1.2</v>
      </c>
      <c r="J346" s="74">
        <v>10</v>
      </c>
      <c r="K346" s="4">
        <v>3400</v>
      </c>
      <c r="L346" s="74">
        <v>63</v>
      </c>
      <c r="M346" s="4">
        <v>47</v>
      </c>
      <c r="N346" s="4"/>
      <c r="O346" s="74"/>
      <c r="P346" s="4"/>
      <c r="Q346" s="74"/>
    </row>
    <row r="347" spans="1:17">
      <c r="A347" s="4">
        <f t="shared" si="5"/>
        <v>19</v>
      </c>
      <c r="B347" s="4">
        <f>IF(J347="",0,IF('Chart Information'!$V$14=A347,B346+1,IF(B346=0,0,IF(A347=A346,B346+1,0))))</f>
        <v>0</v>
      </c>
      <c r="C347" s="76"/>
      <c r="D347" s="4"/>
      <c r="E347" s="4"/>
      <c r="F347" s="55"/>
      <c r="G347" s="55"/>
      <c r="H347" s="55"/>
      <c r="I347" s="74">
        <v>1.2</v>
      </c>
      <c r="J347" s="74">
        <v>10.5</v>
      </c>
      <c r="K347" s="4">
        <v>3325</v>
      </c>
      <c r="L347" s="74">
        <v>63</v>
      </c>
      <c r="M347" s="4">
        <v>50</v>
      </c>
      <c r="N347" s="4"/>
      <c r="O347" s="74"/>
      <c r="P347" s="4"/>
      <c r="Q347" s="74"/>
    </row>
    <row r="348" spans="1:17">
      <c r="A348" s="4">
        <f t="shared" si="5"/>
        <v>19</v>
      </c>
      <c r="B348" s="4">
        <f>IF(J348="",0,IF('Chart Information'!$V$14=A348,B347+1,IF(B347=0,0,IF(A348=A347,B347+1,0))))</f>
        <v>0</v>
      </c>
      <c r="C348" s="76"/>
      <c r="D348" s="4"/>
      <c r="E348" s="4"/>
      <c r="F348" s="55"/>
      <c r="G348" s="55"/>
      <c r="H348" s="55"/>
      <c r="I348" s="74">
        <v>1.2</v>
      </c>
      <c r="J348" s="74">
        <v>11</v>
      </c>
      <c r="K348" s="4">
        <v>3275</v>
      </c>
      <c r="L348" s="74">
        <v>63</v>
      </c>
      <c r="M348" s="4">
        <v>52</v>
      </c>
      <c r="N348" s="4"/>
      <c r="O348" s="74"/>
      <c r="P348" s="4"/>
      <c r="Q348" s="74"/>
    </row>
    <row r="349" spans="1:17">
      <c r="A349" s="4">
        <f t="shared" si="5"/>
        <v>19</v>
      </c>
      <c r="B349" s="4">
        <f>IF(J349="",0,IF('Chart Information'!$V$14=A349,B348+1,IF(B348=0,0,IF(A349=A348,B348+1,0))))</f>
        <v>0</v>
      </c>
      <c r="C349" s="76"/>
      <c r="D349" s="4"/>
      <c r="E349" s="4"/>
      <c r="F349" s="55"/>
      <c r="G349" s="55"/>
      <c r="H349" s="55"/>
      <c r="I349" s="74">
        <v>1.2</v>
      </c>
      <c r="J349" s="74">
        <v>11.5</v>
      </c>
      <c r="K349" s="4">
        <v>3250</v>
      </c>
      <c r="L349" s="74">
        <v>63</v>
      </c>
      <c r="M349" s="4">
        <v>55</v>
      </c>
      <c r="N349" s="4"/>
      <c r="O349" s="74"/>
      <c r="P349" s="4"/>
      <c r="Q349" s="74"/>
    </row>
    <row r="350" spans="1:17">
      <c r="A350" s="4">
        <f t="shared" si="5"/>
        <v>19</v>
      </c>
      <c r="B350" s="4">
        <f>IF(J350="",0,IF('Chart Information'!$V$14=A350,B349+1,IF(B349=0,0,IF(A350=A349,B349+1,0))))</f>
        <v>0</v>
      </c>
      <c r="C350" s="76"/>
      <c r="D350" s="4"/>
      <c r="E350" s="4"/>
      <c r="F350" s="55"/>
      <c r="G350" s="55"/>
      <c r="H350" s="55"/>
      <c r="I350" s="74">
        <v>1.2</v>
      </c>
      <c r="J350" s="74">
        <v>12</v>
      </c>
      <c r="K350" s="4">
        <v>3225</v>
      </c>
      <c r="L350" s="74">
        <v>63</v>
      </c>
      <c r="M350" s="4">
        <v>57</v>
      </c>
      <c r="N350" s="4"/>
      <c r="O350" s="74"/>
      <c r="P350" s="4"/>
      <c r="Q350" s="74"/>
    </row>
    <row r="351" spans="1:17">
      <c r="A351" s="4">
        <f t="shared" si="5"/>
        <v>19</v>
      </c>
      <c r="B351" s="4">
        <f>IF(J351="",0,IF('Chart Information'!$V$14=A351,B350+1,IF(B350=0,0,IF(A351=A350,B350+1,0))))</f>
        <v>0</v>
      </c>
      <c r="C351" s="76"/>
      <c r="D351" s="4"/>
      <c r="E351" s="4"/>
      <c r="F351" s="55"/>
      <c r="G351" s="55"/>
      <c r="H351" s="55"/>
      <c r="I351" s="74">
        <v>1.2</v>
      </c>
      <c r="J351" s="74">
        <v>12.5</v>
      </c>
      <c r="K351" s="4">
        <v>3200</v>
      </c>
      <c r="L351" s="74">
        <v>63</v>
      </c>
      <c r="M351" s="4">
        <v>61</v>
      </c>
      <c r="N351" s="4"/>
      <c r="O351" s="74"/>
      <c r="P351" s="4"/>
      <c r="Q351" s="74"/>
    </row>
    <row r="352" spans="1:17">
      <c r="A352" s="4">
        <f t="shared" si="5"/>
        <v>19</v>
      </c>
      <c r="B352" s="4">
        <f>IF(J352="",0,IF('Chart Information'!$V$14=A352,B351+1,IF(B351=0,0,IF(A352=A351,B351+1,0))))</f>
        <v>0</v>
      </c>
      <c r="C352" s="76"/>
      <c r="D352" s="4"/>
      <c r="E352" s="4"/>
      <c r="F352" s="55"/>
      <c r="G352" s="55"/>
      <c r="H352" s="55"/>
      <c r="I352" s="74">
        <v>1.2</v>
      </c>
      <c r="J352" s="74">
        <v>13</v>
      </c>
      <c r="K352" s="4">
        <v>3200</v>
      </c>
      <c r="L352" s="74">
        <v>63</v>
      </c>
      <c r="M352" s="4">
        <v>63</v>
      </c>
      <c r="N352" s="4"/>
      <c r="O352" s="74"/>
      <c r="P352" s="4"/>
      <c r="Q352" s="74"/>
    </row>
    <row r="353" spans="1:17">
      <c r="A353" s="4">
        <f t="shared" si="5"/>
        <v>19</v>
      </c>
      <c r="B353" s="4">
        <f>IF(J353="",0,IF('Chart Information'!$V$14=A353,B352+1,IF(B352=0,0,IF(A353=A352,B352+1,0))))</f>
        <v>0</v>
      </c>
      <c r="C353" s="76"/>
      <c r="D353" s="4"/>
      <c r="E353" s="4"/>
      <c r="F353" s="55"/>
      <c r="G353" s="55"/>
      <c r="H353" s="55"/>
      <c r="I353" s="74">
        <v>1.2</v>
      </c>
      <c r="J353" s="74">
        <v>13.5</v>
      </c>
      <c r="K353" s="4">
        <v>3190</v>
      </c>
      <c r="L353" s="74">
        <v>63.5</v>
      </c>
      <c r="M353" s="4">
        <v>67</v>
      </c>
      <c r="N353" s="4"/>
      <c r="O353" s="74"/>
      <c r="P353" s="4"/>
      <c r="Q353" s="74"/>
    </row>
    <row r="354" spans="1:17">
      <c r="A354" s="4">
        <f t="shared" si="5"/>
        <v>19</v>
      </c>
      <c r="B354" s="4">
        <f>IF(J354="",0,IF('Chart Information'!$V$14=A354,B353+1,IF(B353=0,0,IF(A354=A353,B353+1,0))))</f>
        <v>0</v>
      </c>
      <c r="C354" s="76"/>
      <c r="D354" s="4"/>
      <c r="E354" s="4"/>
      <c r="F354" s="55"/>
      <c r="G354" s="55"/>
      <c r="H354" s="55"/>
      <c r="I354" s="74">
        <v>1.2</v>
      </c>
      <c r="J354" s="74">
        <v>14</v>
      </c>
      <c r="K354" s="4">
        <v>3175</v>
      </c>
      <c r="L354" s="74">
        <v>64</v>
      </c>
      <c r="M354" s="4">
        <v>68</v>
      </c>
      <c r="N354" s="4"/>
      <c r="O354" s="74"/>
      <c r="P354" s="4"/>
      <c r="Q354" s="74"/>
    </row>
    <row r="355" spans="1:17">
      <c r="A355" s="4">
        <f t="shared" si="5"/>
        <v>19</v>
      </c>
      <c r="B355" s="4">
        <f>IF(J355="",0,IF('Chart Information'!$V$14=A355,B354+1,IF(B354=0,0,IF(A355=A354,B354+1,0))))</f>
        <v>0</v>
      </c>
      <c r="C355" s="76"/>
      <c r="D355" s="4"/>
      <c r="E355" s="4"/>
      <c r="F355" s="55"/>
      <c r="G355" s="55"/>
      <c r="H355" s="55"/>
      <c r="I355" s="74">
        <v>1.2</v>
      </c>
      <c r="J355" s="74">
        <v>14.5</v>
      </c>
      <c r="K355" s="4">
        <v>3150</v>
      </c>
      <c r="L355" s="74">
        <v>64</v>
      </c>
      <c r="M355" s="4">
        <v>72</v>
      </c>
      <c r="N355" s="4"/>
      <c r="O355" s="74"/>
      <c r="P355" s="4"/>
      <c r="Q355" s="74"/>
    </row>
    <row r="356" spans="1:17">
      <c r="A356" s="4">
        <f t="shared" si="5"/>
        <v>19</v>
      </c>
      <c r="B356" s="4">
        <f>IF(J356="",0,IF('Chart Information'!$V$14=A356,B355+1,IF(B355=0,0,IF(A356=A355,B355+1,0))))</f>
        <v>0</v>
      </c>
      <c r="C356" s="76"/>
      <c r="D356" s="4"/>
      <c r="E356" s="4"/>
      <c r="F356" s="55"/>
      <c r="G356" s="55"/>
      <c r="H356" s="55"/>
      <c r="I356" s="74">
        <v>1.2</v>
      </c>
      <c r="J356" s="74">
        <v>15</v>
      </c>
      <c r="K356" s="4">
        <v>3130</v>
      </c>
      <c r="L356" s="74">
        <v>65</v>
      </c>
      <c r="M356" s="4">
        <v>74</v>
      </c>
      <c r="N356" s="4"/>
      <c r="O356" s="74"/>
      <c r="P356" s="4"/>
      <c r="Q356" s="74"/>
    </row>
    <row r="357" spans="1:17">
      <c r="A357" s="4">
        <f t="shared" si="5"/>
        <v>19</v>
      </c>
      <c r="B357" s="4">
        <f>IF(J357="",0,IF('Chart Information'!$V$14=A357,B356+1,IF(B356=0,0,IF(A357=A356,B356+1,0))))</f>
        <v>0</v>
      </c>
      <c r="C357" s="76"/>
      <c r="D357" s="4"/>
      <c r="E357" s="4"/>
      <c r="F357" s="55"/>
      <c r="G357" s="55"/>
      <c r="H357" s="55"/>
      <c r="I357" s="74">
        <v>1.2</v>
      </c>
      <c r="J357" s="74">
        <v>15.5</v>
      </c>
      <c r="K357" s="4">
        <v>3115</v>
      </c>
      <c r="L357" s="74">
        <v>66</v>
      </c>
      <c r="M357" s="4">
        <v>77</v>
      </c>
      <c r="N357" s="4"/>
      <c r="O357" s="74"/>
      <c r="P357" s="4"/>
      <c r="Q357" s="74"/>
    </row>
    <row r="358" spans="1:17">
      <c r="A358" s="4">
        <f t="shared" si="5"/>
        <v>19</v>
      </c>
      <c r="B358" s="4">
        <f>IF(J358="",0,IF('Chart Information'!$V$14=A358,B357+1,IF(B357=0,0,IF(A358=A357,B357+1,0))))</f>
        <v>0</v>
      </c>
      <c r="C358" s="76"/>
      <c r="D358" s="4"/>
      <c r="E358" s="4"/>
      <c r="F358" s="55"/>
      <c r="G358" s="55"/>
      <c r="H358" s="55"/>
      <c r="I358" s="74">
        <v>1.2</v>
      </c>
      <c r="J358" s="74">
        <v>16</v>
      </c>
      <c r="K358" s="4">
        <v>3090</v>
      </c>
      <c r="L358" s="74">
        <v>66</v>
      </c>
      <c r="M358" s="4">
        <v>78</v>
      </c>
      <c r="N358" s="4"/>
      <c r="O358" s="74"/>
      <c r="P358" s="4"/>
      <c r="Q358" s="74"/>
    </row>
    <row r="359" spans="1:17">
      <c r="A359" s="4">
        <f t="shared" si="5"/>
        <v>19</v>
      </c>
      <c r="B359" s="4">
        <f>IF(J359="",0,IF('Chart Information'!$V$14=A359,B358+1,IF(B358=0,0,IF(A359=A358,B358+1,0))))</f>
        <v>0</v>
      </c>
      <c r="C359" s="76"/>
      <c r="D359" s="4"/>
      <c r="E359" s="4"/>
      <c r="F359" s="55"/>
      <c r="G359" s="55"/>
      <c r="H359" s="55"/>
      <c r="I359" s="74">
        <v>1.2</v>
      </c>
      <c r="J359" s="74">
        <v>16.5</v>
      </c>
      <c r="K359" s="4">
        <v>3075</v>
      </c>
      <c r="L359" s="74">
        <v>67</v>
      </c>
      <c r="M359" s="4">
        <v>80</v>
      </c>
      <c r="N359" s="4"/>
      <c r="O359" s="74"/>
      <c r="P359" s="4"/>
      <c r="Q359" s="74"/>
    </row>
    <row r="360" spans="1:17">
      <c r="A360" s="4">
        <f t="shared" si="5"/>
        <v>19</v>
      </c>
      <c r="B360" s="4">
        <f>IF(J360="",0,IF('Chart Information'!$V$14=A360,B359+1,IF(B359=0,0,IF(A360=A359,B359+1,0))))</f>
        <v>0</v>
      </c>
      <c r="C360" s="76"/>
      <c r="D360" s="4"/>
      <c r="E360" s="4"/>
      <c r="F360" s="55"/>
      <c r="G360" s="55"/>
      <c r="H360" s="55"/>
      <c r="I360" s="74">
        <v>1.2</v>
      </c>
      <c r="J360" s="74">
        <v>17</v>
      </c>
      <c r="K360" s="4">
        <v>3040</v>
      </c>
      <c r="L360" s="74">
        <v>68</v>
      </c>
      <c r="M360" s="4">
        <v>81</v>
      </c>
      <c r="N360" s="4"/>
      <c r="O360" s="74"/>
      <c r="P360" s="4"/>
      <c r="Q360" s="74"/>
    </row>
    <row r="361" spans="1:17">
      <c r="A361" s="4">
        <f t="shared" si="5"/>
        <v>19</v>
      </c>
      <c r="B361" s="4">
        <f>IF(J361="",0,IF('Chart Information'!$V$14=A361,B360+1,IF(B360=0,0,IF(A361=A360,B360+1,0))))</f>
        <v>0</v>
      </c>
      <c r="C361" s="76"/>
      <c r="D361" s="4"/>
      <c r="E361" s="4"/>
      <c r="F361" s="55"/>
      <c r="G361" s="55"/>
      <c r="H361" s="55"/>
      <c r="I361" s="74">
        <v>1.2</v>
      </c>
      <c r="J361" s="74">
        <v>17.5</v>
      </c>
      <c r="K361" s="4">
        <v>2975</v>
      </c>
      <c r="L361" s="74">
        <v>68</v>
      </c>
      <c r="M361" s="4">
        <v>82</v>
      </c>
      <c r="N361" s="4"/>
      <c r="O361" s="74"/>
      <c r="P361" s="4"/>
      <c r="Q361" s="74"/>
    </row>
    <row r="362" spans="1:17">
      <c r="A362" s="4">
        <f t="shared" si="5"/>
        <v>19</v>
      </c>
      <c r="B362" s="4">
        <f>IF(J362="",0,IF('Chart Information'!$V$14=A362,B361+1,IF(B361=0,0,IF(A362=A361,B361+1,0))))</f>
        <v>0</v>
      </c>
      <c r="C362" s="76"/>
      <c r="D362" s="4"/>
      <c r="E362" s="4"/>
      <c r="F362" s="55"/>
      <c r="G362" s="55"/>
      <c r="H362" s="55"/>
      <c r="I362" s="74">
        <v>1.2</v>
      </c>
      <c r="J362" s="74">
        <v>18</v>
      </c>
      <c r="K362" s="4">
        <v>2900</v>
      </c>
      <c r="L362" s="74">
        <v>68</v>
      </c>
      <c r="M362" s="4">
        <v>81</v>
      </c>
      <c r="N362" s="4"/>
      <c r="O362" s="74"/>
      <c r="P362" s="4"/>
      <c r="Q362" s="74"/>
    </row>
    <row r="363" spans="1:17">
      <c r="A363" s="4">
        <f t="shared" si="5"/>
        <v>19</v>
      </c>
      <c r="B363" s="4">
        <f>IF(J363="",0,IF('Chart Information'!$V$14=A363,B362+1,IF(B362=0,0,IF(A363=A362,B362+1,0))))</f>
        <v>0</v>
      </c>
      <c r="C363" s="76"/>
      <c r="D363" s="4"/>
      <c r="E363" s="4"/>
      <c r="F363" s="55"/>
      <c r="G363" s="55"/>
      <c r="H363" s="55"/>
      <c r="I363" s="74">
        <v>1.2</v>
      </c>
      <c r="J363" s="74">
        <v>18.5</v>
      </c>
      <c r="K363" s="4">
        <v>2815</v>
      </c>
      <c r="L363" s="74">
        <v>69</v>
      </c>
      <c r="M363" s="4">
        <v>80</v>
      </c>
      <c r="N363" s="4"/>
      <c r="O363" s="74"/>
      <c r="P363" s="4"/>
      <c r="Q363" s="74"/>
    </row>
    <row r="364" spans="1:17">
      <c r="A364" s="4">
        <f t="shared" si="5"/>
        <v>19</v>
      </c>
      <c r="B364" s="4">
        <f>IF(J364="",0,IF('Chart Information'!$V$14=A364,B363+1,IF(B363=0,0,IF(A364=A363,B363+1,0))))</f>
        <v>0</v>
      </c>
      <c r="C364" s="76"/>
      <c r="D364" s="4"/>
      <c r="E364" s="4"/>
      <c r="F364" s="55"/>
      <c r="G364" s="55"/>
      <c r="H364" s="55"/>
      <c r="I364" s="74">
        <v>1.2</v>
      </c>
      <c r="J364" s="74">
        <v>19</v>
      </c>
      <c r="K364" s="4">
        <v>2725</v>
      </c>
      <c r="L364" s="74">
        <v>70</v>
      </c>
      <c r="M364" s="4">
        <v>78</v>
      </c>
      <c r="N364" s="4"/>
      <c r="O364" s="74"/>
      <c r="P364" s="4"/>
      <c r="Q364" s="74"/>
    </row>
    <row r="365" spans="1:17">
      <c r="A365" s="4">
        <f t="shared" si="5"/>
        <v>19</v>
      </c>
      <c r="B365" s="4">
        <f>IF(J365="",0,IF('Chart Information'!$V$14=A365,B364+1,IF(B364=0,0,IF(A365=A364,B364+1,0))))</f>
        <v>0</v>
      </c>
      <c r="C365" s="76"/>
      <c r="D365" s="4"/>
      <c r="E365" s="4"/>
      <c r="F365" s="55"/>
      <c r="G365" s="55"/>
      <c r="H365" s="55"/>
      <c r="I365" s="74">
        <v>1.2</v>
      </c>
      <c r="J365" s="74">
        <v>19.5</v>
      </c>
      <c r="K365" s="4">
        <v>2600</v>
      </c>
      <c r="L365" s="74">
        <v>70</v>
      </c>
      <c r="M365" s="4">
        <v>77</v>
      </c>
      <c r="N365" s="4"/>
      <c r="O365" s="74"/>
      <c r="P365" s="4"/>
      <c r="Q365" s="74"/>
    </row>
    <row r="366" spans="1:17">
      <c r="A366" s="4">
        <f t="shared" si="5"/>
        <v>19</v>
      </c>
      <c r="B366" s="4">
        <f>IF(J366="",0,IF('Chart Information'!$V$14=A366,B365+1,IF(B365=0,0,IF(A366=A365,B365+1,0))))</f>
        <v>0</v>
      </c>
      <c r="C366" s="76"/>
      <c r="D366" s="4"/>
      <c r="E366" s="4"/>
      <c r="F366" s="55"/>
      <c r="G366" s="55"/>
      <c r="H366" s="55"/>
      <c r="I366" s="74">
        <v>1.2</v>
      </c>
      <c r="J366" s="74">
        <v>20</v>
      </c>
      <c r="K366" s="4">
        <v>2475</v>
      </c>
      <c r="L366" s="74">
        <v>70</v>
      </c>
      <c r="M366" s="4">
        <v>73</v>
      </c>
      <c r="N366" s="4"/>
      <c r="O366" s="74"/>
      <c r="P366" s="4"/>
      <c r="Q366" s="74"/>
    </row>
    <row r="367" spans="1:17">
      <c r="A367" s="4">
        <f t="shared" si="5"/>
        <v>19</v>
      </c>
      <c r="B367" s="4">
        <f>IF(J367="",0,IF('Chart Information'!$V$14=A367,B366+1,IF(B366=0,0,IF(A367=A366,B366+1,0))))</f>
        <v>0</v>
      </c>
      <c r="C367" s="76"/>
      <c r="D367" s="4"/>
      <c r="E367" s="4"/>
      <c r="F367" s="55"/>
      <c r="G367" s="55"/>
      <c r="H367" s="55"/>
      <c r="I367" s="74">
        <v>1.2</v>
      </c>
      <c r="J367" s="74">
        <v>20.5</v>
      </c>
      <c r="K367" s="4">
        <v>2300</v>
      </c>
      <c r="L367" s="74">
        <v>70</v>
      </c>
      <c r="M367" s="4">
        <v>67</v>
      </c>
      <c r="N367" s="4"/>
      <c r="O367" s="74"/>
      <c r="P367" s="4"/>
      <c r="Q367" s="74"/>
    </row>
    <row r="368" spans="1:17">
      <c r="A368" s="4">
        <f t="shared" si="5"/>
        <v>19</v>
      </c>
      <c r="B368" s="4">
        <f>IF(J368="",0,IF('Chart Information'!$V$14=A368,B367+1,IF(B367=0,0,IF(A368=A367,B367+1,0))))</f>
        <v>0</v>
      </c>
      <c r="C368" s="76"/>
      <c r="D368" s="4"/>
      <c r="E368" s="4"/>
      <c r="F368" s="55"/>
      <c r="G368" s="55"/>
      <c r="H368" s="55"/>
      <c r="I368" s="74">
        <v>1.2</v>
      </c>
      <c r="J368" s="74">
        <v>21</v>
      </c>
      <c r="K368" s="4">
        <v>2100</v>
      </c>
      <c r="L368" s="74">
        <v>69</v>
      </c>
      <c r="M368" s="4">
        <v>63</v>
      </c>
      <c r="N368" s="4"/>
      <c r="O368" s="74"/>
      <c r="P368" s="4"/>
      <c r="Q368" s="74"/>
    </row>
    <row r="369" spans="1:17">
      <c r="A369" s="4">
        <f t="shared" si="5"/>
        <v>19</v>
      </c>
      <c r="B369" s="4">
        <f>IF(J369="",0,IF('Chart Information'!$V$14=A369,B368+1,IF(B368=0,0,IF(A369=A368,B368+1,0))))</f>
        <v>0</v>
      </c>
      <c r="C369" s="76"/>
      <c r="D369" s="4"/>
      <c r="E369" s="4"/>
      <c r="F369" s="55"/>
      <c r="G369" s="55"/>
      <c r="H369" s="55"/>
      <c r="I369" s="74">
        <v>1.2</v>
      </c>
      <c r="J369" s="74">
        <v>21.5</v>
      </c>
      <c r="K369" s="4">
        <v>1900</v>
      </c>
      <c r="L369" s="74">
        <v>68</v>
      </c>
      <c r="M369" s="4">
        <v>60</v>
      </c>
      <c r="N369" s="4"/>
      <c r="O369" s="74"/>
      <c r="P369" s="4"/>
      <c r="Q369" s="74"/>
    </row>
    <row r="370" spans="1:17">
      <c r="A370" s="4">
        <f t="shared" si="5"/>
        <v>19</v>
      </c>
      <c r="B370" s="4">
        <f>IF(J370="",0,IF('Chart Information'!$V$14=A370,B369+1,IF(B369=0,0,IF(A370=A369,B369+1,0))))</f>
        <v>0</v>
      </c>
      <c r="C370" s="76"/>
      <c r="D370" s="4"/>
      <c r="E370" s="4"/>
      <c r="F370" s="55"/>
      <c r="G370" s="55"/>
      <c r="H370" s="55"/>
      <c r="I370" s="74">
        <v>1.2</v>
      </c>
      <c r="J370" s="74">
        <v>22</v>
      </c>
      <c r="K370" s="4">
        <v>1600</v>
      </c>
      <c r="L370" s="74">
        <v>67</v>
      </c>
      <c r="M370" s="4">
        <v>50</v>
      </c>
      <c r="N370" s="4"/>
      <c r="O370" s="74"/>
      <c r="P370" s="4"/>
      <c r="Q370" s="74"/>
    </row>
    <row r="371" spans="1:17">
      <c r="A371" s="4">
        <f t="shared" si="5"/>
        <v>19</v>
      </c>
      <c r="B371" s="4">
        <f>IF(J371="",0,IF('Chart Information'!$V$14=A371,B370+1,IF(B370=0,0,IF(A371=A370,B370+1,0))))</f>
        <v>0</v>
      </c>
      <c r="C371" s="76"/>
      <c r="D371" s="4"/>
      <c r="E371" s="4"/>
      <c r="F371" s="55"/>
      <c r="G371" s="55"/>
      <c r="H371" s="55"/>
      <c r="I371" s="74">
        <v>1.2</v>
      </c>
      <c r="J371" s="74">
        <v>22.5</v>
      </c>
      <c r="K371" s="4">
        <v>1300</v>
      </c>
      <c r="L371" s="74">
        <v>66</v>
      </c>
      <c r="M371" s="4">
        <v>43</v>
      </c>
      <c r="N371" s="4"/>
      <c r="O371" s="74"/>
      <c r="P371" s="4"/>
      <c r="Q371" s="74"/>
    </row>
    <row r="372" spans="1:17">
      <c r="A372" s="4">
        <f t="shared" si="5"/>
        <v>19</v>
      </c>
      <c r="B372" s="4">
        <f>IF(J372="",0,IF('Chart Information'!$V$14=A372,B371+1,IF(B371=0,0,IF(A372=A371,B371+1,0))))</f>
        <v>0</v>
      </c>
      <c r="C372" s="76"/>
      <c r="D372" s="4"/>
      <c r="E372" s="4"/>
      <c r="F372" s="55"/>
      <c r="G372" s="55"/>
      <c r="H372" s="55"/>
      <c r="I372" s="74">
        <v>1.2</v>
      </c>
      <c r="J372" s="74">
        <v>23</v>
      </c>
      <c r="K372" s="4">
        <v>900</v>
      </c>
      <c r="L372" s="74">
        <v>65</v>
      </c>
      <c r="M372" s="4">
        <v>30</v>
      </c>
      <c r="N372" s="4"/>
      <c r="O372" s="74"/>
      <c r="P372" s="4"/>
      <c r="Q372" s="74"/>
    </row>
    <row r="373" spans="1:17">
      <c r="A373" s="4">
        <f t="shared" si="5"/>
        <v>19</v>
      </c>
      <c r="B373" s="4">
        <f>IF(J373="",0,IF('Chart Information'!$V$14=A373,B372+1,IF(B372=0,0,IF(A373=A372,B372+1,0))))</f>
        <v>0</v>
      </c>
      <c r="C373" s="76"/>
      <c r="D373" s="4"/>
      <c r="E373" s="4"/>
      <c r="F373" s="55"/>
      <c r="G373" s="55"/>
      <c r="H373" s="55"/>
      <c r="I373" s="74">
        <v>1.2</v>
      </c>
      <c r="J373" s="74">
        <v>23.5</v>
      </c>
      <c r="K373" s="4">
        <v>600</v>
      </c>
      <c r="L373" s="74">
        <v>63</v>
      </c>
      <c r="M373" s="4">
        <v>20</v>
      </c>
      <c r="N373" s="4"/>
      <c r="O373" s="74"/>
      <c r="P373" s="4"/>
      <c r="Q373" s="74"/>
    </row>
    <row r="374" spans="1:17">
      <c r="A374" s="4">
        <f t="shared" si="5"/>
        <v>19</v>
      </c>
      <c r="B374" s="4">
        <f>IF(J374="",0,IF('Chart Information'!$V$14=A374,B373+1,IF(B373=0,0,IF(A374=A373,B373+1,0))))</f>
        <v>0</v>
      </c>
      <c r="C374" s="76"/>
      <c r="D374" s="4"/>
      <c r="E374" s="4"/>
      <c r="F374" s="55"/>
      <c r="G374" s="55"/>
      <c r="H374" s="55"/>
      <c r="I374" s="74">
        <v>1.2</v>
      </c>
      <c r="J374" s="74">
        <v>24</v>
      </c>
      <c r="K374" s="4">
        <v>125</v>
      </c>
      <c r="L374" s="74">
        <v>63</v>
      </c>
      <c r="M374" s="4">
        <v>7</v>
      </c>
      <c r="N374" s="4"/>
      <c r="O374" s="74"/>
      <c r="P374" s="4"/>
      <c r="Q374" s="74"/>
    </row>
    <row r="375" spans="1:17">
      <c r="A375" s="4">
        <f t="shared" si="5"/>
        <v>20</v>
      </c>
      <c r="B375" s="4">
        <f>IF(J375="",0,IF('Chart Information'!$V$14=A375,B374+1,IF(B374=0,0,IF(A375=A374,B374+1,0))))</f>
        <v>0</v>
      </c>
      <c r="C375" s="76" t="s">
        <v>315</v>
      </c>
      <c r="D375" s="4" t="s">
        <v>290</v>
      </c>
      <c r="E375" s="4">
        <v>1220</v>
      </c>
      <c r="F375" s="55">
        <v>37</v>
      </c>
      <c r="G375" s="55" t="s">
        <v>292</v>
      </c>
      <c r="H375" s="55" t="s">
        <v>296</v>
      </c>
      <c r="I375" s="74">
        <v>1.2</v>
      </c>
      <c r="J375" s="74">
        <v>10.5</v>
      </c>
      <c r="K375" s="4">
        <v>1700</v>
      </c>
      <c r="L375" s="74">
        <v>41</v>
      </c>
      <c r="M375" s="4">
        <v>43</v>
      </c>
      <c r="N375" s="4">
        <f>+K382</f>
        <v>1325</v>
      </c>
      <c r="O375" s="74">
        <f>+J382</f>
        <v>14</v>
      </c>
      <c r="P375" s="4">
        <f>+K400</f>
        <v>1925</v>
      </c>
      <c r="Q375" s="74">
        <f>+J400</f>
        <v>23</v>
      </c>
    </row>
    <row r="376" spans="1:17">
      <c r="A376" s="4">
        <f t="shared" si="5"/>
        <v>20</v>
      </c>
      <c r="B376" s="4">
        <f>IF(J376="",0,IF('Chart Information'!$V$14=A376,B375+1,IF(B375=0,0,IF(A376=A375,B375+1,0))))</f>
        <v>0</v>
      </c>
      <c r="C376" s="76"/>
      <c r="D376" s="4"/>
      <c r="E376" s="4"/>
      <c r="F376" s="55"/>
      <c r="G376" s="55"/>
      <c r="H376" s="55"/>
      <c r="I376" s="74">
        <v>1.2</v>
      </c>
      <c r="J376" s="74">
        <v>11</v>
      </c>
      <c r="K376" s="4">
        <v>1575</v>
      </c>
      <c r="L376" s="74">
        <v>41</v>
      </c>
      <c r="M376" s="4">
        <v>36</v>
      </c>
      <c r="N376" s="4"/>
      <c r="O376" s="74"/>
      <c r="P376" s="4"/>
      <c r="Q376" s="74"/>
    </row>
    <row r="377" spans="1:17">
      <c r="A377" s="4">
        <f t="shared" si="5"/>
        <v>20</v>
      </c>
      <c r="B377" s="4">
        <f>IF(J377="",0,IF('Chart Information'!$V$14=A377,B376+1,IF(B376=0,0,IF(A377=A376,B376+1,0))))</f>
        <v>0</v>
      </c>
      <c r="C377" s="76"/>
      <c r="D377" s="4"/>
      <c r="E377" s="4"/>
      <c r="F377" s="55"/>
      <c r="G377" s="55"/>
      <c r="H377" s="55"/>
      <c r="I377" s="74">
        <v>1.2</v>
      </c>
      <c r="J377" s="74">
        <v>11.5</v>
      </c>
      <c r="K377" s="4">
        <v>1485</v>
      </c>
      <c r="L377" s="74">
        <v>41</v>
      </c>
      <c r="M377" s="4">
        <v>33</v>
      </c>
      <c r="N377" s="4"/>
      <c r="O377" s="74"/>
      <c r="P377" s="4"/>
      <c r="Q377" s="74"/>
    </row>
    <row r="378" spans="1:17">
      <c r="A378" s="4">
        <f t="shared" si="5"/>
        <v>20</v>
      </c>
      <c r="B378" s="4">
        <f>IF(J378="",0,IF('Chart Information'!$V$14=A378,B377+1,IF(B377=0,0,IF(A378=A377,B377+1,0))))</f>
        <v>0</v>
      </c>
      <c r="C378" s="76"/>
      <c r="D378" s="4"/>
      <c r="E378" s="4"/>
      <c r="F378" s="55"/>
      <c r="G378" s="55"/>
      <c r="H378" s="55"/>
      <c r="I378" s="74">
        <v>1.2</v>
      </c>
      <c r="J378" s="74">
        <v>12</v>
      </c>
      <c r="K378" s="4">
        <v>1400</v>
      </c>
      <c r="L378" s="74">
        <v>41</v>
      </c>
      <c r="M378" s="4">
        <v>30</v>
      </c>
      <c r="N378" s="4"/>
      <c r="O378" s="74"/>
      <c r="P378" s="4"/>
      <c r="Q378" s="74"/>
    </row>
    <row r="379" spans="1:17">
      <c r="A379" s="4">
        <f t="shared" si="5"/>
        <v>20</v>
      </c>
      <c r="B379" s="4">
        <f>IF(J379="",0,IF('Chart Information'!$V$14=A379,B378+1,IF(B378=0,0,IF(A379=A378,B378+1,0))))</f>
        <v>0</v>
      </c>
      <c r="C379" s="76"/>
      <c r="D379" s="4"/>
      <c r="E379" s="4"/>
      <c r="F379" s="55"/>
      <c r="G379" s="55"/>
      <c r="H379" s="55"/>
      <c r="I379" s="74">
        <v>1.2</v>
      </c>
      <c r="J379" s="74">
        <v>12.5</v>
      </c>
      <c r="K379" s="4">
        <v>1375</v>
      </c>
      <c r="L379" s="74">
        <v>41.5</v>
      </c>
      <c r="M379" s="4">
        <v>27</v>
      </c>
      <c r="N379" s="4"/>
      <c r="O379" s="74"/>
      <c r="P379" s="4"/>
      <c r="Q379" s="74"/>
    </row>
    <row r="380" spans="1:17">
      <c r="A380" s="4">
        <f t="shared" si="5"/>
        <v>20</v>
      </c>
      <c r="B380" s="4">
        <f>IF(J380="",0,IF('Chart Information'!$V$14=A380,B379+1,IF(B379=0,0,IF(A380=A379,B379+1,0))))</f>
        <v>0</v>
      </c>
      <c r="C380" s="76"/>
      <c r="D380" s="4"/>
      <c r="E380" s="4"/>
      <c r="F380" s="55"/>
      <c r="G380" s="55"/>
      <c r="H380" s="55"/>
      <c r="I380" s="74">
        <v>1.2</v>
      </c>
      <c r="J380" s="74">
        <v>13</v>
      </c>
      <c r="K380" s="4">
        <v>1350</v>
      </c>
      <c r="L380" s="74">
        <v>41.5</v>
      </c>
      <c r="M380" s="4">
        <v>27</v>
      </c>
      <c r="N380" s="4"/>
      <c r="O380" s="74"/>
      <c r="P380" s="4"/>
      <c r="Q380" s="74"/>
    </row>
    <row r="381" spans="1:17">
      <c r="A381" s="4">
        <f t="shared" si="5"/>
        <v>20</v>
      </c>
      <c r="B381" s="4">
        <f>IF(J381="",0,IF('Chart Information'!$V$14=A381,B380+1,IF(B380=0,0,IF(A381=A380,B380+1,0))))</f>
        <v>0</v>
      </c>
      <c r="C381" s="76"/>
      <c r="D381" s="4"/>
      <c r="E381" s="4"/>
      <c r="F381" s="55"/>
      <c r="G381" s="55"/>
      <c r="H381" s="55"/>
      <c r="I381" s="74">
        <v>1.2</v>
      </c>
      <c r="J381" s="74">
        <v>13.5</v>
      </c>
      <c r="K381" s="4">
        <v>1325</v>
      </c>
      <c r="L381" s="74">
        <v>41.5</v>
      </c>
      <c r="M381" s="4">
        <v>29</v>
      </c>
      <c r="N381" s="4"/>
      <c r="O381" s="74"/>
      <c r="P381" s="4"/>
      <c r="Q381" s="74"/>
    </row>
    <row r="382" spans="1:17">
      <c r="A382" s="4">
        <f t="shared" si="5"/>
        <v>20</v>
      </c>
      <c r="B382" s="4">
        <f>IF(J382="",0,IF('Chart Information'!$V$14=A382,B381+1,IF(B381=0,0,IF(A382=A381,B381+1,0))))</f>
        <v>0</v>
      </c>
      <c r="C382" s="76"/>
      <c r="D382" s="4"/>
      <c r="E382" s="4"/>
      <c r="F382" s="55"/>
      <c r="G382" s="55"/>
      <c r="H382" s="55"/>
      <c r="I382" s="74">
        <v>1.2</v>
      </c>
      <c r="J382" s="74">
        <v>14</v>
      </c>
      <c r="K382" s="4">
        <v>1325</v>
      </c>
      <c r="L382" s="74">
        <v>41.5</v>
      </c>
      <c r="M382" s="4">
        <v>32</v>
      </c>
      <c r="N382" s="4"/>
      <c r="O382" s="74"/>
      <c r="P382" s="4"/>
      <c r="Q382" s="74"/>
    </row>
    <row r="383" spans="1:17">
      <c r="A383" s="4">
        <f t="shared" si="5"/>
        <v>20</v>
      </c>
      <c r="B383" s="4">
        <f>IF(J383="",0,IF('Chart Information'!$V$14=A383,B382+1,IF(B382=0,0,IF(A383=A382,B382+1,0))))</f>
        <v>0</v>
      </c>
      <c r="C383" s="76"/>
      <c r="D383" s="4"/>
      <c r="E383" s="4"/>
      <c r="F383" s="55"/>
      <c r="G383" s="55"/>
      <c r="H383" s="55"/>
      <c r="I383" s="74">
        <v>1.2</v>
      </c>
      <c r="J383" s="74">
        <v>14.5</v>
      </c>
      <c r="K383" s="4">
        <v>1325</v>
      </c>
      <c r="L383" s="74">
        <v>41.5</v>
      </c>
      <c r="M383" s="4">
        <v>33</v>
      </c>
      <c r="N383" s="4"/>
      <c r="O383" s="74"/>
      <c r="P383" s="4"/>
      <c r="Q383" s="74"/>
    </row>
    <row r="384" spans="1:17">
      <c r="A384" s="4">
        <f t="shared" si="5"/>
        <v>20</v>
      </c>
      <c r="B384" s="4">
        <f>IF(J384="",0,IF('Chart Information'!$V$14=A384,B383+1,IF(B383=0,0,IF(A384=A383,B383+1,0))))</f>
        <v>0</v>
      </c>
      <c r="C384" s="76"/>
      <c r="D384" s="4"/>
      <c r="E384" s="4"/>
      <c r="F384" s="55"/>
      <c r="G384" s="55"/>
      <c r="H384" s="55"/>
      <c r="I384" s="74">
        <v>1.2</v>
      </c>
      <c r="J384" s="74">
        <v>15</v>
      </c>
      <c r="K384" s="4">
        <v>1350</v>
      </c>
      <c r="L384" s="74">
        <v>41.5</v>
      </c>
      <c r="M384" s="4">
        <v>37</v>
      </c>
      <c r="N384" s="4"/>
      <c r="O384" s="74"/>
      <c r="P384" s="4"/>
      <c r="Q384" s="74"/>
    </row>
    <row r="385" spans="1:17">
      <c r="A385" s="4">
        <f t="shared" si="5"/>
        <v>20</v>
      </c>
      <c r="B385" s="4">
        <f>IF(J385="",0,IF('Chart Information'!$V$14=A385,B384+1,IF(B384=0,0,IF(A385=A384,B384+1,0))))</f>
        <v>0</v>
      </c>
      <c r="C385" s="76"/>
      <c r="D385" s="4"/>
      <c r="E385" s="4"/>
      <c r="F385" s="55"/>
      <c r="G385" s="55"/>
      <c r="H385" s="55"/>
      <c r="I385" s="74">
        <v>1.2</v>
      </c>
      <c r="J385" s="74">
        <v>15.5</v>
      </c>
      <c r="K385" s="4">
        <v>1375</v>
      </c>
      <c r="L385" s="74">
        <v>41</v>
      </c>
      <c r="M385" s="4">
        <v>43</v>
      </c>
      <c r="N385" s="4"/>
      <c r="O385" s="74"/>
      <c r="P385" s="4"/>
      <c r="Q385" s="74"/>
    </row>
    <row r="386" spans="1:17">
      <c r="A386" s="4">
        <f t="shared" si="5"/>
        <v>20</v>
      </c>
      <c r="B386" s="4">
        <f>IF(J386="",0,IF('Chart Information'!$V$14=A386,B385+1,IF(B385=0,0,IF(A386=A385,B385+1,0))))</f>
        <v>0</v>
      </c>
      <c r="C386" s="76"/>
      <c r="D386" s="4"/>
      <c r="E386" s="4"/>
      <c r="F386" s="55"/>
      <c r="G386" s="55"/>
      <c r="H386" s="55"/>
      <c r="I386" s="74">
        <v>1.2</v>
      </c>
      <c r="J386" s="74">
        <v>16</v>
      </c>
      <c r="K386" s="4">
        <v>1400</v>
      </c>
      <c r="L386" s="74">
        <v>41</v>
      </c>
      <c r="M386" s="4">
        <v>48</v>
      </c>
      <c r="N386" s="4"/>
      <c r="O386" s="74"/>
      <c r="P386" s="4"/>
      <c r="Q386" s="74"/>
    </row>
    <row r="387" spans="1:17">
      <c r="A387" s="4">
        <f t="shared" si="5"/>
        <v>20</v>
      </c>
      <c r="B387" s="4">
        <f>IF(J387="",0,IF('Chart Information'!$V$14=A387,B386+1,IF(B386=0,0,IF(A387=A386,B386+1,0))))</f>
        <v>0</v>
      </c>
      <c r="C387" s="76"/>
      <c r="D387" s="4"/>
      <c r="E387" s="4"/>
      <c r="F387" s="55"/>
      <c r="G387" s="55"/>
      <c r="H387" s="55"/>
      <c r="I387" s="74">
        <v>1.2</v>
      </c>
      <c r="J387" s="74">
        <v>16.5</v>
      </c>
      <c r="K387" s="4">
        <v>1450</v>
      </c>
      <c r="L387" s="74">
        <v>40.5</v>
      </c>
      <c r="M387" s="4">
        <v>53</v>
      </c>
      <c r="N387" s="4"/>
      <c r="O387" s="74"/>
      <c r="P387" s="4"/>
      <c r="Q387" s="74"/>
    </row>
    <row r="388" spans="1:17">
      <c r="A388" s="4">
        <f t="shared" si="5"/>
        <v>20</v>
      </c>
      <c r="B388" s="4">
        <f>IF(J388="",0,IF('Chart Information'!$V$14=A388,B387+1,IF(B387=0,0,IF(A388=A387,B387+1,0))))</f>
        <v>0</v>
      </c>
      <c r="C388" s="76"/>
      <c r="D388" s="4"/>
      <c r="E388" s="4"/>
      <c r="F388" s="55"/>
      <c r="G388" s="55"/>
      <c r="H388" s="55"/>
      <c r="I388" s="74">
        <v>1.2</v>
      </c>
      <c r="J388" s="74">
        <v>17</v>
      </c>
      <c r="K388" s="4">
        <v>1500</v>
      </c>
      <c r="L388" s="74">
        <v>40.5</v>
      </c>
      <c r="M388" s="4">
        <v>58</v>
      </c>
      <c r="N388" s="4"/>
      <c r="O388" s="74"/>
      <c r="P388" s="4"/>
      <c r="Q388" s="74"/>
    </row>
    <row r="389" spans="1:17">
      <c r="A389" s="4">
        <f t="shared" si="5"/>
        <v>20</v>
      </c>
      <c r="B389" s="4">
        <f>IF(J389="",0,IF('Chart Information'!$V$14=A389,B388+1,IF(B388=0,0,IF(A389=A388,B388+1,0))))</f>
        <v>0</v>
      </c>
      <c r="C389" s="76"/>
      <c r="D389" s="4"/>
      <c r="E389" s="4"/>
      <c r="F389" s="55"/>
      <c r="G389" s="55"/>
      <c r="H389" s="55"/>
      <c r="I389" s="74">
        <v>1.2</v>
      </c>
      <c r="J389" s="74">
        <v>17.5</v>
      </c>
      <c r="K389" s="4">
        <v>1550</v>
      </c>
      <c r="L389" s="74">
        <v>40</v>
      </c>
      <c r="M389" s="4">
        <v>65</v>
      </c>
      <c r="N389" s="4"/>
      <c r="O389" s="74"/>
      <c r="P389" s="4"/>
      <c r="Q389" s="74"/>
    </row>
    <row r="390" spans="1:17">
      <c r="A390" s="4">
        <f t="shared" si="5"/>
        <v>20</v>
      </c>
      <c r="B390" s="4">
        <f>IF(J390="",0,IF('Chart Information'!$V$14=A390,B389+1,IF(B389=0,0,IF(A390=A389,B389+1,0))))</f>
        <v>0</v>
      </c>
      <c r="C390" s="76"/>
      <c r="D390" s="4"/>
      <c r="E390" s="4"/>
      <c r="F390" s="55"/>
      <c r="G390" s="55"/>
      <c r="H390" s="55"/>
      <c r="I390" s="74">
        <v>1.2</v>
      </c>
      <c r="J390" s="74">
        <v>18</v>
      </c>
      <c r="K390" s="4">
        <v>1600</v>
      </c>
      <c r="L390" s="74">
        <v>40</v>
      </c>
      <c r="M390" s="4">
        <v>70</v>
      </c>
      <c r="N390" s="4"/>
      <c r="O390" s="74"/>
      <c r="P390" s="4"/>
      <c r="Q390" s="74"/>
    </row>
    <row r="391" spans="1:17">
      <c r="A391" s="4">
        <f t="shared" si="5"/>
        <v>20</v>
      </c>
      <c r="B391" s="4">
        <f>IF(J391="",0,IF('Chart Information'!$V$14=A391,B390+1,IF(B390=0,0,IF(A391=A390,B390+1,0))))</f>
        <v>0</v>
      </c>
      <c r="C391" s="76"/>
      <c r="D391" s="4"/>
      <c r="E391" s="4"/>
      <c r="F391" s="55"/>
      <c r="G391" s="55"/>
      <c r="H391" s="55"/>
      <c r="I391" s="74">
        <v>1.2</v>
      </c>
      <c r="J391" s="74">
        <v>18.5</v>
      </c>
      <c r="K391" s="4">
        <v>1650</v>
      </c>
      <c r="L391" s="74">
        <v>40</v>
      </c>
      <c r="M391" s="4">
        <v>75</v>
      </c>
      <c r="N391" s="4"/>
      <c r="O391" s="74"/>
      <c r="P391" s="4"/>
      <c r="Q391" s="74"/>
    </row>
    <row r="392" spans="1:17">
      <c r="A392" s="4">
        <f t="shared" ref="A392:A455" si="6">IF(D392="",A391,A391+1)</f>
        <v>20</v>
      </c>
      <c r="B392" s="4">
        <f>IF(J392="",0,IF('Chart Information'!$V$14=A392,B391+1,IF(B391=0,0,IF(A392=A391,B391+1,0))))</f>
        <v>0</v>
      </c>
      <c r="C392" s="76"/>
      <c r="D392" s="4"/>
      <c r="E392" s="4"/>
      <c r="F392" s="55"/>
      <c r="G392" s="55"/>
      <c r="H392" s="55"/>
      <c r="I392" s="74">
        <v>1.2</v>
      </c>
      <c r="J392" s="74">
        <v>19</v>
      </c>
      <c r="K392" s="4">
        <v>1700</v>
      </c>
      <c r="L392" s="74">
        <v>40</v>
      </c>
      <c r="M392" s="4">
        <v>80</v>
      </c>
      <c r="N392" s="4"/>
      <c r="O392" s="74"/>
      <c r="P392" s="4"/>
      <c r="Q392" s="74"/>
    </row>
    <row r="393" spans="1:17">
      <c r="A393" s="4">
        <f t="shared" si="6"/>
        <v>20</v>
      </c>
      <c r="B393" s="4">
        <f>IF(J393="",0,IF('Chart Information'!$V$14=A393,B392+1,IF(B392=0,0,IF(A393=A392,B392+1,0))))</f>
        <v>0</v>
      </c>
      <c r="C393" s="76"/>
      <c r="D393" s="4"/>
      <c r="E393" s="4"/>
      <c r="F393" s="55"/>
      <c r="G393" s="55"/>
      <c r="H393" s="55"/>
      <c r="I393" s="74">
        <v>1.2</v>
      </c>
      <c r="J393" s="74">
        <v>19.5</v>
      </c>
      <c r="K393" s="4">
        <v>1755</v>
      </c>
      <c r="L393" s="74">
        <v>40</v>
      </c>
      <c r="M393" s="4">
        <v>90</v>
      </c>
      <c r="N393" s="4"/>
      <c r="O393" s="74"/>
      <c r="P393" s="4"/>
      <c r="Q393" s="74"/>
    </row>
    <row r="394" spans="1:17">
      <c r="A394" s="4">
        <f t="shared" si="6"/>
        <v>20</v>
      </c>
      <c r="B394" s="4">
        <f>IF(J394="",0,IF('Chart Information'!$V$14=A394,B393+1,IF(B393=0,0,IF(A394=A393,B393+1,0))))</f>
        <v>0</v>
      </c>
      <c r="C394" s="76"/>
      <c r="D394" s="4"/>
      <c r="E394" s="4"/>
      <c r="F394" s="55"/>
      <c r="G394" s="55"/>
      <c r="H394" s="55"/>
      <c r="I394" s="74">
        <v>1.2</v>
      </c>
      <c r="J394" s="74">
        <v>20</v>
      </c>
      <c r="K394" s="4">
        <v>1800</v>
      </c>
      <c r="L394" s="74">
        <v>39</v>
      </c>
      <c r="M394" s="4">
        <v>95</v>
      </c>
      <c r="N394" s="4"/>
      <c r="O394" s="74"/>
      <c r="P394" s="4"/>
      <c r="Q394" s="74"/>
    </row>
    <row r="395" spans="1:17">
      <c r="A395" s="4">
        <f t="shared" si="6"/>
        <v>20</v>
      </c>
      <c r="B395" s="4">
        <f>IF(J395="",0,IF('Chart Information'!$V$14=A395,B394+1,IF(B394=0,0,IF(A395=A394,B394+1,0))))</f>
        <v>0</v>
      </c>
      <c r="C395" s="76"/>
      <c r="D395" s="4"/>
      <c r="E395" s="4"/>
      <c r="F395" s="55"/>
      <c r="G395" s="55"/>
      <c r="H395" s="55"/>
      <c r="I395" s="74">
        <v>1.2</v>
      </c>
      <c r="J395" s="74">
        <v>20.5</v>
      </c>
      <c r="K395" s="4">
        <v>1835</v>
      </c>
      <c r="L395" s="74">
        <v>39</v>
      </c>
      <c r="M395" s="4">
        <v>97</v>
      </c>
      <c r="N395" s="4"/>
      <c r="O395" s="74"/>
      <c r="P395" s="4"/>
      <c r="Q395" s="74"/>
    </row>
    <row r="396" spans="1:17">
      <c r="A396" s="4">
        <f t="shared" si="6"/>
        <v>20</v>
      </c>
      <c r="B396" s="4">
        <f>IF(J396="",0,IF('Chart Information'!$V$14=A396,B395+1,IF(B395=0,0,IF(A396=A395,B395+1,0))))</f>
        <v>0</v>
      </c>
      <c r="C396" s="76"/>
      <c r="D396" s="4"/>
      <c r="E396" s="4"/>
      <c r="F396" s="55"/>
      <c r="G396" s="55"/>
      <c r="H396" s="55"/>
      <c r="I396" s="74">
        <v>1.2</v>
      </c>
      <c r="J396" s="74">
        <v>21</v>
      </c>
      <c r="K396" s="4">
        <v>1875</v>
      </c>
      <c r="L396" s="74">
        <v>39</v>
      </c>
      <c r="M396" s="4">
        <v>98</v>
      </c>
      <c r="N396" s="4"/>
      <c r="O396" s="74"/>
      <c r="P396" s="4"/>
      <c r="Q396" s="74"/>
    </row>
    <row r="397" spans="1:17">
      <c r="A397" s="4">
        <f t="shared" si="6"/>
        <v>20</v>
      </c>
      <c r="B397" s="4">
        <f>IF(J397="",0,IF('Chart Information'!$V$14=A397,B396+1,IF(B396=0,0,IF(A397=A396,B396+1,0))))</f>
        <v>0</v>
      </c>
      <c r="C397" s="76"/>
      <c r="D397" s="4"/>
      <c r="E397" s="4"/>
      <c r="F397" s="55"/>
      <c r="G397" s="55"/>
      <c r="H397" s="55"/>
      <c r="I397" s="74">
        <v>1.2</v>
      </c>
      <c r="J397" s="74">
        <v>21.5</v>
      </c>
      <c r="K397" s="4">
        <v>1900</v>
      </c>
      <c r="L397" s="74">
        <v>39</v>
      </c>
      <c r="M397" s="4">
        <v>100</v>
      </c>
      <c r="N397" s="4"/>
      <c r="O397" s="74"/>
      <c r="P397" s="4"/>
      <c r="Q397" s="74"/>
    </row>
    <row r="398" spans="1:17">
      <c r="A398" s="4">
        <f t="shared" si="6"/>
        <v>20</v>
      </c>
      <c r="B398" s="4">
        <f>IF(J398="",0,IF('Chart Information'!$V$14=A398,B397+1,IF(B397=0,0,IF(A398=A397,B397+1,0))))</f>
        <v>0</v>
      </c>
      <c r="C398" s="76"/>
      <c r="D398" s="4"/>
      <c r="E398" s="4"/>
      <c r="F398" s="55"/>
      <c r="G398" s="55"/>
      <c r="H398" s="55"/>
      <c r="I398" s="74">
        <v>1.2</v>
      </c>
      <c r="J398" s="74">
        <v>22</v>
      </c>
      <c r="K398" s="4">
        <v>1910</v>
      </c>
      <c r="L398" s="74">
        <v>39</v>
      </c>
      <c r="M398" s="4">
        <v>105</v>
      </c>
      <c r="N398" s="4"/>
      <c r="O398" s="74"/>
      <c r="P398" s="4"/>
      <c r="Q398" s="74"/>
    </row>
    <row r="399" spans="1:17">
      <c r="A399" s="4">
        <f t="shared" si="6"/>
        <v>20</v>
      </c>
      <c r="B399" s="4">
        <f>IF(J399="",0,IF('Chart Information'!$V$14=A399,B398+1,IF(B398=0,0,IF(A399=A398,B398+1,0))))</f>
        <v>0</v>
      </c>
      <c r="C399" s="76"/>
      <c r="D399" s="4"/>
      <c r="E399" s="4"/>
      <c r="F399" s="55"/>
      <c r="G399" s="55"/>
      <c r="H399" s="55"/>
      <c r="I399" s="74">
        <v>1.2</v>
      </c>
      <c r="J399" s="74">
        <v>22.5</v>
      </c>
      <c r="K399" s="4">
        <v>1925</v>
      </c>
      <c r="L399" s="74">
        <v>39</v>
      </c>
      <c r="M399" s="4">
        <v>106</v>
      </c>
      <c r="N399" s="4"/>
      <c r="O399" s="74"/>
      <c r="P399" s="4"/>
      <c r="Q399" s="74"/>
    </row>
    <row r="400" spans="1:17">
      <c r="A400" s="4">
        <f t="shared" si="6"/>
        <v>20</v>
      </c>
      <c r="B400" s="4">
        <f>IF(J400="",0,IF('Chart Information'!$V$14=A400,B399+1,IF(B399=0,0,IF(A400=A399,B399+1,0))))</f>
        <v>0</v>
      </c>
      <c r="C400" s="76"/>
      <c r="D400" s="4"/>
      <c r="E400" s="4"/>
      <c r="F400" s="55"/>
      <c r="G400" s="55"/>
      <c r="H400" s="55"/>
      <c r="I400" s="74">
        <v>1.2</v>
      </c>
      <c r="J400" s="74">
        <v>23</v>
      </c>
      <c r="K400" s="4">
        <v>1925</v>
      </c>
      <c r="L400" s="74">
        <v>38</v>
      </c>
      <c r="M400" s="4">
        <v>106</v>
      </c>
      <c r="N400" s="4"/>
      <c r="O400" s="74"/>
      <c r="P400" s="4"/>
      <c r="Q400" s="74"/>
    </row>
    <row r="401" spans="1:17">
      <c r="A401" s="4">
        <f t="shared" si="6"/>
        <v>20</v>
      </c>
      <c r="B401" s="4">
        <f>IF(J401="",0,IF('Chart Information'!$V$14=A401,B400+1,IF(B400=0,0,IF(A401=A400,B400+1,0))))</f>
        <v>0</v>
      </c>
      <c r="C401" s="76"/>
      <c r="D401" s="4"/>
      <c r="E401" s="4"/>
      <c r="F401" s="55"/>
      <c r="G401" s="55"/>
      <c r="H401" s="55"/>
      <c r="I401" s="74">
        <v>1.2</v>
      </c>
      <c r="J401" s="74">
        <v>23.5</v>
      </c>
      <c r="K401" s="4">
        <v>1910</v>
      </c>
      <c r="L401" s="74">
        <v>38</v>
      </c>
      <c r="M401" s="4">
        <v>106</v>
      </c>
      <c r="N401" s="4"/>
      <c r="O401" s="74"/>
      <c r="P401" s="4"/>
      <c r="Q401" s="74"/>
    </row>
    <row r="402" spans="1:17">
      <c r="A402" s="4">
        <f t="shared" si="6"/>
        <v>20</v>
      </c>
      <c r="B402" s="4">
        <f>IF(J402="",0,IF('Chart Information'!$V$14=A402,B401+1,IF(B401=0,0,IF(A402=A401,B401+1,0))))</f>
        <v>0</v>
      </c>
      <c r="C402" s="76"/>
      <c r="D402" s="4"/>
      <c r="E402" s="4"/>
      <c r="F402" s="55"/>
      <c r="G402" s="55"/>
      <c r="H402" s="55"/>
      <c r="I402" s="74">
        <v>1.2</v>
      </c>
      <c r="J402" s="74">
        <v>24</v>
      </c>
      <c r="K402" s="4">
        <v>1900</v>
      </c>
      <c r="L402" s="74">
        <v>38</v>
      </c>
      <c r="M402" s="4">
        <v>106</v>
      </c>
      <c r="N402" s="4"/>
      <c r="O402" s="74"/>
      <c r="P402" s="4"/>
      <c r="Q402" s="74"/>
    </row>
    <row r="403" spans="1:17">
      <c r="A403" s="4">
        <f t="shared" si="6"/>
        <v>20</v>
      </c>
      <c r="B403" s="4">
        <f>IF(J403="",0,IF('Chart Information'!$V$14=A403,B402+1,IF(B402=0,0,IF(A403=A402,B402+1,0))))</f>
        <v>0</v>
      </c>
      <c r="C403" s="76"/>
      <c r="D403" s="4"/>
      <c r="E403" s="4"/>
      <c r="F403" s="55"/>
      <c r="G403" s="55"/>
      <c r="H403" s="55"/>
      <c r="I403" s="74">
        <v>1.2</v>
      </c>
      <c r="J403" s="74">
        <v>24.5</v>
      </c>
      <c r="K403" s="4">
        <v>1850</v>
      </c>
      <c r="L403" s="74">
        <v>38</v>
      </c>
      <c r="M403" s="4">
        <v>105</v>
      </c>
      <c r="N403" s="4"/>
      <c r="O403" s="74"/>
      <c r="P403" s="4"/>
      <c r="Q403" s="74"/>
    </row>
    <row r="404" spans="1:17">
      <c r="A404" s="4">
        <f t="shared" si="6"/>
        <v>20</v>
      </c>
      <c r="B404" s="4">
        <f>IF(J404="",0,IF('Chart Information'!$V$14=A404,B403+1,IF(B403=0,0,IF(A404=A403,B403+1,0))))</f>
        <v>0</v>
      </c>
      <c r="C404" s="76"/>
      <c r="D404" s="4"/>
      <c r="E404" s="4"/>
      <c r="F404" s="55"/>
      <c r="G404" s="55"/>
      <c r="H404" s="55"/>
      <c r="I404" s="74">
        <v>1.2</v>
      </c>
      <c r="J404" s="74">
        <v>25</v>
      </c>
      <c r="K404" s="4">
        <v>1800</v>
      </c>
      <c r="L404" s="74">
        <v>38.5</v>
      </c>
      <c r="M404" s="4">
        <v>105</v>
      </c>
      <c r="N404" s="4"/>
      <c r="O404" s="74"/>
      <c r="P404" s="4"/>
      <c r="Q404" s="74"/>
    </row>
    <row r="405" spans="1:17">
      <c r="A405" s="4">
        <f t="shared" si="6"/>
        <v>20</v>
      </c>
      <c r="B405" s="4">
        <f>IF(J405="",0,IF('Chart Information'!$V$14=A405,B404+1,IF(B404=0,0,IF(A405=A404,B404+1,0))))</f>
        <v>0</v>
      </c>
      <c r="C405" s="76"/>
      <c r="D405" s="4"/>
      <c r="E405" s="4"/>
      <c r="F405" s="55"/>
      <c r="G405" s="55"/>
      <c r="H405" s="55"/>
      <c r="I405" s="74">
        <v>1.2</v>
      </c>
      <c r="J405" s="74">
        <v>25.5</v>
      </c>
      <c r="K405" s="4">
        <v>1725</v>
      </c>
      <c r="L405" s="74">
        <v>38.5</v>
      </c>
      <c r="M405" s="4">
        <v>102</v>
      </c>
      <c r="N405" s="4"/>
      <c r="O405" s="74"/>
      <c r="P405" s="4"/>
      <c r="Q405" s="74"/>
    </row>
    <row r="406" spans="1:17">
      <c r="A406" s="4">
        <f t="shared" si="6"/>
        <v>20</v>
      </c>
      <c r="B406" s="4">
        <f>IF(J406="",0,IF('Chart Information'!$V$14=A406,B405+1,IF(B405=0,0,IF(A406=A405,B405+1,0))))</f>
        <v>0</v>
      </c>
      <c r="C406" s="76"/>
      <c r="D406" s="4"/>
      <c r="E406" s="4"/>
      <c r="F406" s="55"/>
      <c r="G406" s="55"/>
      <c r="H406" s="55"/>
      <c r="I406" s="74">
        <v>1.2</v>
      </c>
      <c r="J406" s="74">
        <v>26</v>
      </c>
      <c r="K406" s="4">
        <v>1615</v>
      </c>
      <c r="L406" s="74">
        <v>38.5</v>
      </c>
      <c r="M406" s="4">
        <v>98</v>
      </c>
      <c r="N406" s="4"/>
      <c r="O406" s="74"/>
      <c r="P406" s="4"/>
      <c r="Q406" s="74"/>
    </row>
    <row r="407" spans="1:17">
      <c r="A407" s="4">
        <f t="shared" si="6"/>
        <v>20</v>
      </c>
      <c r="B407" s="4">
        <f>IF(J407="",0,IF('Chart Information'!$V$14=A407,B406+1,IF(B406=0,0,IF(A407=A406,B406+1,0))))</f>
        <v>0</v>
      </c>
      <c r="C407" s="76"/>
      <c r="D407" s="4"/>
      <c r="E407" s="4"/>
      <c r="F407" s="55"/>
      <c r="G407" s="55"/>
      <c r="H407" s="55"/>
      <c r="I407" s="74">
        <v>1.2</v>
      </c>
      <c r="J407" s="74">
        <v>26.5</v>
      </c>
      <c r="K407" s="4">
        <v>1500</v>
      </c>
      <c r="L407" s="74">
        <v>39</v>
      </c>
      <c r="M407" s="4">
        <v>96</v>
      </c>
      <c r="N407" s="4"/>
      <c r="O407" s="74"/>
      <c r="P407" s="4"/>
      <c r="Q407" s="74"/>
    </row>
    <row r="408" spans="1:17">
      <c r="A408" s="4">
        <f t="shared" si="6"/>
        <v>20</v>
      </c>
      <c r="B408" s="4">
        <f>IF(J408="",0,IF('Chart Information'!$V$14=A408,B407+1,IF(B407=0,0,IF(A408=A407,B407+1,0))))</f>
        <v>0</v>
      </c>
      <c r="C408" s="76"/>
      <c r="D408" s="4"/>
      <c r="E408" s="4"/>
      <c r="F408" s="55"/>
      <c r="G408" s="55"/>
      <c r="H408" s="55"/>
      <c r="I408" s="74">
        <v>1.2</v>
      </c>
      <c r="J408" s="74">
        <v>27</v>
      </c>
      <c r="K408" s="4">
        <v>1390</v>
      </c>
      <c r="L408" s="74">
        <v>39</v>
      </c>
      <c r="M408" s="4">
        <v>90</v>
      </c>
      <c r="N408" s="4"/>
      <c r="O408" s="74"/>
      <c r="P408" s="4"/>
      <c r="Q408" s="74"/>
    </row>
    <row r="409" spans="1:17">
      <c r="A409" s="4">
        <f t="shared" si="6"/>
        <v>20</v>
      </c>
      <c r="B409" s="4">
        <f>IF(J409="",0,IF('Chart Information'!$V$14=A409,B408+1,IF(B408=0,0,IF(A409=A408,B408+1,0))))</f>
        <v>0</v>
      </c>
      <c r="C409" s="76"/>
      <c r="D409" s="4"/>
      <c r="E409" s="4"/>
      <c r="F409" s="55"/>
      <c r="G409" s="55"/>
      <c r="H409" s="55"/>
      <c r="I409" s="74">
        <v>1.2</v>
      </c>
      <c r="J409" s="74">
        <v>27.5</v>
      </c>
      <c r="K409" s="4">
        <v>1200</v>
      </c>
      <c r="L409" s="74">
        <v>39</v>
      </c>
      <c r="M409" s="4">
        <v>85</v>
      </c>
      <c r="N409" s="4"/>
      <c r="O409" s="74"/>
      <c r="P409" s="4"/>
      <c r="Q409" s="74"/>
    </row>
    <row r="410" spans="1:17">
      <c r="A410" s="4">
        <f t="shared" si="6"/>
        <v>20</v>
      </c>
      <c r="B410" s="4">
        <f>IF(J410="",0,IF('Chart Information'!$V$14=A410,B409+1,IF(B409=0,0,IF(A410=A409,B409+1,0))))</f>
        <v>0</v>
      </c>
      <c r="C410" s="76"/>
      <c r="D410" s="4"/>
      <c r="E410" s="4"/>
      <c r="F410" s="55"/>
      <c r="G410" s="55"/>
      <c r="H410" s="55"/>
      <c r="I410" s="74">
        <v>1.2</v>
      </c>
      <c r="J410" s="74">
        <v>28</v>
      </c>
      <c r="K410" s="4">
        <v>1000</v>
      </c>
      <c r="L410" s="74">
        <v>40</v>
      </c>
      <c r="M410" s="4">
        <v>70</v>
      </c>
      <c r="N410" s="4"/>
      <c r="O410" s="74"/>
      <c r="P410" s="4"/>
      <c r="Q410" s="74"/>
    </row>
    <row r="411" spans="1:17">
      <c r="A411" s="4">
        <f t="shared" si="6"/>
        <v>20</v>
      </c>
      <c r="B411" s="4">
        <f>IF(J411="",0,IF('Chart Information'!$V$14=A411,B410+1,IF(B410=0,0,IF(A411=A410,B410+1,0))))</f>
        <v>0</v>
      </c>
      <c r="C411" s="76"/>
      <c r="D411" s="4"/>
      <c r="E411" s="4"/>
      <c r="F411" s="55"/>
      <c r="G411" s="55"/>
      <c r="H411" s="55"/>
      <c r="I411" s="74">
        <v>1.2</v>
      </c>
      <c r="J411" s="74">
        <v>28.5</v>
      </c>
      <c r="K411" s="4">
        <v>800</v>
      </c>
      <c r="L411" s="74">
        <v>40</v>
      </c>
      <c r="M411" s="4">
        <v>55</v>
      </c>
      <c r="N411" s="4"/>
      <c r="O411" s="74"/>
      <c r="P411" s="4"/>
      <c r="Q411" s="74"/>
    </row>
    <row r="412" spans="1:17">
      <c r="A412" s="4">
        <f t="shared" si="6"/>
        <v>20</v>
      </c>
      <c r="B412" s="4">
        <f>IF(J412="",0,IF('Chart Information'!$V$14=A412,B411+1,IF(B411=0,0,IF(A412=A411,B411+1,0))))</f>
        <v>0</v>
      </c>
      <c r="C412" s="76"/>
      <c r="D412" s="4"/>
      <c r="E412" s="4"/>
      <c r="F412" s="55"/>
      <c r="G412" s="55"/>
      <c r="H412" s="55"/>
      <c r="I412" s="74">
        <v>1.2</v>
      </c>
      <c r="J412" s="74">
        <v>29</v>
      </c>
      <c r="K412" s="4">
        <v>550</v>
      </c>
      <c r="L412" s="74">
        <v>41</v>
      </c>
      <c r="M412" s="4">
        <v>43</v>
      </c>
      <c r="N412" s="4"/>
      <c r="O412" s="74"/>
      <c r="P412" s="4"/>
      <c r="Q412" s="74"/>
    </row>
    <row r="413" spans="1:17">
      <c r="A413" s="4">
        <f t="shared" si="6"/>
        <v>20</v>
      </c>
      <c r="B413" s="4">
        <f>IF(J413="",0,IF('Chart Information'!$V$14=A413,B412+1,IF(B412=0,0,IF(A413=A412,B412+1,0))))</f>
        <v>0</v>
      </c>
      <c r="C413" s="76"/>
      <c r="D413" s="4"/>
      <c r="E413" s="4"/>
      <c r="F413" s="55"/>
      <c r="G413" s="55"/>
      <c r="H413" s="55"/>
      <c r="I413" s="74">
        <v>1.2</v>
      </c>
      <c r="J413" s="74">
        <v>29.5</v>
      </c>
      <c r="K413" s="4">
        <v>350</v>
      </c>
      <c r="L413" s="74">
        <v>41</v>
      </c>
      <c r="M413" s="4">
        <v>18</v>
      </c>
      <c r="N413" s="4"/>
      <c r="O413" s="74"/>
      <c r="P413" s="4"/>
      <c r="Q413" s="74"/>
    </row>
    <row r="414" spans="1:17">
      <c r="A414" s="4">
        <f t="shared" si="6"/>
        <v>21</v>
      </c>
      <c r="B414" s="4">
        <f>IF(J414="",0,IF('Chart Information'!$V$14=A414,B413+1,IF(B413=0,0,IF(A414=A413,B413+1,0))))</f>
        <v>0</v>
      </c>
      <c r="C414" s="76" t="s">
        <v>316</v>
      </c>
      <c r="D414" s="4" t="s">
        <v>290</v>
      </c>
      <c r="E414" s="4">
        <v>1220</v>
      </c>
      <c r="F414" s="55">
        <v>37</v>
      </c>
      <c r="G414" s="55" t="s">
        <v>292</v>
      </c>
      <c r="H414" s="55" t="s">
        <v>298</v>
      </c>
      <c r="I414" s="74">
        <v>1.2</v>
      </c>
      <c r="J414" s="74">
        <v>1.5</v>
      </c>
      <c r="K414" s="4">
        <v>2425</v>
      </c>
      <c r="L414" s="74">
        <v>34.5</v>
      </c>
      <c r="M414" s="4">
        <v>11</v>
      </c>
      <c r="N414" s="4">
        <f>+K418</f>
        <v>2370</v>
      </c>
      <c r="O414" s="74">
        <f>+J418</f>
        <v>2.5</v>
      </c>
      <c r="P414" s="4">
        <f>+K431</f>
        <v>2475</v>
      </c>
      <c r="Q414" s="74">
        <f>+J431</f>
        <v>5.75</v>
      </c>
    </row>
    <row r="415" spans="1:17">
      <c r="A415" s="4">
        <f t="shared" si="6"/>
        <v>21</v>
      </c>
      <c r="B415" s="4">
        <f>IF(J415="",0,IF('Chart Information'!$V$14=A415,B414+1,IF(B414=0,0,IF(A415=A414,B414+1,0))))</f>
        <v>0</v>
      </c>
      <c r="C415" s="76"/>
      <c r="D415" s="4"/>
      <c r="E415" s="4"/>
      <c r="F415" s="55"/>
      <c r="G415" s="55"/>
      <c r="H415" s="55"/>
      <c r="I415" s="74">
        <v>1.2</v>
      </c>
      <c r="J415" s="74">
        <v>1.75</v>
      </c>
      <c r="K415" s="4">
        <v>2400</v>
      </c>
      <c r="L415" s="74">
        <v>34.5</v>
      </c>
      <c r="M415" s="4">
        <v>12</v>
      </c>
      <c r="N415" s="4"/>
      <c r="O415" s="74"/>
      <c r="P415" s="4"/>
      <c r="Q415" s="74"/>
    </row>
    <row r="416" spans="1:17">
      <c r="A416" s="4">
        <f t="shared" si="6"/>
        <v>21</v>
      </c>
      <c r="B416" s="4">
        <f>IF(J416="",0,IF('Chart Information'!$V$14=A416,B415+1,IF(B415=0,0,IF(A416=A415,B415+1,0))))</f>
        <v>0</v>
      </c>
      <c r="C416" s="76"/>
      <c r="D416" s="4"/>
      <c r="E416" s="4"/>
      <c r="F416" s="55"/>
      <c r="G416" s="55"/>
      <c r="H416" s="55"/>
      <c r="I416" s="74">
        <v>1.2</v>
      </c>
      <c r="J416" s="74">
        <v>2</v>
      </c>
      <c r="K416" s="4">
        <v>2385</v>
      </c>
      <c r="L416" s="74">
        <v>34.75</v>
      </c>
      <c r="M416" s="4">
        <v>13</v>
      </c>
      <c r="N416" s="4"/>
      <c r="O416" s="74"/>
      <c r="P416" s="4"/>
      <c r="Q416" s="74"/>
    </row>
    <row r="417" spans="1:17">
      <c r="A417" s="4">
        <f t="shared" si="6"/>
        <v>21</v>
      </c>
      <c r="B417" s="4">
        <f>IF(J417="",0,IF('Chart Information'!$V$14=A417,B416+1,IF(B416=0,0,IF(A417=A416,B416+1,0))))</f>
        <v>0</v>
      </c>
      <c r="C417" s="76"/>
      <c r="D417" s="4"/>
      <c r="E417" s="4"/>
      <c r="F417" s="55"/>
      <c r="G417" s="55"/>
      <c r="H417" s="55"/>
      <c r="I417" s="74">
        <v>1.2</v>
      </c>
      <c r="J417" s="74">
        <v>2.25</v>
      </c>
      <c r="K417" s="4">
        <v>2375</v>
      </c>
      <c r="L417" s="74">
        <v>34.75</v>
      </c>
      <c r="M417" s="4">
        <v>14</v>
      </c>
      <c r="N417" s="4"/>
      <c r="O417" s="74"/>
      <c r="P417" s="4"/>
      <c r="Q417" s="74"/>
    </row>
    <row r="418" spans="1:17">
      <c r="A418" s="4">
        <f t="shared" si="6"/>
        <v>21</v>
      </c>
      <c r="B418" s="4">
        <f>IF(J418="",0,IF('Chart Information'!$V$14=A418,B417+1,IF(B417=0,0,IF(A418=A417,B417+1,0))))</f>
        <v>0</v>
      </c>
      <c r="C418" s="76"/>
      <c r="D418" s="4"/>
      <c r="E418" s="4"/>
      <c r="F418" s="55"/>
      <c r="G418" s="55"/>
      <c r="H418" s="55"/>
      <c r="I418" s="74">
        <v>1.2</v>
      </c>
      <c r="J418" s="74">
        <v>2.5</v>
      </c>
      <c r="K418" s="4">
        <v>2370</v>
      </c>
      <c r="L418" s="74">
        <v>35</v>
      </c>
      <c r="M418" s="4">
        <v>15</v>
      </c>
      <c r="N418" s="4"/>
      <c r="O418" s="74"/>
      <c r="P418" s="4"/>
      <c r="Q418" s="74"/>
    </row>
    <row r="419" spans="1:17">
      <c r="A419" s="4">
        <f t="shared" si="6"/>
        <v>21</v>
      </c>
      <c r="B419" s="4">
        <f>IF(J419="",0,IF('Chart Information'!$V$14=A419,B418+1,IF(B418=0,0,IF(A419=A418,B418+1,0))))</f>
        <v>0</v>
      </c>
      <c r="C419" s="76"/>
      <c r="D419" s="4"/>
      <c r="E419" s="4"/>
      <c r="F419" s="55"/>
      <c r="G419" s="55"/>
      <c r="H419" s="55"/>
      <c r="I419" s="74">
        <v>1.2</v>
      </c>
      <c r="J419" s="74">
        <v>2.75</v>
      </c>
      <c r="K419" s="4">
        <v>2375</v>
      </c>
      <c r="L419" s="74">
        <v>35</v>
      </c>
      <c r="M419" s="4">
        <v>17</v>
      </c>
      <c r="N419" s="4"/>
      <c r="O419" s="74"/>
      <c r="P419" s="4"/>
      <c r="Q419" s="74"/>
    </row>
    <row r="420" spans="1:17">
      <c r="A420" s="4">
        <f t="shared" si="6"/>
        <v>21</v>
      </c>
      <c r="B420" s="4">
        <f>IF(J420="",0,IF('Chart Information'!$V$14=A420,B419+1,IF(B419=0,0,IF(A420=A419,B419+1,0))))</f>
        <v>0</v>
      </c>
      <c r="C420" s="76"/>
      <c r="D420" s="4"/>
      <c r="E420" s="4"/>
      <c r="F420" s="55"/>
      <c r="G420" s="55"/>
      <c r="H420" s="55"/>
      <c r="I420" s="74">
        <v>1.2</v>
      </c>
      <c r="J420" s="74">
        <v>3</v>
      </c>
      <c r="K420" s="4">
        <v>2385</v>
      </c>
      <c r="L420" s="74">
        <v>35</v>
      </c>
      <c r="M420" s="4">
        <v>20</v>
      </c>
      <c r="N420" s="4"/>
      <c r="O420" s="74"/>
      <c r="P420" s="4"/>
      <c r="Q420" s="74"/>
    </row>
    <row r="421" spans="1:17">
      <c r="A421" s="4">
        <f t="shared" si="6"/>
        <v>21</v>
      </c>
      <c r="B421" s="4">
        <f>IF(J421="",0,IF('Chart Information'!$V$14=A421,B420+1,IF(B420=0,0,IF(A421=A420,B420+1,0))))</f>
        <v>0</v>
      </c>
      <c r="C421" s="76"/>
      <c r="D421" s="4"/>
      <c r="E421" s="4"/>
      <c r="F421" s="55"/>
      <c r="G421" s="55"/>
      <c r="H421" s="55"/>
      <c r="I421" s="74">
        <v>1.2</v>
      </c>
      <c r="J421" s="74">
        <v>3.25</v>
      </c>
      <c r="K421" s="4">
        <v>2395</v>
      </c>
      <c r="L421" s="74">
        <v>35</v>
      </c>
      <c r="M421" s="4">
        <v>22</v>
      </c>
      <c r="N421" s="4"/>
      <c r="O421" s="74"/>
      <c r="P421" s="4"/>
      <c r="Q421" s="74"/>
    </row>
    <row r="422" spans="1:17">
      <c r="A422" s="4">
        <f t="shared" si="6"/>
        <v>21</v>
      </c>
      <c r="B422" s="4">
        <f>IF(J422="",0,IF('Chart Information'!$V$14=A422,B421+1,IF(B421=0,0,IF(A422=A421,B421+1,0))))</f>
        <v>0</v>
      </c>
      <c r="C422" s="76"/>
      <c r="D422" s="4"/>
      <c r="E422" s="4"/>
      <c r="F422" s="55"/>
      <c r="G422" s="55"/>
      <c r="H422" s="55"/>
      <c r="I422" s="74">
        <v>1.2</v>
      </c>
      <c r="J422" s="74">
        <v>3.5</v>
      </c>
      <c r="K422" s="4">
        <v>2400</v>
      </c>
      <c r="L422" s="74">
        <v>35</v>
      </c>
      <c r="M422" s="4">
        <v>24</v>
      </c>
      <c r="N422" s="4"/>
      <c r="O422" s="74"/>
      <c r="P422" s="4"/>
      <c r="Q422" s="74"/>
    </row>
    <row r="423" spans="1:17">
      <c r="A423" s="4">
        <f t="shared" si="6"/>
        <v>21</v>
      </c>
      <c r="B423" s="4">
        <f>IF(J423="",0,IF('Chart Information'!$V$14=A423,B422+1,IF(B422=0,0,IF(A423=A422,B422+1,0))))</f>
        <v>0</v>
      </c>
      <c r="C423" s="76"/>
      <c r="D423" s="4"/>
      <c r="E423" s="4"/>
      <c r="F423" s="55"/>
      <c r="G423" s="55"/>
      <c r="H423" s="55"/>
      <c r="I423" s="74">
        <v>1.2</v>
      </c>
      <c r="J423" s="74">
        <v>3.75</v>
      </c>
      <c r="K423" s="4">
        <v>2410</v>
      </c>
      <c r="L423" s="74">
        <v>35</v>
      </c>
      <c r="M423" s="4">
        <v>25</v>
      </c>
      <c r="N423" s="4"/>
      <c r="O423" s="74"/>
      <c r="P423" s="4"/>
      <c r="Q423" s="74"/>
    </row>
    <row r="424" spans="1:17">
      <c r="A424" s="4">
        <f t="shared" si="6"/>
        <v>21</v>
      </c>
      <c r="B424" s="4">
        <f>IF(J424="",0,IF('Chart Information'!$V$14=A424,B423+1,IF(B423=0,0,IF(A424=A423,B423+1,0))))</f>
        <v>0</v>
      </c>
      <c r="C424" s="76"/>
      <c r="D424" s="4"/>
      <c r="E424" s="4"/>
      <c r="F424" s="55"/>
      <c r="G424" s="55"/>
      <c r="H424" s="55"/>
      <c r="I424" s="74">
        <v>1.2</v>
      </c>
      <c r="J424" s="74">
        <v>4</v>
      </c>
      <c r="K424" s="4">
        <v>2415</v>
      </c>
      <c r="L424" s="74">
        <v>35.25</v>
      </c>
      <c r="M424" s="4">
        <v>27</v>
      </c>
      <c r="N424" s="4"/>
      <c r="O424" s="74"/>
      <c r="P424" s="4"/>
      <c r="Q424" s="74"/>
    </row>
    <row r="425" spans="1:17">
      <c r="A425" s="4">
        <f t="shared" si="6"/>
        <v>21</v>
      </c>
      <c r="B425" s="4">
        <f>IF(J425="",0,IF('Chart Information'!$V$14=A425,B424+1,IF(B424=0,0,IF(A425=A424,B424+1,0))))</f>
        <v>0</v>
      </c>
      <c r="C425" s="76"/>
      <c r="D425" s="4"/>
      <c r="E425" s="4"/>
      <c r="F425" s="55"/>
      <c r="G425" s="55"/>
      <c r="H425" s="55"/>
      <c r="I425" s="74">
        <v>1.2</v>
      </c>
      <c r="J425" s="74">
        <v>4.25</v>
      </c>
      <c r="K425" s="4">
        <v>2420</v>
      </c>
      <c r="L425" s="74">
        <v>35.25</v>
      </c>
      <c r="M425" s="4">
        <v>30</v>
      </c>
      <c r="N425" s="4"/>
      <c r="O425" s="74"/>
      <c r="P425" s="4"/>
      <c r="Q425" s="74"/>
    </row>
    <row r="426" spans="1:17">
      <c r="A426" s="4">
        <f t="shared" si="6"/>
        <v>21</v>
      </c>
      <c r="B426" s="4">
        <f>IF(J426="",0,IF('Chart Information'!$V$14=A426,B425+1,IF(B425=0,0,IF(A426=A425,B425+1,0))))</f>
        <v>0</v>
      </c>
      <c r="C426" s="76"/>
      <c r="D426" s="4"/>
      <c r="E426" s="4"/>
      <c r="F426" s="55"/>
      <c r="G426" s="55"/>
      <c r="H426" s="55"/>
      <c r="I426" s="74">
        <v>1.2</v>
      </c>
      <c r="J426" s="74">
        <v>4.5</v>
      </c>
      <c r="K426" s="4">
        <v>2425</v>
      </c>
      <c r="L426" s="74">
        <v>35.25</v>
      </c>
      <c r="M426" s="4">
        <v>33</v>
      </c>
      <c r="N426" s="4"/>
      <c r="O426" s="74"/>
      <c r="P426" s="4"/>
      <c r="Q426" s="74"/>
    </row>
    <row r="427" spans="1:17">
      <c r="A427" s="4">
        <f t="shared" si="6"/>
        <v>21</v>
      </c>
      <c r="B427" s="4">
        <f>IF(J427="",0,IF('Chart Information'!$V$14=A427,B426+1,IF(B426=0,0,IF(A427=A426,B426+1,0))))</f>
        <v>0</v>
      </c>
      <c r="C427" s="76"/>
      <c r="D427" s="4"/>
      <c r="E427" s="4"/>
      <c r="F427" s="55"/>
      <c r="G427" s="55"/>
      <c r="H427" s="55"/>
      <c r="I427" s="74">
        <v>1.2</v>
      </c>
      <c r="J427" s="74">
        <v>4.75</v>
      </c>
      <c r="K427" s="4">
        <v>2440</v>
      </c>
      <c r="L427" s="74">
        <v>35.25</v>
      </c>
      <c r="M427" s="4">
        <v>34</v>
      </c>
      <c r="N427" s="4"/>
      <c r="O427" s="74"/>
      <c r="P427" s="4"/>
      <c r="Q427" s="74"/>
    </row>
    <row r="428" spans="1:17">
      <c r="A428" s="4">
        <f t="shared" si="6"/>
        <v>21</v>
      </c>
      <c r="B428" s="4">
        <f>IF(J428="",0,IF('Chart Information'!$V$14=A428,B427+1,IF(B427=0,0,IF(A428=A427,B427+1,0))))</f>
        <v>0</v>
      </c>
      <c r="C428" s="76"/>
      <c r="D428" s="4"/>
      <c r="E428" s="4"/>
      <c r="F428" s="55"/>
      <c r="G428" s="55"/>
      <c r="H428" s="55"/>
      <c r="I428" s="74">
        <v>1.2</v>
      </c>
      <c r="J428" s="74">
        <v>5</v>
      </c>
      <c r="K428" s="4">
        <v>2450</v>
      </c>
      <c r="L428" s="74">
        <v>35.5</v>
      </c>
      <c r="M428" s="4">
        <v>35</v>
      </c>
      <c r="N428" s="4"/>
      <c r="O428" s="74"/>
      <c r="P428" s="4"/>
      <c r="Q428" s="74"/>
    </row>
    <row r="429" spans="1:17">
      <c r="A429" s="4">
        <f t="shared" si="6"/>
        <v>21</v>
      </c>
      <c r="B429" s="4">
        <f>IF(J429="",0,IF('Chart Information'!$V$14=A429,B428+1,IF(B428=0,0,IF(A429=A428,B428+1,0))))</f>
        <v>0</v>
      </c>
      <c r="C429" s="76"/>
      <c r="D429" s="4"/>
      <c r="E429" s="4"/>
      <c r="F429" s="55"/>
      <c r="G429" s="55"/>
      <c r="H429" s="55"/>
      <c r="I429" s="74">
        <v>1.2</v>
      </c>
      <c r="J429" s="74">
        <v>5.25</v>
      </c>
      <c r="K429" s="4">
        <v>2465</v>
      </c>
      <c r="L429" s="74">
        <v>35.5</v>
      </c>
      <c r="M429" s="4">
        <v>37</v>
      </c>
      <c r="N429" s="4"/>
      <c r="O429" s="74"/>
      <c r="P429" s="4"/>
      <c r="Q429" s="74"/>
    </row>
    <row r="430" spans="1:17">
      <c r="A430" s="4">
        <f t="shared" si="6"/>
        <v>21</v>
      </c>
      <c r="B430" s="4">
        <f>IF(J430="",0,IF('Chart Information'!$V$14=A430,B429+1,IF(B429=0,0,IF(A430=A429,B429+1,0))))</f>
        <v>0</v>
      </c>
      <c r="C430" s="76"/>
      <c r="D430" s="4"/>
      <c r="E430" s="4"/>
      <c r="F430" s="55"/>
      <c r="G430" s="55"/>
      <c r="H430" s="55"/>
      <c r="I430" s="74">
        <v>1.2</v>
      </c>
      <c r="J430" s="74">
        <v>5.5</v>
      </c>
      <c r="K430" s="4">
        <v>2470</v>
      </c>
      <c r="L430" s="74">
        <v>35.5</v>
      </c>
      <c r="M430" s="4">
        <v>40</v>
      </c>
      <c r="N430" s="4"/>
      <c r="O430" s="74"/>
      <c r="P430" s="4"/>
      <c r="Q430" s="74"/>
    </row>
    <row r="431" spans="1:17">
      <c r="A431" s="4">
        <f t="shared" si="6"/>
        <v>21</v>
      </c>
      <c r="B431" s="4">
        <f>IF(J431="",0,IF('Chart Information'!$V$14=A431,B430+1,IF(B430=0,0,IF(A431=A430,B430+1,0))))</f>
        <v>0</v>
      </c>
      <c r="C431" s="76"/>
      <c r="D431" s="4"/>
      <c r="E431" s="4"/>
      <c r="F431" s="55"/>
      <c r="G431" s="55"/>
      <c r="H431" s="55"/>
      <c r="I431" s="74">
        <v>1.2</v>
      </c>
      <c r="J431" s="74">
        <v>5.75</v>
      </c>
      <c r="K431" s="4">
        <v>2475</v>
      </c>
      <c r="L431" s="74">
        <v>35.5</v>
      </c>
      <c r="M431" s="4">
        <v>42</v>
      </c>
      <c r="N431" s="4"/>
      <c r="O431" s="74"/>
      <c r="P431" s="4"/>
      <c r="Q431" s="74"/>
    </row>
    <row r="432" spans="1:17">
      <c r="A432" s="4">
        <f t="shared" si="6"/>
        <v>21</v>
      </c>
      <c r="B432" s="4">
        <f>IF(J432="",0,IF('Chart Information'!$V$14=A432,B431+1,IF(B431=0,0,IF(A432=A431,B431+1,0))))</f>
        <v>0</v>
      </c>
      <c r="C432" s="76"/>
      <c r="D432" s="4"/>
      <c r="E432" s="4"/>
      <c r="F432" s="55"/>
      <c r="G432" s="55"/>
      <c r="H432" s="55"/>
      <c r="I432" s="74">
        <v>1.2</v>
      </c>
      <c r="J432" s="74">
        <v>6</v>
      </c>
      <c r="K432" s="4">
        <v>2470</v>
      </c>
      <c r="L432" s="74">
        <v>36</v>
      </c>
      <c r="M432" s="4">
        <v>44</v>
      </c>
      <c r="N432" s="4"/>
      <c r="O432" s="74"/>
      <c r="P432" s="4"/>
      <c r="Q432" s="74"/>
    </row>
    <row r="433" spans="1:17">
      <c r="A433" s="4">
        <f t="shared" si="6"/>
        <v>21</v>
      </c>
      <c r="B433" s="4">
        <f>IF(J433="",0,IF('Chart Information'!$V$14=A433,B432+1,IF(B432=0,0,IF(A433=A432,B432+1,0))))</f>
        <v>0</v>
      </c>
      <c r="C433" s="76"/>
      <c r="D433" s="4"/>
      <c r="E433" s="4"/>
      <c r="F433" s="55"/>
      <c r="G433" s="55"/>
      <c r="H433" s="55"/>
      <c r="I433" s="74">
        <v>1.2</v>
      </c>
      <c r="J433" s="74">
        <v>6.25</v>
      </c>
      <c r="K433" s="4">
        <v>2465</v>
      </c>
      <c r="L433" s="74">
        <v>36</v>
      </c>
      <c r="M433" s="4">
        <v>45</v>
      </c>
      <c r="N433" s="4"/>
      <c r="O433" s="74"/>
      <c r="P433" s="4"/>
      <c r="Q433" s="74"/>
    </row>
    <row r="434" spans="1:17">
      <c r="A434" s="4">
        <f t="shared" si="6"/>
        <v>21</v>
      </c>
      <c r="B434" s="4">
        <f>IF(J434="",0,IF('Chart Information'!$V$14=A434,B433+1,IF(B433=0,0,IF(A434=A433,B433+1,0))))</f>
        <v>0</v>
      </c>
      <c r="C434" s="76"/>
      <c r="D434" s="4"/>
      <c r="E434" s="4"/>
      <c r="F434" s="55"/>
      <c r="G434" s="55"/>
      <c r="H434" s="55"/>
      <c r="I434" s="74">
        <v>1.2</v>
      </c>
      <c r="J434" s="74">
        <v>6.5</v>
      </c>
      <c r="K434" s="4">
        <v>2460</v>
      </c>
      <c r="L434" s="74">
        <v>36.5</v>
      </c>
      <c r="M434" s="4">
        <v>47</v>
      </c>
      <c r="N434" s="4"/>
      <c r="O434" s="74"/>
      <c r="P434" s="4"/>
      <c r="Q434" s="74"/>
    </row>
    <row r="435" spans="1:17">
      <c r="A435" s="4">
        <f t="shared" si="6"/>
        <v>21</v>
      </c>
      <c r="B435" s="4">
        <f>IF(J435="",0,IF('Chart Information'!$V$14=A435,B434+1,IF(B434=0,0,IF(A435=A434,B434+1,0))))</f>
        <v>0</v>
      </c>
      <c r="C435" s="76"/>
      <c r="D435" s="4"/>
      <c r="E435" s="4"/>
      <c r="F435" s="55"/>
      <c r="G435" s="55"/>
      <c r="H435" s="55"/>
      <c r="I435" s="74">
        <v>1.2</v>
      </c>
      <c r="J435" s="74">
        <v>6.75</v>
      </c>
      <c r="K435" s="4">
        <v>2455</v>
      </c>
      <c r="L435" s="74">
        <v>36.5</v>
      </c>
      <c r="M435" s="4">
        <v>48</v>
      </c>
      <c r="N435" s="4"/>
      <c r="O435" s="74"/>
      <c r="P435" s="4"/>
      <c r="Q435" s="74"/>
    </row>
    <row r="436" spans="1:17">
      <c r="A436" s="4">
        <f t="shared" si="6"/>
        <v>21</v>
      </c>
      <c r="B436" s="4">
        <f>IF(J436="",0,IF('Chart Information'!$V$14=A436,B435+1,IF(B435=0,0,IF(A436=A435,B435+1,0))))</f>
        <v>0</v>
      </c>
      <c r="C436" s="76"/>
      <c r="D436" s="4"/>
      <c r="E436" s="4"/>
      <c r="F436" s="55"/>
      <c r="G436" s="55"/>
      <c r="H436" s="55"/>
      <c r="I436" s="74">
        <v>1.2</v>
      </c>
      <c r="J436" s="74">
        <v>7</v>
      </c>
      <c r="K436" s="4">
        <v>2450</v>
      </c>
      <c r="L436" s="74">
        <v>36.5</v>
      </c>
      <c r="M436" s="4">
        <v>50</v>
      </c>
      <c r="N436" s="4"/>
      <c r="O436" s="74"/>
      <c r="P436" s="4"/>
      <c r="Q436" s="74"/>
    </row>
    <row r="437" spans="1:17">
      <c r="A437" s="4">
        <f t="shared" si="6"/>
        <v>21</v>
      </c>
      <c r="B437" s="4">
        <f>IF(J437="",0,IF('Chart Information'!$V$14=A437,B436+1,IF(B436=0,0,IF(A437=A436,B436+1,0))))</f>
        <v>0</v>
      </c>
      <c r="C437" s="76"/>
      <c r="D437" s="4"/>
      <c r="E437" s="4"/>
      <c r="F437" s="55"/>
      <c r="G437" s="55"/>
      <c r="H437" s="55"/>
      <c r="I437" s="74">
        <v>1.2</v>
      </c>
      <c r="J437" s="74">
        <v>7.25</v>
      </c>
      <c r="K437" s="4">
        <v>2425</v>
      </c>
      <c r="L437" s="74">
        <v>36.5</v>
      </c>
      <c r="M437" s="4">
        <v>51</v>
      </c>
      <c r="N437" s="4"/>
      <c r="O437" s="74"/>
      <c r="P437" s="4"/>
      <c r="Q437" s="74"/>
    </row>
    <row r="438" spans="1:17">
      <c r="A438" s="4">
        <f t="shared" si="6"/>
        <v>21</v>
      </c>
      <c r="B438" s="4">
        <f>IF(J438="",0,IF('Chart Information'!$V$14=A438,B437+1,IF(B437=0,0,IF(A438=A437,B437+1,0))))</f>
        <v>0</v>
      </c>
      <c r="C438" s="76"/>
      <c r="D438" s="4"/>
      <c r="E438" s="4"/>
      <c r="F438" s="55"/>
      <c r="G438" s="55"/>
      <c r="H438" s="55"/>
      <c r="I438" s="74">
        <v>1.2</v>
      </c>
      <c r="J438" s="74">
        <v>7.5</v>
      </c>
      <c r="K438" s="4">
        <v>2400</v>
      </c>
      <c r="L438" s="74">
        <v>36.5</v>
      </c>
      <c r="M438" s="4">
        <v>52</v>
      </c>
      <c r="N438" s="4"/>
      <c r="O438" s="74"/>
      <c r="P438" s="4"/>
      <c r="Q438" s="74"/>
    </row>
    <row r="439" spans="1:17">
      <c r="A439" s="4">
        <f t="shared" si="6"/>
        <v>21</v>
      </c>
      <c r="B439" s="4">
        <f>IF(J439="",0,IF('Chart Information'!$V$14=A439,B438+1,IF(B438=0,0,IF(A439=A438,B438+1,0))))</f>
        <v>0</v>
      </c>
      <c r="C439" s="76"/>
      <c r="D439" s="4"/>
      <c r="E439" s="4"/>
      <c r="F439" s="55"/>
      <c r="G439" s="55"/>
      <c r="H439" s="55"/>
      <c r="I439" s="74">
        <v>1.2</v>
      </c>
      <c r="J439" s="74">
        <v>7.75</v>
      </c>
      <c r="K439" s="4">
        <v>2375</v>
      </c>
      <c r="L439" s="74">
        <v>36.5</v>
      </c>
      <c r="M439" s="4">
        <v>53</v>
      </c>
      <c r="N439" s="4"/>
      <c r="O439" s="74"/>
      <c r="P439" s="4"/>
      <c r="Q439" s="74"/>
    </row>
    <row r="440" spans="1:17">
      <c r="A440" s="4">
        <f t="shared" si="6"/>
        <v>21</v>
      </c>
      <c r="B440" s="4">
        <f>IF(J440="",0,IF('Chart Information'!$V$14=A440,B439+1,IF(B439=0,0,IF(A440=A439,B439+1,0))))</f>
        <v>0</v>
      </c>
      <c r="C440" s="76"/>
      <c r="D440" s="4"/>
      <c r="E440" s="4"/>
      <c r="F440" s="55"/>
      <c r="G440" s="55"/>
      <c r="H440" s="55"/>
      <c r="I440" s="74">
        <v>1.2</v>
      </c>
      <c r="J440" s="74">
        <v>8</v>
      </c>
      <c r="K440" s="4">
        <v>2330</v>
      </c>
      <c r="L440" s="74">
        <v>37</v>
      </c>
      <c r="M440" s="4">
        <v>54</v>
      </c>
      <c r="N440" s="4"/>
      <c r="O440" s="74"/>
      <c r="P440" s="4"/>
      <c r="Q440" s="74"/>
    </row>
    <row r="441" spans="1:17">
      <c r="A441" s="4">
        <f t="shared" si="6"/>
        <v>21</v>
      </c>
      <c r="B441" s="4">
        <f>IF(J441="",0,IF('Chart Information'!$V$14=A441,B440+1,IF(B440=0,0,IF(A441=A440,B440+1,0))))</f>
        <v>0</v>
      </c>
      <c r="C441" s="76"/>
      <c r="D441" s="4"/>
      <c r="E441" s="4"/>
      <c r="F441" s="55"/>
      <c r="G441" s="55"/>
      <c r="H441" s="55"/>
      <c r="I441" s="74">
        <v>1.2</v>
      </c>
      <c r="J441" s="74">
        <v>8.25</v>
      </c>
      <c r="K441" s="4">
        <v>2300</v>
      </c>
      <c r="L441" s="74">
        <v>37</v>
      </c>
      <c r="M441" s="4">
        <v>54</v>
      </c>
      <c r="N441" s="4"/>
      <c r="O441" s="74"/>
      <c r="P441" s="4"/>
      <c r="Q441" s="74"/>
    </row>
    <row r="442" spans="1:17">
      <c r="A442" s="4">
        <f t="shared" si="6"/>
        <v>21</v>
      </c>
      <c r="B442" s="4">
        <f>IF(J442="",0,IF('Chart Information'!$V$14=A442,B441+1,IF(B441=0,0,IF(A442=A441,B441+1,0))))</f>
        <v>0</v>
      </c>
      <c r="C442" s="76"/>
      <c r="D442" s="4"/>
      <c r="E442" s="4"/>
      <c r="F442" s="55"/>
      <c r="G442" s="55"/>
      <c r="H442" s="55"/>
      <c r="I442" s="74">
        <v>1.2</v>
      </c>
      <c r="J442" s="74">
        <v>8.5</v>
      </c>
      <c r="K442" s="4">
        <v>2250</v>
      </c>
      <c r="L442" s="74">
        <v>37</v>
      </c>
      <c r="M442" s="4">
        <v>54</v>
      </c>
      <c r="N442" s="4"/>
      <c r="O442" s="74"/>
      <c r="P442" s="4"/>
      <c r="Q442" s="74"/>
    </row>
    <row r="443" spans="1:17">
      <c r="A443" s="4">
        <f t="shared" si="6"/>
        <v>21</v>
      </c>
      <c r="B443" s="4">
        <f>IF(J443="",0,IF('Chart Information'!$V$14=A443,B442+1,IF(B442=0,0,IF(A443=A442,B442+1,0))))</f>
        <v>0</v>
      </c>
      <c r="C443" s="76"/>
      <c r="D443" s="4"/>
      <c r="E443" s="4"/>
      <c r="F443" s="55"/>
      <c r="G443" s="55"/>
      <c r="H443" s="55"/>
      <c r="I443" s="74">
        <v>1.2</v>
      </c>
      <c r="J443" s="74">
        <v>8.75</v>
      </c>
      <c r="K443" s="4">
        <v>2200</v>
      </c>
      <c r="L443" s="74">
        <v>37</v>
      </c>
      <c r="M443" s="4">
        <v>53</v>
      </c>
      <c r="N443" s="4"/>
      <c r="O443" s="74"/>
      <c r="P443" s="4"/>
      <c r="Q443" s="74"/>
    </row>
    <row r="444" spans="1:17">
      <c r="A444" s="4">
        <f t="shared" si="6"/>
        <v>21</v>
      </c>
      <c r="B444" s="4">
        <f>IF(J444="",0,IF('Chart Information'!$V$14=A444,B443+1,IF(B443=0,0,IF(A444=A443,B443+1,0))))</f>
        <v>0</v>
      </c>
      <c r="C444" s="76"/>
      <c r="D444" s="4"/>
      <c r="E444" s="4"/>
      <c r="F444" s="55"/>
      <c r="G444" s="55"/>
      <c r="H444" s="55"/>
      <c r="I444" s="74">
        <v>1.2</v>
      </c>
      <c r="J444" s="74">
        <v>9</v>
      </c>
      <c r="K444" s="4">
        <v>2125</v>
      </c>
      <c r="L444" s="74">
        <v>37</v>
      </c>
      <c r="M444" s="4">
        <v>52</v>
      </c>
      <c r="N444" s="4"/>
      <c r="O444" s="74"/>
      <c r="P444" s="4"/>
      <c r="Q444" s="74"/>
    </row>
    <row r="445" spans="1:17">
      <c r="A445" s="4">
        <f t="shared" si="6"/>
        <v>21</v>
      </c>
      <c r="B445" s="4">
        <f>IF(J445="",0,IF('Chart Information'!$V$14=A445,B444+1,IF(B444=0,0,IF(A445=A444,B444+1,0))))</f>
        <v>0</v>
      </c>
      <c r="C445" s="76"/>
      <c r="D445" s="4"/>
      <c r="E445" s="4"/>
      <c r="F445" s="55"/>
      <c r="G445" s="55"/>
      <c r="H445" s="55"/>
      <c r="I445" s="74">
        <v>1.2</v>
      </c>
      <c r="J445" s="74">
        <v>9.25</v>
      </c>
      <c r="K445" s="4">
        <v>2025</v>
      </c>
      <c r="L445" s="74">
        <v>37.5</v>
      </c>
      <c r="M445" s="4">
        <v>51</v>
      </c>
      <c r="N445" s="4"/>
      <c r="O445" s="74"/>
      <c r="P445" s="4"/>
      <c r="Q445" s="74"/>
    </row>
    <row r="446" spans="1:17">
      <c r="A446" s="4">
        <f t="shared" si="6"/>
        <v>21</v>
      </c>
      <c r="B446" s="4">
        <f>IF(J446="",0,IF('Chart Information'!$V$14=A446,B445+1,IF(B445=0,0,IF(A446=A445,B445+1,0))))</f>
        <v>0</v>
      </c>
      <c r="C446" s="76"/>
      <c r="D446" s="4"/>
      <c r="E446" s="4"/>
      <c r="F446" s="55"/>
      <c r="G446" s="55"/>
      <c r="H446" s="55"/>
      <c r="I446" s="74">
        <v>1.2</v>
      </c>
      <c r="J446" s="74">
        <v>9.5</v>
      </c>
      <c r="K446" s="4">
        <v>1925</v>
      </c>
      <c r="L446" s="74">
        <v>37.5</v>
      </c>
      <c r="M446" s="4">
        <v>50</v>
      </c>
      <c r="N446" s="4"/>
      <c r="O446" s="74"/>
      <c r="P446" s="4"/>
      <c r="Q446" s="74"/>
    </row>
    <row r="447" spans="1:17">
      <c r="A447" s="4">
        <f t="shared" si="6"/>
        <v>21</v>
      </c>
      <c r="B447" s="4">
        <f>IF(J447="",0,IF('Chart Information'!$V$14=A447,B446+1,IF(B446=0,0,IF(A447=A446,B446+1,0))))</f>
        <v>0</v>
      </c>
      <c r="C447" s="76"/>
      <c r="D447" s="4"/>
      <c r="E447" s="4"/>
      <c r="F447" s="55"/>
      <c r="G447" s="55"/>
      <c r="H447" s="55"/>
      <c r="I447" s="74">
        <v>1.2</v>
      </c>
      <c r="J447" s="74">
        <v>9.75</v>
      </c>
      <c r="K447" s="4">
        <v>1835</v>
      </c>
      <c r="L447" s="74">
        <v>37.5</v>
      </c>
      <c r="M447" s="4">
        <v>49</v>
      </c>
      <c r="N447" s="4"/>
      <c r="O447" s="74"/>
      <c r="P447" s="4"/>
      <c r="Q447" s="74"/>
    </row>
    <row r="448" spans="1:17">
      <c r="A448" s="4">
        <f t="shared" si="6"/>
        <v>21</v>
      </c>
      <c r="B448" s="4">
        <f>IF(J448="",0,IF('Chart Information'!$V$14=A448,B447+1,IF(B447=0,0,IF(A448=A447,B447+1,0))))</f>
        <v>0</v>
      </c>
      <c r="C448" s="76"/>
      <c r="D448" s="4"/>
      <c r="E448" s="4"/>
      <c r="F448" s="55"/>
      <c r="G448" s="55"/>
      <c r="H448" s="55"/>
      <c r="I448" s="74">
        <v>1.2</v>
      </c>
      <c r="J448" s="74">
        <v>10</v>
      </c>
      <c r="K448" s="4">
        <v>1725</v>
      </c>
      <c r="L448" s="74">
        <v>37.5</v>
      </c>
      <c r="M448" s="4">
        <v>46</v>
      </c>
      <c r="N448" s="4"/>
      <c r="O448" s="74"/>
      <c r="P448" s="4"/>
      <c r="Q448" s="74"/>
    </row>
    <row r="449" spans="1:17">
      <c r="A449" s="4">
        <f t="shared" si="6"/>
        <v>21</v>
      </c>
      <c r="B449" s="4">
        <f>IF(J449="",0,IF('Chart Information'!$V$14=A449,B448+1,IF(B448=0,0,IF(A449=A448,B448+1,0))))</f>
        <v>0</v>
      </c>
      <c r="C449" s="76"/>
      <c r="D449" s="4"/>
      <c r="E449" s="4"/>
      <c r="F449" s="55"/>
      <c r="G449" s="55"/>
      <c r="H449" s="55"/>
      <c r="I449" s="74">
        <v>1.2</v>
      </c>
      <c r="J449" s="74">
        <v>10.25</v>
      </c>
      <c r="K449" s="4">
        <v>1625</v>
      </c>
      <c r="L449" s="74">
        <v>38</v>
      </c>
      <c r="M449" s="4">
        <v>45</v>
      </c>
      <c r="N449" s="4"/>
      <c r="O449" s="74"/>
      <c r="P449" s="4"/>
      <c r="Q449" s="74"/>
    </row>
    <row r="450" spans="1:17">
      <c r="A450" s="4">
        <f t="shared" si="6"/>
        <v>21</v>
      </c>
      <c r="B450" s="4">
        <f>IF(J450="",0,IF('Chart Information'!$V$14=A450,B449+1,IF(B449=0,0,IF(A450=A449,B449+1,0))))</f>
        <v>0</v>
      </c>
      <c r="C450" s="76"/>
      <c r="D450" s="4"/>
      <c r="E450" s="4"/>
      <c r="F450" s="55"/>
      <c r="G450" s="55"/>
      <c r="H450" s="55"/>
      <c r="I450" s="74">
        <v>1.2</v>
      </c>
      <c r="J450" s="74">
        <v>10.5</v>
      </c>
      <c r="K450" s="4">
        <v>1475</v>
      </c>
      <c r="L450" s="74">
        <v>38</v>
      </c>
      <c r="M450" s="4">
        <v>41</v>
      </c>
      <c r="N450" s="4"/>
      <c r="O450" s="74"/>
      <c r="P450" s="4"/>
      <c r="Q450" s="74"/>
    </row>
    <row r="451" spans="1:17">
      <c r="A451" s="4">
        <f t="shared" si="6"/>
        <v>21</v>
      </c>
      <c r="B451" s="4">
        <f>IF(J451="",0,IF('Chart Information'!$V$14=A451,B450+1,IF(B450=0,0,IF(A451=A450,B450+1,0))))</f>
        <v>0</v>
      </c>
      <c r="C451" s="76"/>
      <c r="D451" s="4"/>
      <c r="E451" s="4"/>
      <c r="F451" s="55"/>
      <c r="G451" s="55"/>
      <c r="H451" s="55"/>
      <c r="I451" s="74">
        <v>1.2</v>
      </c>
      <c r="J451" s="74">
        <v>10.75</v>
      </c>
      <c r="K451" s="4">
        <v>1325</v>
      </c>
      <c r="L451" s="74">
        <v>38</v>
      </c>
      <c r="M451" s="4">
        <v>37</v>
      </c>
      <c r="N451" s="4"/>
      <c r="O451" s="74"/>
      <c r="P451" s="4"/>
      <c r="Q451" s="74"/>
    </row>
    <row r="452" spans="1:17">
      <c r="A452" s="4">
        <f t="shared" si="6"/>
        <v>21</v>
      </c>
      <c r="B452" s="4">
        <f>IF(J452="",0,IF('Chart Information'!$V$14=A452,B451+1,IF(B451=0,0,IF(A452=A451,B451+1,0))))</f>
        <v>0</v>
      </c>
      <c r="C452" s="76"/>
      <c r="D452" s="4"/>
      <c r="E452" s="4"/>
      <c r="F452" s="55"/>
      <c r="G452" s="55"/>
      <c r="H452" s="55"/>
      <c r="I452" s="74">
        <v>1.2</v>
      </c>
      <c r="J452" s="74">
        <v>11</v>
      </c>
      <c r="K452" s="4">
        <v>1175</v>
      </c>
      <c r="L452" s="74">
        <v>38</v>
      </c>
      <c r="M452" s="4">
        <v>34</v>
      </c>
      <c r="N452" s="4"/>
      <c r="O452" s="74"/>
      <c r="P452" s="4"/>
      <c r="Q452" s="74"/>
    </row>
    <row r="453" spans="1:17">
      <c r="A453" s="4">
        <f t="shared" si="6"/>
        <v>21</v>
      </c>
      <c r="B453" s="4">
        <f>IF(J453="",0,IF('Chart Information'!$V$14=A453,B452+1,IF(B452=0,0,IF(A453=A452,B452+1,0))))</f>
        <v>0</v>
      </c>
      <c r="C453" s="76"/>
      <c r="D453" s="4"/>
      <c r="E453" s="4"/>
      <c r="F453" s="55"/>
      <c r="G453" s="55"/>
      <c r="H453" s="55"/>
      <c r="I453" s="74">
        <v>1.2</v>
      </c>
      <c r="J453" s="74">
        <v>11.25</v>
      </c>
      <c r="K453" s="4">
        <v>1025</v>
      </c>
      <c r="L453" s="74">
        <v>38</v>
      </c>
      <c r="M453" s="4">
        <v>30</v>
      </c>
      <c r="N453" s="4"/>
      <c r="O453" s="74"/>
      <c r="P453" s="4"/>
      <c r="Q453" s="74"/>
    </row>
    <row r="454" spans="1:17">
      <c r="A454" s="4">
        <f t="shared" si="6"/>
        <v>21</v>
      </c>
      <c r="B454" s="4">
        <f>IF(J454="",0,IF('Chart Information'!$V$14=A454,B453+1,IF(B453=0,0,IF(A454=A453,B453+1,0))))</f>
        <v>0</v>
      </c>
      <c r="C454" s="76"/>
      <c r="D454" s="4"/>
      <c r="E454" s="4"/>
      <c r="F454" s="55"/>
      <c r="G454" s="55"/>
      <c r="H454" s="55"/>
      <c r="I454" s="74">
        <v>1.2</v>
      </c>
      <c r="J454" s="74">
        <v>11.5</v>
      </c>
      <c r="K454" s="4">
        <v>850</v>
      </c>
      <c r="L454" s="74">
        <v>38.25</v>
      </c>
      <c r="M454" s="4">
        <v>20</v>
      </c>
      <c r="N454" s="4"/>
      <c r="O454" s="74"/>
      <c r="P454" s="4"/>
      <c r="Q454" s="74"/>
    </row>
    <row r="455" spans="1:17">
      <c r="A455" s="4">
        <f t="shared" si="6"/>
        <v>21</v>
      </c>
      <c r="B455" s="4">
        <f>IF(J455="",0,IF('Chart Information'!$V$14=A455,B454+1,IF(B454=0,0,IF(A455=A454,B454+1,0))))</f>
        <v>0</v>
      </c>
      <c r="C455" s="76"/>
      <c r="D455" s="4"/>
      <c r="E455" s="4"/>
      <c r="F455" s="55"/>
      <c r="G455" s="55"/>
      <c r="H455" s="55"/>
      <c r="I455" s="74">
        <v>1.2</v>
      </c>
      <c r="J455" s="74">
        <v>11.75</v>
      </c>
      <c r="K455" s="4">
        <v>650</v>
      </c>
      <c r="L455" s="74">
        <v>38.25</v>
      </c>
      <c r="M455" s="4">
        <v>15</v>
      </c>
      <c r="N455" s="4"/>
      <c r="O455" s="74"/>
      <c r="P455" s="4"/>
      <c r="Q455" s="74"/>
    </row>
    <row r="456" spans="1:17">
      <c r="A456" s="4">
        <f t="shared" ref="A456:A487" si="7">IF(D456="",A455,A455+1)</f>
        <v>21</v>
      </c>
      <c r="B456" s="4">
        <f>IF(J456="",0,IF('Chart Information'!$V$14=A456,B455+1,IF(B455=0,0,IF(A456=A455,B455+1,0))))</f>
        <v>0</v>
      </c>
      <c r="C456" s="76"/>
      <c r="D456" s="4"/>
      <c r="E456" s="4"/>
      <c r="F456" s="55"/>
      <c r="G456" s="55"/>
      <c r="H456" s="55"/>
      <c r="I456" s="74">
        <v>1.2</v>
      </c>
      <c r="J456" s="74">
        <v>12</v>
      </c>
      <c r="K456" s="4">
        <v>400</v>
      </c>
      <c r="L456" s="74">
        <v>38.25</v>
      </c>
      <c r="M456" s="4">
        <v>13</v>
      </c>
      <c r="N456" s="4"/>
      <c r="O456" s="74"/>
      <c r="P456" s="4"/>
      <c r="Q456" s="74"/>
    </row>
    <row r="457" spans="1:17">
      <c r="A457" s="4">
        <f t="shared" si="7"/>
        <v>21</v>
      </c>
      <c r="B457" s="4">
        <f>IF(J457="",0,IF('Chart Information'!$V$14=A457,B456+1,IF(B456=0,0,IF(A457=A456,B456+1,0))))</f>
        <v>0</v>
      </c>
      <c r="C457" s="76"/>
      <c r="D457" s="4"/>
      <c r="E457" s="4"/>
      <c r="F457" s="55"/>
      <c r="G457" s="55"/>
      <c r="H457" s="55"/>
      <c r="I457" s="74">
        <v>1.2</v>
      </c>
      <c r="J457" s="74">
        <v>12.25</v>
      </c>
      <c r="K457" s="4">
        <v>200</v>
      </c>
      <c r="L457" s="74">
        <v>38.5</v>
      </c>
      <c r="M457" s="4">
        <v>8</v>
      </c>
      <c r="N457" s="4"/>
      <c r="O457" s="74"/>
      <c r="P457" s="4"/>
      <c r="Q457" s="74"/>
    </row>
    <row r="458" spans="1:17">
      <c r="A458" s="4">
        <f t="shared" si="7"/>
        <v>22</v>
      </c>
      <c r="B458" s="4">
        <f>IF(J458="",0,IF('Chart Information'!$V$14=A458,B457+1,IF(B457=0,0,IF(A458=A457,B457+1,0))))</f>
        <v>0</v>
      </c>
      <c r="C458" s="76" t="s">
        <v>320</v>
      </c>
      <c r="D458" s="4" t="s">
        <v>290</v>
      </c>
      <c r="E458" s="4">
        <v>1220</v>
      </c>
      <c r="F458" s="55">
        <v>75</v>
      </c>
      <c r="G458" s="55" t="s">
        <v>292</v>
      </c>
      <c r="H458" s="55" t="s">
        <v>298</v>
      </c>
      <c r="I458" s="74">
        <v>1.2</v>
      </c>
      <c r="J458" s="74">
        <v>24</v>
      </c>
      <c r="K458" s="4">
        <v>1300</v>
      </c>
      <c r="L458" s="74">
        <v>58</v>
      </c>
      <c r="M458" s="4">
        <v>55</v>
      </c>
      <c r="N458" s="4">
        <f>+K465</f>
        <v>1000</v>
      </c>
      <c r="O458" s="74">
        <f>+J465</f>
        <v>27.5</v>
      </c>
      <c r="P458" s="4">
        <f>+K477</f>
        <v>1210</v>
      </c>
      <c r="Q458" s="74">
        <f>+J477</f>
        <v>33.5</v>
      </c>
    </row>
    <row r="459" spans="1:17">
      <c r="A459" s="4">
        <f t="shared" si="7"/>
        <v>22</v>
      </c>
      <c r="B459" s="4">
        <f>IF(J459="",0,IF('Chart Information'!$V$14=A459,B458+1,IF(B458=0,0,IF(A459=A458,B458+1,0))))</f>
        <v>0</v>
      </c>
      <c r="C459" s="76"/>
      <c r="D459" s="4"/>
      <c r="E459" s="4"/>
      <c r="F459" s="55"/>
      <c r="G459" s="55"/>
      <c r="H459" s="55"/>
      <c r="I459" s="74">
        <v>1.2</v>
      </c>
      <c r="J459" s="74">
        <v>24.5</v>
      </c>
      <c r="K459" s="4">
        <v>1200</v>
      </c>
      <c r="L459" s="74">
        <v>55</v>
      </c>
      <c r="M459" s="4">
        <v>53</v>
      </c>
      <c r="N459" s="4"/>
      <c r="O459" s="74"/>
      <c r="P459" s="4"/>
      <c r="Q459" s="74"/>
    </row>
    <row r="460" spans="1:17">
      <c r="A460" s="4">
        <f t="shared" si="7"/>
        <v>22</v>
      </c>
      <c r="B460" s="4">
        <f>IF(J460="",0,IF('Chart Information'!$V$14=A460,B459+1,IF(B459=0,0,IF(A460=A459,B459+1,0))))</f>
        <v>0</v>
      </c>
      <c r="C460" s="76"/>
      <c r="D460" s="4"/>
      <c r="E460" s="4"/>
      <c r="F460" s="55"/>
      <c r="G460" s="55"/>
      <c r="H460" s="55"/>
      <c r="I460" s="74">
        <v>1.2</v>
      </c>
      <c r="J460" s="74">
        <v>25</v>
      </c>
      <c r="K460" s="4">
        <v>1125</v>
      </c>
      <c r="L460" s="74">
        <v>53</v>
      </c>
      <c r="M460" s="4">
        <v>51</v>
      </c>
      <c r="N460" s="4"/>
      <c r="O460" s="74"/>
      <c r="P460" s="4"/>
      <c r="Q460" s="74"/>
    </row>
    <row r="461" spans="1:17">
      <c r="A461" s="4">
        <f t="shared" si="7"/>
        <v>22</v>
      </c>
      <c r="B461" s="4">
        <f>IF(J461="",0,IF('Chart Information'!$V$14=A461,B460+1,IF(B460=0,0,IF(A461=A460,B460+1,0))))</f>
        <v>0</v>
      </c>
      <c r="C461" s="76"/>
      <c r="D461" s="4"/>
      <c r="E461" s="4"/>
      <c r="F461" s="55"/>
      <c r="G461" s="55"/>
      <c r="H461" s="55"/>
      <c r="I461" s="74">
        <v>1.2</v>
      </c>
      <c r="J461" s="74">
        <v>25.5</v>
      </c>
      <c r="K461" s="4">
        <v>1075</v>
      </c>
      <c r="L461" s="74">
        <v>52</v>
      </c>
      <c r="M461" s="4">
        <v>49</v>
      </c>
      <c r="N461" s="4"/>
      <c r="O461" s="74"/>
      <c r="P461" s="4"/>
      <c r="Q461" s="74"/>
    </row>
    <row r="462" spans="1:17">
      <c r="A462" s="4">
        <f t="shared" si="7"/>
        <v>22</v>
      </c>
      <c r="B462" s="4">
        <f>IF(J462="",0,IF('Chart Information'!$V$14=A462,B461+1,IF(B461=0,0,IF(A462=A461,B461+1,0))))</f>
        <v>0</v>
      </c>
      <c r="C462" s="76"/>
      <c r="D462" s="4"/>
      <c r="E462" s="4"/>
      <c r="F462" s="55"/>
      <c r="G462" s="55"/>
      <c r="H462" s="55"/>
      <c r="I462" s="74">
        <v>1.2</v>
      </c>
      <c r="J462" s="74">
        <v>26</v>
      </c>
      <c r="K462" s="4">
        <v>1035</v>
      </c>
      <c r="L462" s="74">
        <v>52</v>
      </c>
      <c r="M462" s="4">
        <v>48</v>
      </c>
      <c r="N462" s="4"/>
      <c r="O462" s="74"/>
      <c r="P462" s="4"/>
      <c r="Q462" s="74"/>
    </row>
    <row r="463" spans="1:17">
      <c r="A463" s="4">
        <f t="shared" si="7"/>
        <v>22</v>
      </c>
      <c r="B463" s="4">
        <f>IF(J463="",0,IF('Chart Information'!$V$14=A463,B462+1,IF(B462=0,0,IF(A463=A462,B462+1,0))))</f>
        <v>0</v>
      </c>
      <c r="C463" s="76"/>
      <c r="D463" s="4"/>
      <c r="E463" s="4"/>
      <c r="F463" s="55"/>
      <c r="G463" s="55"/>
      <c r="H463" s="55"/>
      <c r="I463" s="74">
        <v>1.2</v>
      </c>
      <c r="J463" s="74">
        <v>26.5</v>
      </c>
      <c r="K463" s="4">
        <v>1020</v>
      </c>
      <c r="L463" s="74">
        <v>52</v>
      </c>
      <c r="M463" s="4">
        <v>47</v>
      </c>
      <c r="N463" s="4"/>
      <c r="O463" s="74"/>
      <c r="P463" s="4"/>
      <c r="Q463" s="74"/>
    </row>
    <row r="464" spans="1:17">
      <c r="A464" s="4">
        <f t="shared" si="7"/>
        <v>22</v>
      </c>
      <c r="B464" s="4">
        <f>IF(J464="",0,IF('Chart Information'!$V$14=A464,B463+1,IF(B463=0,0,IF(A464=A463,B463+1,0))))</f>
        <v>0</v>
      </c>
      <c r="C464" s="76"/>
      <c r="D464" s="4"/>
      <c r="E464" s="4"/>
      <c r="F464" s="55"/>
      <c r="G464" s="55"/>
      <c r="H464" s="55"/>
      <c r="I464" s="74">
        <v>1.2</v>
      </c>
      <c r="J464" s="74">
        <v>27</v>
      </c>
      <c r="K464" s="4">
        <v>1010</v>
      </c>
      <c r="L464" s="74">
        <v>52.5</v>
      </c>
      <c r="M464" s="4">
        <v>48</v>
      </c>
      <c r="N464" s="4"/>
      <c r="O464" s="74"/>
      <c r="P464" s="4"/>
      <c r="Q464" s="74"/>
    </row>
    <row r="465" spans="1:17">
      <c r="A465" s="4">
        <f t="shared" si="7"/>
        <v>22</v>
      </c>
      <c r="B465" s="4">
        <f>IF(J465="",0,IF('Chart Information'!$V$14=A465,B464+1,IF(B464=0,0,IF(A465=A464,B464+1,0))))</f>
        <v>0</v>
      </c>
      <c r="C465" s="76"/>
      <c r="D465" s="4"/>
      <c r="E465" s="4"/>
      <c r="F465" s="55"/>
      <c r="G465" s="55"/>
      <c r="H465" s="55"/>
      <c r="I465" s="74">
        <v>1.2</v>
      </c>
      <c r="J465" s="74">
        <v>27.5</v>
      </c>
      <c r="K465" s="4">
        <v>1000</v>
      </c>
      <c r="L465" s="74">
        <v>53</v>
      </c>
      <c r="M465" s="4">
        <v>50</v>
      </c>
      <c r="N465" s="4"/>
      <c r="O465" s="74"/>
      <c r="P465" s="4"/>
      <c r="Q465" s="74"/>
    </row>
    <row r="466" spans="1:17">
      <c r="A466" s="4">
        <f t="shared" si="7"/>
        <v>22</v>
      </c>
      <c r="B466" s="4">
        <f>IF(J466="",0,IF('Chart Information'!$V$14=A466,B465+1,IF(B465=0,0,IF(A466=A465,B465+1,0))))</f>
        <v>0</v>
      </c>
      <c r="C466" s="76"/>
      <c r="D466" s="4"/>
      <c r="E466" s="4"/>
      <c r="F466" s="55"/>
      <c r="G466" s="55"/>
      <c r="H466" s="55"/>
      <c r="I466" s="74">
        <v>1.2</v>
      </c>
      <c r="J466" s="74">
        <v>28</v>
      </c>
      <c r="K466" s="4">
        <v>1010</v>
      </c>
      <c r="L466" s="74">
        <v>54</v>
      </c>
      <c r="M466" s="4">
        <v>51</v>
      </c>
      <c r="N466" s="4"/>
      <c r="O466" s="74"/>
      <c r="P466" s="4"/>
      <c r="Q466" s="74"/>
    </row>
    <row r="467" spans="1:17">
      <c r="A467" s="4">
        <f t="shared" si="7"/>
        <v>22</v>
      </c>
      <c r="B467" s="4">
        <f>IF(J467="",0,IF('Chart Information'!$V$14=A467,B466+1,IF(B466=0,0,IF(A467=A466,B466+1,0))))</f>
        <v>0</v>
      </c>
      <c r="C467" s="76"/>
      <c r="D467" s="4"/>
      <c r="E467" s="4"/>
      <c r="F467" s="55"/>
      <c r="G467" s="55"/>
      <c r="H467" s="55"/>
      <c r="I467" s="74">
        <v>1.2</v>
      </c>
      <c r="J467" s="74">
        <v>28.5</v>
      </c>
      <c r="K467" s="4">
        <v>1020</v>
      </c>
      <c r="L467" s="74">
        <v>55</v>
      </c>
      <c r="M467" s="4">
        <v>52</v>
      </c>
      <c r="N467" s="4"/>
      <c r="O467" s="74"/>
      <c r="P467" s="4"/>
      <c r="Q467" s="74"/>
    </row>
    <row r="468" spans="1:17">
      <c r="A468" s="4">
        <f t="shared" si="7"/>
        <v>22</v>
      </c>
      <c r="B468" s="4">
        <f>IF(J468="",0,IF('Chart Information'!$V$14=A468,B467+1,IF(B467=0,0,IF(A468=A467,B467+1,0))))</f>
        <v>0</v>
      </c>
      <c r="C468" s="76"/>
      <c r="D468" s="4"/>
      <c r="E468" s="4"/>
      <c r="F468" s="55"/>
      <c r="G468" s="55"/>
      <c r="H468" s="55"/>
      <c r="I468" s="74">
        <v>1.2</v>
      </c>
      <c r="J468" s="74">
        <v>29</v>
      </c>
      <c r="K468" s="4">
        <v>1025</v>
      </c>
      <c r="L468" s="74">
        <v>56</v>
      </c>
      <c r="M468" s="4">
        <v>53</v>
      </c>
      <c r="N468" s="4"/>
      <c r="O468" s="74"/>
      <c r="P468" s="4"/>
      <c r="Q468" s="74"/>
    </row>
    <row r="469" spans="1:17">
      <c r="A469" s="4">
        <f t="shared" si="7"/>
        <v>22</v>
      </c>
      <c r="B469" s="4">
        <f>IF(J469="",0,IF('Chart Information'!$V$14=A469,B468+1,IF(B468=0,0,IF(A469=A468,B468+1,0))))</f>
        <v>0</v>
      </c>
      <c r="C469" s="76"/>
      <c r="D469" s="4"/>
      <c r="E469" s="4"/>
      <c r="F469" s="55"/>
      <c r="G469" s="55"/>
      <c r="H469" s="55"/>
      <c r="I469" s="74">
        <v>1.2</v>
      </c>
      <c r="J469" s="74">
        <v>29.5</v>
      </c>
      <c r="K469" s="4">
        <v>1050</v>
      </c>
      <c r="L469" s="74">
        <v>57</v>
      </c>
      <c r="M469" s="4">
        <v>54</v>
      </c>
      <c r="N469" s="4"/>
      <c r="O469" s="74"/>
      <c r="P469" s="4"/>
      <c r="Q469" s="74"/>
    </row>
    <row r="470" spans="1:17">
      <c r="A470" s="4">
        <f t="shared" si="7"/>
        <v>22</v>
      </c>
      <c r="B470" s="4">
        <f>IF(J470="",0,IF('Chart Information'!$V$14=A470,B469+1,IF(B469=0,0,IF(A470=A469,B469+1,0))))</f>
        <v>0</v>
      </c>
      <c r="C470" s="76"/>
      <c r="D470" s="4"/>
      <c r="E470" s="4"/>
      <c r="F470" s="55"/>
      <c r="G470" s="55"/>
      <c r="H470" s="55"/>
      <c r="I470" s="74">
        <v>1.2</v>
      </c>
      <c r="J470" s="74">
        <v>30</v>
      </c>
      <c r="K470" s="4">
        <v>1075</v>
      </c>
      <c r="L470" s="74">
        <v>58</v>
      </c>
      <c r="M470" s="4">
        <v>55</v>
      </c>
      <c r="N470" s="4"/>
      <c r="O470" s="74"/>
      <c r="P470" s="4"/>
      <c r="Q470" s="74"/>
    </row>
    <row r="471" spans="1:17">
      <c r="A471" s="4">
        <f t="shared" si="7"/>
        <v>22</v>
      </c>
      <c r="B471" s="4">
        <f>IF(J471="",0,IF('Chart Information'!$V$14=A471,B470+1,IF(B470=0,0,IF(A471=A470,B470+1,0))))</f>
        <v>0</v>
      </c>
      <c r="C471" s="76"/>
      <c r="D471" s="4"/>
      <c r="E471" s="4"/>
      <c r="F471" s="55"/>
      <c r="G471" s="55"/>
      <c r="H471" s="55"/>
      <c r="I471" s="74">
        <v>1.2</v>
      </c>
      <c r="J471" s="74">
        <v>30.5</v>
      </c>
      <c r="K471" s="4">
        <v>1100</v>
      </c>
      <c r="L471" s="74">
        <v>59</v>
      </c>
      <c r="M471" s="4">
        <v>56</v>
      </c>
      <c r="N471" s="4"/>
      <c r="O471" s="74"/>
      <c r="P471" s="4"/>
      <c r="Q471" s="74"/>
    </row>
    <row r="472" spans="1:17">
      <c r="A472" s="4">
        <f t="shared" si="7"/>
        <v>22</v>
      </c>
      <c r="B472" s="4">
        <f>IF(J472="",0,IF('Chart Information'!$V$14=A472,B471+1,IF(B471=0,0,IF(A472=A471,B471+1,0))))</f>
        <v>0</v>
      </c>
      <c r="C472" s="76"/>
      <c r="D472" s="4"/>
      <c r="E472" s="4"/>
      <c r="F472" s="55"/>
      <c r="G472" s="55"/>
      <c r="H472" s="55"/>
      <c r="I472" s="74">
        <v>1.2</v>
      </c>
      <c r="J472" s="74">
        <v>31</v>
      </c>
      <c r="K472" s="4">
        <v>1125</v>
      </c>
      <c r="L472" s="74">
        <v>61</v>
      </c>
      <c r="M472" s="4">
        <v>57</v>
      </c>
      <c r="N472" s="4"/>
      <c r="O472" s="74"/>
      <c r="P472" s="4"/>
      <c r="Q472" s="74"/>
    </row>
    <row r="473" spans="1:17">
      <c r="A473" s="4">
        <f t="shared" si="7"/>
        <v>22</v>
      </c>
      <c r="B473" s="4">
        <f>IF(J473="",0,IF('Chart Information'!$V$14=A473,B472+1,IF(B472=0,0,IF(A473=A472,B472+1,0))))</f>
        <v>0</v>
      </c>
      <c r="C473" s="76"/>
      <c r="D473" s="4"/>
      <c r="E473" s="4"/>
      <c r="F473" s="55"/>
      <c r="G473" s="55"/>
      <c r="H473" s="55"/>
      <c r="I473" s="74">
        <v>1.2</v>
      </c>
      <c r="J473" s="74">
        <v>31.5</v>
      </c>
      <c r="K473" s="4">
        <v>1150</v>
      </c>
      <c r="L473" s="74">
        <v>62</v>
      </c>
      <c r="M473" s="4">
        <v>58</v>
      </c>
      <c r="N473" s="4"/>
      <c r="O473" s="74"/>
      <c r="P473" s="4"/>
      <c r="Q473" s="74"/>
    </row>
    <row r="474" spans="1:17">
      <c r="A474" s="4">
        <f t="shared" si="7"/>
        <v>22</v>
      </c>
      <c r="B474" s="4">
        <f>IF(J474="",0,IF('Chart Information'!$V$14=A474,B473+1,IF(B473=0,0,IF(A474=A473,B473+1,0))))</f>
        <v>0</v>
      </c>
      <c r="C474" s="76"/>
      <c r="D474" s="4"/>
      <c r="E474" s="4"/>
      <c r="F474" s="55"/>
      <c r="G474" s="55"/>
      <c r="H474" s="55"/>
      <c r="I474" s="74">
        <v>1.2</v>
      </c>
      <c r="J474" s="74">
        <v>32</v>
      </c>
      <c r="K474" s="4">
        <v>1175</v>
      </c>
      <c r="L474" s="74">
        <v>64</v>
      </c>
      <c r="M474" s="4">
        <v>59</v>
      </c>
      <c r="N474" s="4"/>
      <c r="O474" s="74"/>
      <c r="P474" s="4"/>
      <c r="Q474" s="74"/>
    </row>
    <row r="475" spans="1:17">
      <c r="A475" s="4">
        <f t="shared" si="7"/>
        <v>22</v>
      </c>
      <c r="B475" s="4">
        <f>IF(J475="",0,IF('Chart Information'!$V$14=A475,B474+1,IF(B474=0,0,IF(A475=A474,B474+1,0))))</f>
        <v>0</v>
      </c>
      <c r="C475" s="76"/>
      <c r="D475" s="4"/>
      <c r="E475" s="4"/>
      <c r="F475" s="55"/>
      <c r="G475" s="55"/>
      <c r="H475" s="55"/>
      <c r="I475" s="74">
        <v>1.2</v>
      </c>
      <c r="J475" s="74">
        <v>32.5</v>
      </c>
      <c r="K475" s="4">
        <v>1190</v>
      </c>
      <c r="L475" s="74">
        <v>66</v>
      </c>
      <c r="M475" s="4">
        <v>60</v>
      </c>
      <c r="N475" s="4"/>
      <c r="O475" s="74"/>
      <c r="P475" s="4"/>
      <c r="Q475" s="74"/>
    </row>
    <row r="476" spans="1:17">
      <c r="A476" s="4">
        <f t="shared" si="7"/>
        <v>22</v>
      </c>
      <c r="B476" s="4">
        <f>IF(J476="",0,IF('Chart Information'!$V$14=A476,B475+1,IF(B475=0,0,IF(A476=A475,B475+1,0))))</f>
        <v>0</v>
      </c>
      <c r="C476" s="76"/>
      <c r="D476" s="4"/>
      <c r="E476" s="4"/>
      <c r="F476" s="55"/>
      <c r="G476" s="55"/>
      <c r="H476" s="55"/>
      <c r="I476" s="74">
        <v>1.2</v>
      </c>
      <c r="J476" s="74">
        <v>33</v>
      </c>
      <c r="K476" s="4">
        <v>1200</v>
      </c>
      <c r="L476" s="74">
        <v>67</v>
      </c>
      <c r="M476" s="4">
        <v>60</v>
      </c>
      <c r="N476" s="4"/>
      <c r="O476" s="74"/>
      <c r="P476" s="4"/>
      <c r="Q476" s="74"/>
    </row>
    <row r="477" spans="1:17">
      <c r="A477" s="4">
        <f t="shared" si="7"/>
        <v>22</v>
      </c>
      <c r="B477" s="4">
        <f>IF(J477="",0,IF('Chart Information'!$V$14=A477,B476+1,IF(B476=0,0,IF(A477=A476,B476+1,0))))</f>
        <v>0</v>
      </c>
      <c r="C477" s="76"/>
      <c r="D477" s="4"/>
      <c r="E477" s="4"/>
      <c r="F477" s="55"/>
      <c r="G477" s="55"/>
      <c r="H477" s="55"/>
      <c r="I477" s="74">
        <v>1.2</v>
      </c>
      <c r="J477" s="74">
        <v>33.5</v>
      </c>
      <c r="K477" s="4">
        <v>1210</v>
      </c>
      <c r="L477" s="74">
        <v>68</v>
      </c>
      <c r="M477" s="4">
        <v>59</v>
      </c>
      <c r="N477" s="4"/>
      <c r="O477" s="74"/>
      <c r="P477" s="4"/>
      <c r="Q477" s="74"/>
    </row>
    <row r="478" spans="1:17">
      <c r="A478" s="4">
        <f t="shared" si="7"/>
        <v>22</v>
      </c>
      <c r="B478" s="4">
        <f>IF(J478="",0,IF('Chart Information'!$V$14=A478,B477+1,IF(B477=0,0,IF(A478=A477,B477+1,0))))</f>
        <v>0</v>
      </c>
      <c r="C478" s="76"/>
      <c r="D478" s="4"/>
      <c r="E478" s="4"/>
      <c r="F478" s="55"/>
      <c r="G478" s="55"/>
      <c r="H478" s="55"/>
      <c r="I478" s="74">
        <v>1.2</v>
      </c>
      <c r="J478" s="74">
        <v>34</v>
      </c>
      <c r="K478" s="4">
        <v>1200</v>
      </c>
      <c r="L478" s="74">
        <v>69</v>
      </c>
      <c r="M478" s="4">
        <v>58</v>
      </c>
      <c r="N478" s="4"/>
      <c r="O478" s="74"/>
      <c r="P478" s="4"/>
      <c r="Q478" s="74"/>
    </row>
    <row r="479" spans="1:17">
      <c r="A479" s="4">
        <f t="shared" si="7"/>
        <v>22</v>
      </c>
      <c r="B479" s="4">
        <f>IF(J479="",0,IF('Chart Information'!$V$14=A479,B478+1,IF(B478=0,0,IF(A479=A478,B478+1,0))))</f>
        <v>0</v>
      </c>
      <c r="C479" s="76"/>
      <c r="D479" s="4"/>
      <c r="E479" s="4"/>
      <c r="F479" s="55"/>
      <c r="G479" s="55"/>
      <c r="H479" s="55"/>
      <c r="I479" s="74">
        <v>1.2</v>
      </c>
      <c r="J479" s="74">
        <v>34.5</v>
      </c>
      <c r="K479" s="4">
        <v>1190</v>
      </c>
      <c r="L479" s="74">
        <v>70</v>
      </c>
      <c r="M479" s="4">
        <v>57</v>
      </c>
      <c r="N479" s="4"/>
      <c r="O479" s="74"/>
      <c r="P479" s="4"/>
      <c r="Q479" s="74"/>
    </row>
    <row r="480" spans="1:17">
      <c r="A480" s="4">
        <f t="shared" si="7"/>
        <v>22</v>
      </c>
      <c r="B480" s="4">
        <f>IF(J480="",0,IF('Chart Information'!$V$14=A480,B479+1,IF(B479=0,0,IF(A480=A479,B479+1,0))))</f>
        <v>0</v>
      </c>
      <c r="C480" s="76"/>
      <c r="D480" s="4"/>
      <c r="E480" s="4"/>
      <c r="F480" s="55"/>
      <c r="G480" s="55"/>
      <c r="H480" s="55"/>
      <c r="I480" s="74">
        <v>1.2</v>
      </c>
      <c r="J480" s="74">
        <v>35</v>
      </c>
      <c r="K480" s="4">
        <v>1175</v>
      </c>
      <c r="L480" s="74">
        <v>71</v>
      </c>
      <c r="M480" s="4">
        <v>56</v>
      </c>
      <c r="N480" s="4"/>
      <c r="O480" s="74"/>
      <c r="P480" s="4"/>
      <c r="Q480" s="74"/>
    </row>
    <row r="481" spans="1:17">
      <c r="A481" s="4">
        <f t="shared" si="7"/>
        <v>22</v>
      </c>
      <c r="B481" s="4">
        <f>IF(J481="",0,IF('Chart Information'!$V$14=A481,B480+1,IF(B480=0,0,IF(A481=A480,B480+1,0))))</f>
        <v>0</v>
      </c>
      <c r="C481" s="76"/>
      <c r="D481" s="4"/>
      <c r="E481" s="4"/>
      <c r="F481" s="55"/>
      <c r="G481" s="55"/>
      <c r="H481" s="55"/>
      <c r="I481" s="74">
        <v>1.2</v>
      </c>
      <c r="J481" s="74">
        <v>35.5</v>
      </c>
      <c r="K481" s="4">
        <v>1125</v>
      </c>
      <c r="L481" s="74">
        <v>72</v>
      </c>
      <c r="M481" s="4">
        <v>55</v>
      </c>
      <c r="N481" s="4"/>
      <c r="O481" s="74"/>
      <c r="P481" s="4"/>
      <c r="Q481" s="74"/>
    </row>
    <row r="482" spans="1:17">
      <c r="A482" s="4">
        <f t="shared" si="7"/>
        <v>22</v>
      </c>
      <c r="B482" s="4">
        <f>IF(J482="",0,IF('Chart Information'!$V$14=A482,B481+1,IF(B481=0,0,IF(A482=A481,B481+1,0))))</f>
        <v>0</v>
      </c>
      <c r="C482" s="76"/>
      <c r="D482" s="4"/>
      <c r="E482" s="4"/>
      <c r="F482" s="55"/>
      <c r="G482" s="55"/>
      <c r="H482" s="55"/>
      <c r="I482" s="74">
        <v>1.2</v>
      </c>
      <c r="J482" s="74">
        <v>36</v>
      </c>
      <c r="K482" s="4">
        <v>1075</v>
      </c>
      <c r="L482" s="74">
        <v>72</v>
      </c>
      <c r="M482" s="4">
        <v>53</v>
      </c>
      <c r="N482" s="4"/>
      <c r="O482" s="74"/>
      <c r="P482" s="4"/>
      <c r="Q482" s="74"/>
    </row>
    <row r="483" spans="1:17">
      <c r="A483" s="4">
        <f t="shared" si="7"/>
        <v>22</v>
      </c>
      <c r="B483" s="4">
        <f>IF(J483="",0,IF('Chart Information'!$V$14=A483,B482+1,IF(B482=0,0,IF(A483=A482,B482+1,0))))</f>
        <v>0</v>
      </c>
      <c r="C483" s="76"/>
      <c r="D483" s="4"/>
      <c r="E483" s="4"/>
      <c r="F483" s="55"/>
      <c r="G483" s="55"/>
      <c r="H483" s="55"/>
      <c r="I483" s="74">
        <v>1.2</v>
      </c>
      <c r="J483" s="74">
        <v>36.5</v>
      </c>
      <c r="K483" s="4">
        <v>1000</v>
      </c>
      <c r="L483" s="74">
        <v>72</v>
      </c>
      <c r="M483" s="4">
        <v>52</v>
      </c>
      <c r="N483" s="4"/>
      <c r="O483" s="74"/>
      <c r="P483" s="4"/>
      <c r="Q483" s="74"/>
    </row>
    <row r="484" spans="1:17">
      <c r="A484" s="4">
        <f t="shared" si="7"/>
        <v>22</v>
      </c>
      <c r="B484" s="4">
        <f>IF(J484="",0,IF('Chart Information'!$V$14=A484,B483+1,IF(B483=0,0,IF(A484=A483,B483+1,0))))</f>
        <v>0</v>
      </c>
      <c r="C484" s="76"/>
      <c r="D484" s="4"/>
      <c r="E484" s="4"/>
      <c r="F484" s="55"/>
      <c r="G484" s="55"/>
      <c r="H484" s="55"/>
      <c r="I484" s="74">
        <v>1.2</v>
      </c>
      <c r="J484" s="74">
        <v>37</v>
      </c>
      <c r="K484" s="4">
        <v>900</v>
      </c>
      <c r="L484" s="74">
        <v>71</v>
      </c>
      <c r="M484" s="4">
        <v>47</v>
      </c>
      <c r="N484" s="4"/>
      <c r="O484" s="74"/>
      <c r="P484" s="4"/>
      <c r="Q484" s="74"/>
    </row>
    <row r="485" spans="1:17">
      <c r="A485" s="4">
        <f t="shared" si="7"/>
        <v>22</v>
      </c>
      <c r="B485" s="4">
        <f>IF(J485="",0,IF('Chart Information'!$V$14=A485,B484+1,IF(B484=0,0,IF(A485=A484,B484+1,0))))</f>
        <v>0</v>
      </c>
      <c r="C485" s="76"/>
      <c r="D485" s="4"/>
      <c r="E485" s="4"/>
      <c r="F485" s="55"/>
      <c r="G485" s="55"/>
      <c r="H485" s="55"/>
      <c r="I485" s="74">
        <v>1.2</v>
      </c>
      <c r="J485" s="74">
        <v>37.5</v>
      </c>
      <c r="K485" s="4">
        <v>750</v>
      </c>
      <c r="L485" s="74">
        <v>70</v>
      </c>
      <c r="M485" s="4">
        <v>43</v>
      </c>
      <c r="N485" s="4"/>
      <c r="O485" s="74"/>
      <c r="P485" s="4"/>
      <c r="Q485" s="74"/>
    </row>
    <row r="486" spans="1:17">
      <c r="A486" s="4">
        <f t="shared" si="7"/>
        <v>22</v>
      </c>
      <c r="B486" s="4">
        <f>IF(J486="",0,IF('Chart Information'!$V$14=A486,B485+1,IF(B485=0,0,IF(A486=A485,B485+1,0))))</f>
        <v>0</v>
      </c>
      <c r="C486" s="76"/>
      <c r="D486" s="4"/>
      <c r="E486" s="4"/>
      <c r="F486" s="55"/>
      <c r="G486" s="55"/>
      <c r="H486" s="55"/>
      <c r="I486" s="74">
        <v>1.2</v>
      </c>
      <c r="J486" s="74">
        <v>38</v>
      </c>
      <c r="K486" s="4">
        <v>500</v>
      </c>
      <c r="L486" s="74">
        <v>69</v>
      </c>
      <c r="M486" s="4">
        <v>36</v>
      </c>
      <c r="N486" s="4"/>
      <c r="O486" s="74"/>
      <c r="P486" s="4"/>
      <c r="Q486" s="74"/>
    </row>
    <row r="487" spans="1:17">
      <c r="A487" s="4">
        <f t="shared" si="7"/>
        <v>22</v>
      </c>
      <c r="B487" s="4">
        <f>IF(J487="",0,IF('Chart Information'!$V$14=A487,B486+1,IF(B486=0,0,IF(A487=A486,B486+1,0))))</f>
        <v>0</v>
      </c>
      <c r="C487" s="76"/>
      <c r="D487" s="4"/>
      <c r="E487" s="4"/>
      <c r="F487" s="55"/>
      <c r="G487" s="55"/>
      <c r="H487" s="55"/>
      <c r="I487" s="74">
        <v>1.2</v>
      </c>
      <c r="J487" s="74">
        <v>38.5</v>
      </c>
      <c r="K487" s="4">
        <v>300</v>
      </c>
      <c r="L487" s="74">
        <v>68</v>
      </c>
      <c r="M487" s="4">
        <v>26</v>
      </c>
      <c r="N487" s="4"/>
      <c r="O487" s="74"/>
      <c r="P487" s="4"/>
      <c r="Q487" s="74"/>
    </row>
    <row r="488" spans="1:17"/>
  </sheetData>
  <sortState ref="C4:M420">
    <sortCondition ref="E4:E420"/>
    <sortCondition ref="F4:F420"/>
    <sortCondition ref="D4:D420"/>
    <sortCondition ref="G4:G420"/>
    <sortCondition ref="H4:H420"/>
    <sortCondition ref="J4:J420"/>
  </sortState>
  <mergeCells count="5">
    <mergeCell ref="N2:N3"/>
    <mergeCell ref="O2:O3"/>
    <mergeCell ref="P2:P3"/>
    <mergeCell ref="Q2:Q3"/>
    <mergeCell ref="N1:Q1"/>
  </mergeCell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T232"/>
  <sheetViews>
    <sheetView zoomScale="115" zoomScaleNormal="115" workbookViewId="0">
      <selection sqref="A1:A4"/>
    </sheetView>
  </sheetViews>
  <sheetFormatPr defaultColWidth="9.140625" defaultRowHeight="15"/>
  <cols>
    <col min="1" max="1" width="31.42578125" style="9" bestFit="1" customWidth="1"/>
    <col min="2" max="2" width="10.7109375" style="6" customWidth="1"/>
    <col min="3" max="3" width="15.140625" style="6" bestFit="1" customWidth="1"/>
    <col min="4" max="8" width="10.7109375" style="6" customWidth="1"/>
    <col min="9" max="9" width="15.140625" style="6" bestFit="1" customWidth="1"/>
    <col min="10" max="10" width="10.7109375" style="109" customWidth="1"/>
    <col min="11" max="11" width="12" style="6" customWidth="1"/>
    <col min="12" max="12" width="12" style="98" customWidth="1"/>
    <col min="13" max="13" width="22.140625" style="109" bestFit="1" customWidth="1"/>
    <col min="14" max="14" width="11.42578125" style="109" bestFit="1" customWidth="1"/>
    <col min="15" max="16" width="10.7109375" style="109" customWidth="1"/>
    <col min="17" max="16384" width="9.140625" style="109"/>
  </cols>
  <sheetData>
    <row r="1" spans="1:20" ht="30">
      <c r="A1" s="3290" t="s">
        <v>0</v>
      </c>
      <c r="B1" s="3299" t="s">
        <v>240</v>
      </c>
      <c r="C1" s="3299" t="s">
        <v>348</v>
      </c>
      <c r="D1" s="3297" t="s">
        <v>367</v>
      </c>
      <c r="E1" s="3297"/>
      <c r="F1" s="3297"/>
      <c r="G1" s="3297"/>
      <c r="H1" s="3296" t="s">
        <v>187</v>
      </c>
      <c r="I1" s="3296"/>
      <c r="J1" s="3296"/>
      <c r="K1" s="3296"/>
      <c r="L1" s="3294" t="s">
        <v>366</v>
      </c>
      <c r="M1" s="3294" t="s">
        <v>365</v>
      </c>
      <c r="N1" s="3294" t="s">
        <v>364</v>
      </c>
      <c r="O1" s="3299" t="s">
        <v>349</v>
      </c>
      <c r="P1" s="3298" t="s">
        <v>350</v>
      </c>
      <c r="Q1" s="3299" t="s">
        <v>347</v>
      </c>
      <c r="R1" s="75" t="s">
        <v>370</v>
      </c>
      <c r="S1" s="75" t="s">
        <v>369</v>
      </c>
      <c r="T1" s="3298" t="s">
        <v>360</v>
      </c>
    </row>
    <row r="2" spans="1:20" ht="30">
      <c r="A2" s="3295"/>
      <c r="B2" s="3299"/>
      <c r="C2" s="3299"/>
      <c r="D2" s="75" t="s">
        <v>363</v>
      </c>
      <c r="E2" s="75" t="s">
        <v>362</v>
      </c>
      <c r="F2" s="75" t="s">
        <v>361</v>
      </c>
      <c r="G2" s="75" t="s">
        <v>1</v>
      </c>
      <c r="H2" s="75" t="s">
        <v>363</v>
      </c>
      <c r="I2" s="75" t="s">
        <v>362</v>
      </c>
      <c r="J2" s="75" t="s">
        <v>361</v>
      </c>
      <c r="K2" s="75" t="s">
        <v>1</v>
      </c>
      <c r="L2" s="3294"/>
      <c r="M2" s="3294"/>
      <c r="N2" s="3294"/>
      <c r="O2" s="3299"/>
      <c r="P2" s="3298"/>
      <c r="Q2" s="3299"/>
      <c r="R2" s="72" t="s">
        <v>347</v>
      </c>
      <c r="S2" s="72" t="s">
        <v>203</v>
      </c>
      <c r="T2" s="3298"/>
    </row>
    <row r="3" spans="1:20" ht="17.25">
      <c r="A3" s="3295"/>
      <c r="B3" s="3299"/>
      <c r="C3" s="3299"/>
      <c r="D3" s="72" t="s">
        <v>359</v>
      </c>
      <c r="E3" s="72" t="s">
        <v>199</v>
      </c>
      <c r="F3" s="72" t="s">
        <v>346</v>
      </c>
      <c r="G3" s="72" t="s">
        <v>2</v>
      </c>
      <c r="H3" s="72" t="s">
        <v>359</v>
      </c>
      <c r="I3" s="72" t="s">
        <v>199</v>
      </c>
      <c r="J3" s="72" t="s">
        <v>346</v>
      </c>
      <c r="K3" s="72" t="s">
        <v>2</v>
      </c>
      <c r="L3" s="72" t="s">
        <v>2</v>
      </c>
      <c r="M3" s="72" t="s">
        <v>2</v>
      </c>
      <c r="N3" s="72" t="s">
        <v>2</v>
      </c>
      <c r="O3" s="3299"/>
      <c r="P3" s="3298"/>
      <c r="Q3" s="3299"/>
      <c r="R3" s="72" t="s">
        <v>357</v>
      </c>
      <c r="S3" s="72" t="s">
        <v>368</v>
      </c>
      <c r="T3" s="3298"/>
    </row>
    <row r="4" spans="1:20" ht="17.25">
      <c r="A4" s="3291"/>
      <c r="B4" s="3299"/>
      <c r="C4" s="3299"/>
      <c r="D4" s="72" t="s">
        <v>286</v>
      </c>
      <c r="E4" s="72" t="s">
        <v>358</v>
      </c>
      <c r="F4" s="72" t="s">
        <v>357</v>
      </c>
      <c r="G4" s="72" t="s">
        <v>3</v>
      </c>
      <c r="H4" s="72" t="s">
        <v>286</v>
      </c>
      <c r="I4" s="72" t="s">
        <v>358</v>
      </c>
      <c r="J4" s="72" t="s">
        <v>357</v>
      </c>
      <c r="K4" s="72" t="s">
        <v>3</v>
      </c>
      <c r="L4" s="72" t="s">
        <v>3</v>
      </c>
      <c r="M4" s="72" t="s">
        <v>3</v>
      </c>
      <c r="N4" s="72" t="s">
        <v>3</v>
      </c>
      <c r="O4" s="3299"/>
      <c r="P4" s="3298"/>
      <c r="Q4" s="3299"/>
      <c r="R4" s="103">
        <v>1</v>
      </c>
      <c r="S4" s="104">
        <v>3.16E-3</v>
      </c>
      <c r="T4" s="3298">
        <v>1</v>
      </c>
    </row>
    <row r="5" spans="1:20">
      <c r="A5" s="8" t="str">
        <f t="shared" ref="A5:A12" si="0">"Ø"&amp;D5&amp;" "&amp;C5&amp;" ("&amp;TEXT(Q5,"0.0")&amp;"m lengths)"</f>
        <v>Ø305 Straight Duct (0.5m lengths)</v>
      </c>
      <c r="B5" s="94">
        <f>+G5</f>
        <v>3.8818443614900731</v>
      </c>
      <c r="C5" s="94" t="s">
        <v>277</v>
      </c>
      <c r="D5" s="100">
        <v>305</v>
      </c>
      <c r="E5" s="101">
        <f t="shared" ref="E5:E68" si="1">PI()*((D5/1000)^2)/4</f>
        <v>7.3061664150047625E-2</v>
      </c>
      <c r="F5" s="101">
        <f t="shared" ref="F5:F35" si="2">PI()*D5/1000</f>
        <v>0.95818575934488692</v>
      </c>
      <c r="G5" s="94">
        <f t="shared" ref="G5:G35" si="3">$S$4*F5*Q5/(E5^3)</f>
        <v>3.8818443614900731</v>
      </c>
      <c r="H5" s="94"/>
      <c r="I5" s="94"/>
      <c r="J5" s="94"/>
      <c r="K5" s="94"/>
      <c r="L5" s="94"/>
      <c r="M5" s="94"/>
      <c r="N5" s="94"/>
      <c r="O5" s="94"/>
      <c r="P5" s="96"/>
      <c r="Q5" s="102">
        <v>0.5</v>
      </c>
    </row>
    <row r="6" spans="1:20">
      <c r="A6" s="8" t="str">
        <f t="shared" si="0"/>
        <v>Ø305 Straight Duct (1.0m lengths)</v>
      </c>
      <c r="B6" s="94">
        <f t="shared" ref="B6:B35" si="4">+G6</f>
        <v>7.7636887229801461</v>
      </c>
      <c r="C6" s="94" t="s">
        <v>277</v>
      </c>
      <c r="D6" s="100">
        <v>305</v>
      </c>
      <c r="E6" s="101">
        <f t="shared" si="1"/>
        <v>7.3061664150047625E-2</v>
      </c>
      <c r="F6" s="101">
        <f t="shared" si="2"/>
        <v>0.95818575934488692</v>
      </c>
      <c r="G6" s="94">
        <f t="shared" si="3"/>
        <v>7.7636887229801461</v>
      </c>
      <c r="H6" s="94"/>
      <c r="I6" s="94"/>
      <c r="J6" s="94"/>
      <c r="K6" s="94"/>
      <c r="L6" s="94"/>
      <c r="M6" s="94"/>
      <c r="N6" s="94"/>
      <c r="O6" s="94"/>
      <c r="P6" s="96"/>
      <c r="Q6" s="102">
        <f t="shared" ref="Q6:Q12" si="5">+Q5+0.5</f>
        <v>1</v>
      </c>
    </row>
    <row r="7" spans="1:20">
      <c r="A7" s="8" t="str">
        <f t="shared" si="0"/>
        <v>Ø305 Straight Duct (1.5m lengths)</v>
      </c>
      <c r="B7" s="94">
        <f t="shared" si="4"/>
        <v>11.64553308447022</v>
      </c>
      <c r="C7" s="94" t="s">
        <v>277</v>
      </c>
      <c r="D7" s="100">
        <v>305</v>
      </c>
      <c r="E7" s="101">
        <f t="shared" si="1"/>
        <v>7.3061664150047625E-2</v>
      </c>
      <c r="F7" s="101">
        <f t="shared" si="2"/>
        <v>0.95818575934488692</v>
      </c>
      <c r="G7" s="94">
        <f t="shared" si="3"/>
        <v>11.64553308447022</v>
      </c>
      <c r="H7" s="94"/>
      <c r="I7" s="94"/>
      <c r="J7" s="94"/>
      <c r="K7" s="94"/>
      <c r="L7" s="94"/>
      <c r="M7" s="94"/>
      <c r="N7" s="94"/>
      <c r="O7" s="94"/>
      <c r="P7" s="96"/>
      <c r="Q7" s="102">
        <f t="shared" si="5"/>
        <v>1.5</v>
      </c>
    </row>
    <row r="8" spans="1:20">
      <c r="A8" s="8" t="str">
        <f t="shared" si="0"/>
        <v>Ø305 Straight Duct (2.0m lengths)</v>
      </c>
      <c r="B8" s="94">
        <f t="shared" si="4"/>
        <v>15.527377445960292</v>
      </c>
      <c r="C8" s="94" t="s">
        <v>277</v>
      </c>
      <c r="D8" s="100">
        <v>305</v>
      </c>
      <c r="E8" s="101">
        <f t="shared" si="1"/>
        <v>7.3061664150047625E-2</v>
      </c>
      <c r="F8" s="101">
        <f t="shared" si="2"/>
        <v>0.95818575934488692</v>
      </c>
      <c r="G8" s="94">
        <f t="shared" si="3"/>
        <v>15.527377445960292</v>
      </c>
      <c r="H8" s="94"/>
      <c r="I8" s="94"/>
      <c r="J8" s="94"/>
      <c r="K8" s="94"/>
      <c r="L8" s="94"/>
      <c r="M8" s="94"/>
      <c r="N8" s="94"/>
      <c r="O8" s="94"/>
      <c r="P8" s="96"/>
      <c r="Q8" s="102">
        <f t="shared" si="5"/>
        <v>2</v>
      </c>
    </row>
    <row r="9" spans="1:20" ht="15" customHeight="1">
      <c r="A9" s="8" t="str">
        <f t="shared" si="0"/>
        <v>Ø305 Straight Duct (2.5m lengths)</v>
      </c>
      <c r="B9" s="94">
        <f t="shared" si="4"/>
        <v>19.409221807450368</v>
      </c>
      <c r="C9" s="94" t="s">
        <v>277</v>
      </c>
      <c r="D9" s="100">
        <v>305</v>
      </c>
      <c r="E9" s="101">
        <f t="shared" si="1"/>
        <v>7.3061664150047625E-2</v>
      </c>
      <c r="F9" s="101">
        <f t="shared" si="2"/>
        <v>0.95818575934488692</v>
      </c>
      <c r="G9" s="94">
        <f t="shared" si="3"/>
        <v>19.409221807450368</v>
      </c>
      <c r="H9" s="94"/>
      <c r="I9" s="94"/>
      <c r="J9" s="94"/>
      <c r="K9" s="94"/>
      <c r="L9" s="94"/>
      <c r="M9" s="94"/>
      <c r="N9" s="94"/>
      <c r="O9" s="94"/>
      <c r="P9" s="96"/>
      <c r="Q9" s="102">
        <f t="shared" si="5"/>
        <v>2.5</v>
      </c>
    </row>
    <row r="10" spans="1:20" ht="15" customHeight="1">
      <c r="A10" s="8" t="str">
        <f t="shared" si="0"/>
        <v>Ø305 Straight Duct (3.0m lengths)</v>
      </c>
      <c r="B10" s="94">
        <f t="shared" si="4"/>
        <v>23.291066168940439</v>
      </c>
      <c r="C10" s="94" t="s">
        <v>277</v>
      </c>
      <c r="D10" s="100">
        <v>305</v>
      </c>
      <c r="E10" s="101">
        <f t="shared" si="1"/>
        <v>7.3061664150047625E-2</v>
      </c>
      <c r="F10" s="101">
        <f t="shared" si="2"/>
        <v>0.95818575934488692</v>
      </c>
      <c r="G10" s="94">
        <f t="shared" si="3"/>
        <v>23.291066168940439</v>
      </c>
      <c r="H10" s="94"/>
      <c r="I10" s="94"/>
      <c r="J10" s="94"/>
      <c r="K10" s="94"/>
      <c r="L10" s="94"/>
      <c r="M10" s="94"/>
      <c r="N10" s="94"/>
      <c r="O10" s="94"/>
      <c r="P10" s="96"/>
      <c r="Q10" s="102">
        <f t="shared" si="5"/>
        <v>3</v>
      </c>
    </row>
    <row r="11" spans="1:20" ht="15" customHeight="1">
      <c r="A11" s="8" t="str">
        <f t="shared" si="0"/>
        <v>Ø305 Straight Duct (3.5m lengths)</v>
      </c>
      <c r="B11" s="94">
        <f>+G11</f>
        <v>27.172910530430514</v>
      </c>
      <c r="C11" s="94" t="s">
        <v>277</v>
      </c>
      <c r="D11" s="100">
        <v>305</v>
      </c>
      <c r="E11" s="101">
        <f t="shared" si="1"/>
        <v>7.3061664150047625E-2</v>
      </c>
      <c r="F11" s="101">
        <f t="shared" si="2"/>
        <v>0.95818575934488692</v>
      </c>
      <c r="G11" s="94">
        <f t="shared" si="3"/>
        <v>27.172910530430514</v>
      </c>
      <c r="H11" s="94"/>
      <c r="I11" s="94"/>
      <c r="J11" s="94"/>
      <c r="K11" s="94"/>
      <c r="L11" s="94"/>
      <c r="M11" s="94"/>
      <c r="N11" s="94"/>
      <c r="O11" s="94"/>
      <c r="P11" s="96"/>
      <c r="Q11" s="102">
        <f t="shared" si="5"/>
        <v>3.5</v>
      </c>
    </row>
    <row r="12" spans="1:20" ht="15" customHeight="1">
      <c r="A12" s="8" t="str">
        <f t="shared" si="0"/>
        <v>Ø305 Straight Duct (4.0m lengths)</v>
      </c>
      <c r="B12" s="94">
        <f>+G12</f>
        <v>31.054754891920584</v>
      </c>
      <c r="C12" s="94" t="s">
        <v>277</v>
      </c>
      <c r="D12" s="100">
        <v>305</v>
      </c>
      <c r="E12" s="101">
        <f t="shared" si="1"/>
        <v>7.3061664150047625E-2</v>
      </c>
      <c r="F12" s="101">
        <f t="shared" si="2"/>
        <v>0.95818575934488692</v>
      </c>
      <c r="G12" s="94">
        <f t="shared" si="3"/>
        <v>31.054754891920584</v>
      </c>
      <c r="H12" s="94"/>
      <c r="I12" s="94"/>
      <c r="J12" s="94"/>
      <c r="K12" s="94"/>
      <c r="L12" s="94"/>
      <c r="M12" s="94"/>
      <c r="N12" s="94"/>
      <c r="O12" s="94"/>
      <c r="P12" s="96"/>
      <c r="Q12" s="102">
        <f t="shared" si="5"/>
        <v>4</v>
      </c>
    </row>
    <row r="13" spans="1:20" ht="15" customHeight="1">
      <c r="A13" s="8" t="str">
        <f t="shared" ref="A13:A30" si="6">"Ø"&amp;D13&amp;" "&amp;C13&amp;" ("&amp;O13&amp;"⁰)"</f>
        <v>Ø305 Bend (5⁰)</v>
      </c>
      <c r="B13" s="94">
        <f t="shared" si="4"/>
        <v>2.8337463838877537</v>
      </c>
      <c r="C13" s="99" t="s">
        <v>351</v>
      </c>
      <c r="D13" s="100">
        <v>305</v>
      </c>
      <c r="E13" s="101">
        <f t="shared" si="1"/>
        <v>7.3061664150047625E-2</v>
      </c>
      <c r="F13" s="101">
        <f t="shared" si="2"/>
        <v>0.95818575934488692</v>
      </c>
      <c r="G13" s="94">
        <f t="shared" si="3"/>
        <v>2.8337463838877537</v>
      </c>
      <c r="H13" s="94"/>
      <c r="I13" s="94"/>
      <c r="J13" s="94"/>
      <c r="K13" s="94"/>
      <c r="L13" s="94"/>
      <c r="M13" s="94"/>
      <c r="N13" s="94"/>
      <c r="O13" s="95">
        <v>5</v>
      </c>
      <c r="P13" s="97">
        <v>7.2999999999999995E-2</v>
      </c>
      <c r="Q13" s="102">
        <f t="shared" ref="Q13:Q30" si="7">+O13*P13</f>
        <v>0.36499999999999999</v>
      </c>
    </row>
    <row r="14" spans="1:20" ht="15" customHeight="1">
      <c r="A14" s="8" t="str">
        <f t="shared" si="6"/>
        <v>Ø305 Bend (10⁰)</v>
      </c>
      <c r="B14" s="94">
        <f t="shared" si="4"/>
        <v>5.6674927677755074</v>
      </c>
      <c r="C14" s="99" t="s">
        <v>351</v>
      </c>
      <c r="D14" s="100">
        <v>305</v>
      </c>
      <c r="E14" s="101">
        <f t="shared" si="1"/>
        <v>7.3061664150047625E-2</v>
      </c>
      <c r="F14" s="101">
        <f t="shared" si="2"/>
        <v>0.95818575934488692</v>
      </c>
      <c r="G14" s="94">
        <f t="shared" si="3"/>
        <v>5.6674927677755074</v>
      </c>
      <c r="H14" s="94"/>
      <c r="I14" s="94"/>
      <c r="J14" s="94"/>
      <c r="K14" s="94"/>
      <c r="L14" s="94"/>
      <c r="M14" s="94"/>
      <c r="N14" s="94"/>
      <c r="O14" s="95">
        <f>+O13+5</f>
        <v>10</v>
      </c>
      <c r="P14" s="97">
        <v>7.2999999999999995E-2</v>
      </c>
      <c r="Q14" s="102">
        <f t="shared" si="7"/>
        <v>0.73</v>
      </c>
    </row>
    <row r="15" spans="1:20" ht="15" customHeight="1">
      <c r="A15" s="8" t="str">
        <f t="shared" si="6"/>
        <v>Ø305 Bend (15⁰)</v>
      </c>
      <c r="B15" s="94">
        <f t="shared" si="4"/>
        <v>8.5012391516632597</v>
      </c>
      <c r="C15" s="99" t="s">
        <v>351</v>
      </c>
      <c r="D15" s="100">
        <v>305</v>
      </c>
      <c r="E15" s="101">
        <f t="shared" si="1"/>
        <v>7.3061664150047625E-2</v>
      </c>
      <c r="F15" s="101">
        <f t="shared" si="2"/>
        <v>0.95818575934488692</v>
      </c>
      <c r="G15" s="94">
        <f t="shared" si="3"/>
        <v>8.5012391516632597</v>
      </c>
      <c r="H15" s="94"/>
      <c r="I15" s="94"/>
      <c r="J15" s="94"/>
      <c r="K15" s="94"/>
      <c r="L15" s="94"/>
      <c r="M15" s="94"/>
      <c r="N15" s="94"/>
      <c r="O15" s="95">
        <f t="shared" ref="O15:O30" si="8">+O14+5</f>
        <v>15</v>
      </c>
      <c r="P15" s="97">
        <v>7.2999999999999995E-2</v>
      </c>
      <c r="Q15" s="102">
        <f t="shared" si="7"/>
        <v>1.095</v>
      </c>
    </row>
    <row r="16" spans="1:20" ht="15" customHeight="1">
      <c r="A16" s="8" t="str">
        <f t="shared" si="6"/>
        <v>Ø305 Bend (20⁰)</v>
      </c>
      <c r="B16" s="94">
        <f t="shared" si="4"/>
        <v>11.334985535551015</v>
      </c>
      <c r="C16" s="99" t="s">
        <v>351</v>
      </c>
      <c r="D16" s="100">
        <v>305</v>
      </c>
      <c r="E16" s="101">
        <f t="shared" si="1"/>
        <v>7.3061664150047625E-2</v>
      </c>
      <c r="F16" s="101">
        <f t="shared" si="2"/>
        <v>0.95818575934488692</v>
      </c>
      <c r="G16" s="94">
        <f t="shared" si="3"/>
        <v>11.334985535551015</v>
      </c>
      <c r="H16" s="94"/>
      <c r="I16" s="94"/>
      <c r="J16" s="94"/>
      <c r="K16" s="94"/>
      <c r="L16" s="94"/>
      <c r="M16" s="94"/>
      <c r="N16" s="94"/>
      <c r="O16" s="95">
        <f t="shared" si="8"/>
        <v>20</v>
      </c>
      <c r="P16" s="97">
        <v>7.2999999999999995E-2</v>
      </c>
      <c r="Q16" s="102">
        <f t="shared" si="7"/>
        <v>1.46</v>
      </c>
    </row>
    <row r="17" spans="1:17" ht="15" customHeight="1">
      <c r="A17" s="8" t="str">
        <f t="shared" si="6"/>
        <v>Ø305 Bend (25⁰)</v>
      </c>
      <c r="B17" s="94">
        <f t="shared" si="4"/>
        <v>14.168731919438768</v>
      </c>
      <c r="C17" s="99" t="s">
        <v>351</v>
      </c>
      <c r="D17" s="100">
        <v>305</v>
      </c>
      <c r="E17" s="101">
        <f t="shared" si="1"/>
        <v>7.3061664150047625E-2</v>
      </c>
      <c r="F17" s="101">
        <f t="shared" si="2"/>
        <v>0.95818575934488692</v>
      </c>
      <c r="G17" s="94">
        <f t="shared" si="3"/>
        <v>14.168731919438768</v>
      </c>
      <c r="H17" s="94"/>
      <c r="I17" s="94"/>
      <c r="J17" s="94"/>
      <c r="K17" s="94"/>
      <c r="L17" s="94"/>
      <c r="M17" s="94"/>
      <c r="N17" s="94"/>
      <c r="O17" s="95">
        <f t="shared" si="8"/>
        <v>25</v>
      </c>
      <c r="P17" s="97">
        <v>7.2999999999999995E-2</v>
      </c>
      <c r="Q17" s="102">
        <f t="shared" si="7"/>
        <v>1.825</v>
      </c>
    </row>
    <row r="18" spans="1:17" ht="15" customHeight="1">
      <c r="A18" s="8" t="str">
        <f t="shared" si="6"/>
        <v>Ø305 Bend (30⁰)</v>
      </c>
      <c r="B18" s="94">
        <f t="shared" si="4"/>
        <v>17.002478303326519</v>
      </c>
      <c r="C18" s="99" t="s">
        <v>351</v>
      </c>
      <c r="D18" s="100">
        <v>305</v>
      </c>
      <c r="E18" s="101">
        <f t="shared" si="1"/>
        <v>7.3061664150047625E-2</v>
      </c>
      <c r="F18" s="101">
        <f t="shared" si="2"/>
        <v>0.95818575934488692</v>
      </c>
      <c r="G18" s="94">
        <f t="shared" si="3"/>
        <v>17.002478303326519</v>
      </c>
      <c r="H18" s="94"/>
      <c r="I18" s="94"/>
      <c r="J18" s="94"/>
      <c r="K18" s="94"/>
      <c r="L18" s="94"/>
      <c r="M18" s="94"/>
      <c r="N18" s="94"/>
      <c r="O18" s="95">
        <f t="shared" si="8"/>
        <v>30</v>
      </c>
      <c r="P18" s="97">
        <v>7.2999999999999995E-2</v>
      </c>
      <c r="Q18" s="102">
        <f t="shared" si="7"/>
        <v>2.19</v>
      </c>
    </row>
    <row r="19" spans="1:17" ht="15" customHeight="1">
      <c r="A19" s="8" t="str">
        <f t="shared" si="6"/>
        <v>Ø305 Bend (35⁰)</v>
      </c>
      <c r="B19" s="94">
        <f t="shared" si="4"/>
        <v>19.836224687214273</v>
      </c>
      <c r="C19" s="99" t="s">
        <v>351</v>
      </c>
      <c r="D19" s="100">
        <v>305</v>
      </c>
      <c r="E19" s="101">
        <f t="shared" si="1"/>
        <v>7.3061664150047625E-2</v>
      </c>
      <c r="F19" s="101">
        <f t="shared" si="2"/>
        <v>0.95818575934488692</v>
      </c>
      <c r="G19" s="94">
        <f t="shared" si="3"/>
        <v>19.836224687214273</v>
      </c>
      <c r="H19" s="94"/>
      <c r="I19" s="94"/>
      <c r="J19" s="94"/>
      <c r="K19" s="94"/>
      <c r="L19" s="94"/>
      <c r="M19" s="94"/>
      <c r="N19" s="94"/>
      <c r="O19" s="95">
        <f t="shared" si="8"/>
        <v>35</v>
      </c>
      <c r="P19" s="97">
        <v>7.2999999999999995E-2</v>
      </c>
      <c r="Q19" s="102">
        <f t="shared" si="7"/>
        <v>2.5549999999999997</v>
      </c>
    </row>
    <row r="20" spans="1:17" ht="15" customHeight="1">
      <c r="A20" s="8" t="str">
        <f t="shared" si="6"/>
        <v>Ø305 Bend (40⁰)</v>
      </c>
      <c r="B20" s="94">
        <f t="shared" si="4"/>
        <v>22.669971071102029</v>
      </c>
      <c r="C20" s="99" t="s">
        <v>351</v>
      </c>
      <c r="D20" s="100">
        <v>305</v>
      </c>
      <c r="E20" s="101">
        <f t="shared" si="1"/>
        <v>7.3061664150047625E-2</v>
      </c>
      <c r="F20" s="101">
        <f t="shared" si="2"/>
        <v>0.95818575934488692</v>
      </c>
      <c r="G20" s="94">
        <f t="shared" si="3"/>
        <v>22.669971071102029</v>
      </c>
      <c r="H20" s="94"/>
      <c r="I20" s="94"/>
      <c r="J20" s="94"/>
      <c r="K20" s="94"/>
      <c r="L20" s="94"/>
      <c r="M20" s="94"/>
      <c r="N20" s="94"/>
      <c r="O20" s="95">
        <f t="shared" si="8"/>
        <v>40</v>
      </c>
      <c r="P20" s="97">
        <v>7.2999999999999995E-2</v>
      </c>
      <c r="Q20" s="102">
        <f t="shared" si="7"/>
        <v>2.92</v>
      </c>
    </row>
    <row r="21" spans="1:17" ht="15" customHeight="1">
      <c r="A21" s="8" t="str">
        <f t="shared" si="6"/>
        <v>Ø305 Bend (45⁰)</v>
      </c>
      <c r="B21" s="94">
        <f t="shared" si="4"/>
        <v>25.503717454989776</v>
      </c>
      <c r="C21" s="99" t="s">
        <v>351</v>
      </c>
      <c r="D21" s="100">
        <v>305</v>
      </c>
      <c r="E21" s="101">
        <f t="shared" si="1"/>
        <v>7.3061664150047625E-2</v>
      </c>
      <c r="F21" s="101">
        <f t="shared" si="2"/>
        <v>0.95818575934488692</v>
      </c>
      <c r="G21" s="94">
        <f t="shared" si="3"/>
        <v>25.503717454989776</v>
      </c>
      <c r="H21" s="94"/>
      <c r="I21" s="94"/>
      <c r="J21" s="94"/>
      <c r="K21" s="94"/>
      <c r="L21" s="94"/>
      <c r="M21" s="94"/>
      <c r="N21" s="94"/>
      <c r="O21" s="95">
        <f t="shared" si="8"/>
        <v>45</v>
      </c>
      <c r="P21" s="97">
        <v>7.2999999999999995E-2</v>
      </c>
      <c r="Q21" s="102">
        <f t="shared" si="7"/>
        <v>3.2849999999999997</v>
      </c>
    </row>
    <row r="22" spans="1:17" ht="15" customHeight="1">
      <c r="A22" s="8" t="str">
        <f t="shared" si="6"/>
        <v>Ø305 Bend (50⁰)</v>
      </c>
      <c r="B22" s="94">
        <f t="shared" si="4"/>
        <v>28.337463838877536</v>
      </c>
      <c r="C22" s="99" t="s">
        <v>351</v>
      </c>
      <c r="D22" s="100">
        <v>305</v>
      </c>
      <c r="E22" s="101">
        <f t="shared" si="1"/>
        <v>7.3061664150047625E-2</v>
      </c>
      <c r="F22" s="101">
        <f t="shared" si="2"/>
        <v>0.95818575934488692</v>
      </c>
      <c r="G22" s="94">
        <f t="shared" si="3"/>
        <v>28.337463838877536</v>
      </c>
      <c r="H22" s="94"/>
      <c r="I22" s="94"/>
      <c r="J22" s="94"/>
      <c r="K22" s="94"/>
      <c r="L22" s="94"/>
      <c r="M22" s="94"/>
      <c r="N22" s="94"/>
      <c r="O22" s="95">
        <f t="shared" si="8"/>
        <v>50</v>
      </c>
      <c r="P22" s="97">
        <v>7.2999999999999995E-2</v>
      </c>
      <c r="Q22" s="102">
        <f t="shared" si="7"/>
        <v>3.65</v>
      </c>
    </row>
    <row r="23" spans="1:17" ht="15" customHeight="1">
      <c r="A23" s="8" t="str">
        <f t="shared" si="6"/>
        <v>Ø305 Bend (55⁰)</v>
      </c>
      <c r="B23" s="94">
        <f t="shared" si="4"/>
        <v>31.171210222765286</v>
      </c>
      <c r="C23" s="99" t="s">
        <v>351</v>
      </c>
      <c r="D23" s="100">
        <v>305</v>
      </c>
      <c r="E23" s="101">
        <f t="shared" si="1"/>
        <v>7.3061664150047625E-2</v>
      </c>
      <c r="F23" s="101">
        <f t="shared" si="2"/>
        <v>0.95818575934488692</v>
      </c>
      <c r="G23" s="94">
        <f t="shared" si="3"/>
        <v>31.171210222765286</v>
      </c>
      <c r="H23" s="94"/>
      <c r="I23" s="94"/>
      <c r="J23" s="94"/>
      <c r="K23" s="94"/>
      <c r="L23" s="94"/>
      <c r="M23" s="94"/>
      <c r="N23" s="94"/>
      <c r="O23" s="95">
        <f t="shared" si="8"/>
        <v>55</v>
      </c>
      <c r="P23" s="97">
        <v>7.2999999999999995E-2</v>
      </c>
      <c r="Q23" s="102">
        <f t="shared" si="7"/>
        <v>4.0149999999999997</v>
      </c>
    </row>
    <row r="24" spans="1:17" ht="15" customHeight="1">
      <c r="A24" s="8" t="str">
        <f t="shared" si="6"/>
        <v>Ø305 Bend (60⁰)</v>
      </c>
      <c r="B24" s="94">
        <f t="shared" si="4"/>
        <v>34.004956606653039</v>
      </c>
      <c r="C24" s="99" t="s">
        <v>351</v>
      </c>
      <c r="D24" s="100">
        <v>305</v>
      </c>
      <c r="E24" s="101">
        <f t="shared" si="1"/>
        <v>7.3061664150047625E-2</v>
      </c>
      <c r="F24" s="101">
        <f t="shared" si="2"/>
        <v>0.95818575934488692</v>
      </c>
      <c r="G24" s="94">
        <f t="shared" si="3"/>
        <v>34.004956606653039</v>
      </c>
      <c r="H24" s="94"/>
      <c r="I24" s="94"/>
      <c r="J24" s="94"/>
      <c r="K24" s="94"/>
      <c r="L24" s="94"/>
      <c r="M24" s="94"/>
      <c r="N24" s="94"/>
      <c r="O24" s="95">
        <f t="shared" si="8"/>
        <v>60</v>
      </c>
      <c r="P24" s="97">
        <v>7.2999999999999995E-2</v>
      </c>
      <c r="Q24" s="102">
        <f t="shared" si="7"/>
        <v>4.38</v>
      </c>
    </row>
    <row r="25" spans="1:17" ht="15" customHeight="1">
      <c r="A25" s="8" t="str">
        <f t="shared" si="6"/>
        <v>Ø305 Bend (65⁰)</v>
      </c>
      <c r="B25" s="94">
        <f t="shared" si="4"/>
        <v>36.838702990540796</v>
      </c>
      <c r="C25" s="99" t="s">
        <v>351</v>
      </c>
      <c r="D25" s="100">
        <v>305</v>
      </c>
      <c r="E25" s="101">
        <f t="shared" si="1"/>
        <v>7.3061664150047625E-2</v>
      </c>
      <c r="F25" s="101">
        <f t="shared" si="2"/>
        <v>0.95818575934488692</v>
      </c>
      <c r="G25" s="94">
        <f t="shared" si="3"/>
        <v>36.838702990540796</v>
      </c>
      <c r="H25" s="94"/>
      <c r="I25" s="94"/>
      <c r="J25" s="94"/>
      <c r="K25" s="94"/>
      <c r="L25" s="94"/>
      <c r="M25" s="94"/>
      <c r="N25" s="94"/>
      <c r="O25" s="95">
        <f t="shared" si="8"/>
        <v>65</v>
      </c>
      <c r="P25" s="97">
        <v>7.2999999999999995E-2</v>
      </c>
      <c r="Q25" s="102">
        <f t="shared" si="7"/>
        <v>4.7450000000000001</v>
      </c>
    </row>
    <row r="26" spans="1:17" ht="15" customHeight="1">
      <c r="A26" s="8" t="str">
        <f t="shared" si="6"/>
        <v>Ø305 Bend (70⁰)</v>
      </c>
      <c r="B26" s="94">
        <f t="shared" si="4"/>
        <v>39.672449374428545</v>
      </c>
      <c r="C26" s="99" t="s">
        <v>351</v>
      </c>
      <c r="D26" s="100">
        <v>305</v>
      </c>
      <c r="E26" s="101">
        <f t="shared" si="1"/>
        <v>7.3061664150047625E-2</v>
      </c>
      <c r="F26" s="101">
        <f t="shared" si="2"/>
        <v>0.95818575934488692</v>
      </c>
      <c r="G26" s="94">
        <f t="shared" si="3"/>
        <v>39.672449374428545</v>
      </c>
      <c r="H26" s="94"/>
      <c r="I26" s="94"/>
      <c r="J26" s="94"/>
      <c r="K26" s="94"/>
      <c r="L26" s="94"/>
      <c r="M26" s="94"/>
      <c r="N26" s="94"/>
      <c r="O26" s="95">
        <f t="shared" si="8"/>
        <v>70</v>
      </c>
      <c r="P26" s="97">
        <v>7.2999999999999995E-2</v>
      </c>
      <c r="Q26" s="102">
        <f t="shared" si="7"/>
        <v>5.1099999999999994</v>
      </c>
    </row>
    <row r="27" spans="1:17" ht="15" customHeight="1">
      <c r="A27" s="8" t="str">
        <f t="shared" si="6"/>
        <v>Ø305 Bend (75⁰)</v>
      </c>
      <c r="B27" s="94">
        <f t="shared" si="4"/>
        <v>42.506195758316295</v>
      </c>
      <c r="C27" s="99" t="s">
        <v>351</v>
      </c>
      <c r="D27" s="100">
        <v>305</v>
      </c>
      <c r="E27" s="101">
        <f t="shared" si="1"/>
        <v>7.3061664150047625E-2</v>
      </c>
      <c r="F27" s="101">
        <f t="shared" si="2"/>
        <v>0.95818575934488692</v>
      </c>
      <c r="G27" s="94">
        <f t="shared" si="3"/>
        <v>42.506195758316295</v>
      </c>
      <c r="H27" s="94"/>
      <c r="I27" s="94"/>
      <c r="J27" s="94"/>
      <c r="K27" s="94"/>
      <c r="L27" s="94"/>
      <c r="M27" s="94"/>
      <c r="N27" s="94"/>
      <c r="O27" s="95">
        <f t="shared" si="8"/>
        <v>75</v>
      </c>
      <c r="P27" s="97">
        <v>7.2999999999999995E-2</v>
      </c>
      <c r="Q27" s="102">
        <f t="shared" si="7"/>
        <v>5.4749999999999996</v>
      </c>
    </row>
    <row r="28" spans="1:17" ht="15" customHeight="1">
      <c r="A28" s="8" t="str">
        <f t="shared" si="6"/>
        <v>Ø305 Bend (80⁰)</v>
      </c>
      <c r="B28" s="94">
        <f t="shared" si="4"/>
        <v>45.339942142204059</v>
      </c>
      <c r="C28" s="99" t="s">
        <v>351</v>
      </c>
      <c r="D28" s="100">
        <v>305</v>
      </c>
      <c r="E28" s="101">
        <f t="shared" si="1"/>
        <v>7.3061664150047625E-2</v>
      </c>
      <c r="F28" s="101">
        <f t="shared" si="2"/>
        <v>0.95818575934488692</v>
      </c>
      <c r="G28" s="94">
        <f t="shared" si="3"/>
        <v>45.339942142204059</v>
      </c>
      <c r="H28" s="94"/>
      <c r="I28" s="94"/>
      <c r="J28" s="94"/>
      <c r="K28" s="94"/>
      <c r="L28" s="94"/>
      <c r="M28" s="94"/>
      <c r="N28" s="94"/>
      <c r="O28" s="95">
        <f t="shared" si="8"/>
        <v>80</v>
      </c>
      <c r="P28" s="97">
        <v>7.2999999999999995E-2</v>
      </c>
      <c r="Q28" s="102">
        <f t="shared" si="7"/>
        <v>5.84</v>
      </c>
    </row>
    <row r="29" spans="1:17" ht="15" customHeight="1">
      <c r="A29" s="8" t="str">
        <f t="shared" si="6"/>
        <v>Ø305 Bend (85⁰)</v>
      </c>
      <c r="B29" s="94">
        <f t="shared" si="4"/>
        <v>48.173688526091802</v>
      </c>
      <c r="C29" s="99" t="s">
        <v>351</v>
      </c>
      <c r="D29" s="100">
        <v>305</v>
      </c>
      <c r="E29" s="101">
        <f t="shared" si="1"/>
        <v>7.3061664150047625E-2</v>
      </c>
      <c r="F29" s="101">
        <f t="shared" si="2"/>
        <v>0.95818575934488692</v>
      </c>
      <c r="G29" s="94">
        <f t="shared" si="3"/>
        <v>48.173688526091802</v>
      </c>
      <c r="H29" s="94"/>
      <c r="I29" s="94"/>
      <c r="J29" s="94"/>
      <c r="K29" s="94"/>
      <c r="L29" s="94"/>
      <c r="M29" s="94"/>
      <c r="N29" s="94"/>
      <c r="O29" s="95">
        <f t="shared" si="8"/>
        <v>85</v>
      </c>
      <c r="P29" s="97">
        <v>7.2999999999999995E-2</v>
      </c>
      <c r="Q29" s="102">
        <f t="shared" si="7"/>
        <v>6.2049999999999992</v>
      </c>
    </row>
    <row r="30" spans="1:17" ht="15" customHeight="1">
      <c r="A30" s="8" t="str">
        <f t="shared" si="6"/>
        <v>Ø305 Bend (90⁰)</v>
      </c>
      <c r="B30" s="94">
        <f t="shared" si="4"/>
        <v>51.007434909979551</v>
      </c>
      <c r="C30" s="99" t="s">
        <v>351</v>
      </c>
      <c r="D30" s="100">
        <v>305</v>
      </c>
      <c r="E30" s="101">
        <f t="shared" si="1"/>
        <v>7.3061664150047625E-2</v>
      </c>
      <c r="F30" s="101">
        <f t="shared" si="2"/>
        <v>0.95818575934488692</v>
      </c>
      <c r="G30" s="94">
        <f t="shared" si="3"/>
        <v>51.007434909979551</v>
      </c>
      <c r="H30" s="94"/>
      <c r="I30" s="94"/>
      <c r="J30" s="94"/>
      <c r="K30" s="94"/>
      <c r="L30" s="94"/>
      <c r="M30" s="94"/>
      <c r="N30" s="94"/>
      <c r="O30" s="95">
        <f t="shared" si="8"/>
        <v>90</v>
      </c>
      <c r="P30" s="97">
        <v>7.2999999999999995E-2</v>
      </c>
      <c r="Q30" s="102">
        <f t="shared" si="7"/>
        <v>6.5699999999999994</v>
      </c>
    </row>
    <row r="31" spans="1:17" ht="15" customHeight="1">
      <c r="A31" s="8" t="str">
        <f>"Ø"&amp;D31&amp;" "&amp;C31</f>
        <v>Ø305 T-Piece</v>
      </c>
      <c r="B31" s="94">
        <f t="shared" si="4"/>
        <v>1.5527377445960293</v>
      </c>
      <c r="C31" s="99" t="s">
        <v>352</v>
      </c>
      <c r="D31" s="100">
        <v>305</v>
      </c>
      <c r="E31" s="101">
        <f t="shared" si="1"/>
        <v>7.3061664150047625E-2</v>
      </c>
      <c r="F31" s="101">
        <f t="shared" si="2"/>
        <v>0.95818575934488692</v>
      </c>
      <c r="G31" s="94">
        <f t="shared" si="3"/>
        <v>1.5527377445960293</v>
      </c>
      <c r="H31" s="94"/>
      <c r="I31" s="94"/>
      <c r="J31" s="94"/>
      <c r="K31" s="94"/>
      <c r="L31" s="94"/>
      <c r="M31" s="94"/>
      <c r="N31" s="94"/>
      <c r="O31" s="95"/>
      <c r="P31" s="97">
        <v>0.2</v>
      </c>
      <c r="Q31" s="102">
        <f>+P31</f>
        <v>0.2</v>
      </c>
    </row>
    <row r="32" spans="1:17" ht="15" customHeight="1">
      <c r="A32" s="8" t="str">
        <f>"Ø"&amp;D32&amp;" "&amp;C32</f>
        <v>Ø305 Y-Piece</v>
      </c>
      <c r="B32" s="94">
        <f t="shared" si="4"/>
        <v>-4.1380460893484186</v>
      </c>
      <c r="C32" s="99" t="s">
        <v>353</v>
      </c>
      <c r="D32" s="100">
        <v>305</v>
      </c>
      <c r="E32" s="101">
        <f t="shared" si="1"/>
        <v>7.3061664150047625E-2</v>
      </c>
      <c r="F32" s="101">
        <f t="shared" si="2"/>
        <v>0.95818575934488692</v>
      </c>
      <c r="G32" s="94">
        <f t="shared" si="3"/>
        <v>-4.1380460893484186</v>
      </c>
      <c r="H32" s="94"/>
      <c r="I32" s="94"/>
      <c r="J32" s="94"/>
      <c r="K32" s="94"/>
      <c r="L32" s="94"/>
      <c r="M32" s="94"/>
      <c r="N32" s="94"/>
      <c r="O32" s="95"/>
      <c r="P32" s="97">
        <v>-0.53300000000000003</v>
      </c>
      <c r="Q32" s="102">
        <f>+P32</f>
        <v>-0.53300000000000003</v>
      </c>
    </row>
    <row r="33" spans="1:17" ht="15" customHeight="1">
      <c r="A33" s="8" t="str">
        <f>"Ø"&amp;D33&amp;" "&amp;C33</f>
        <v>Ø305 Screen</v>
      </c>
      <c r="B33" s="94">
        <f t="shared" si="4"/>
        <v>4.3709567510378227</v>
      </c>
      <c r="C33" s="99" t="s">
        <v>354</v>
      </c>
      <c r="D33" s="100">
        <v>305</v>
      </c>
      <c r="E33" s="101">
        <f t="shared" si="1"/>
        <v>7.3061664150047625E-2</v>
      </c>
      <c r="F33" s="101">
        <f t="shared" si="2"/>
        <v>0.95818575934488692</v>
      </c>
      <c r="G33" s="94">
        <f t="shared" si="3"/>
        <v>4.3709567510378227</v>
      </c>
      <c r="H33" s="94"/>
      <c r="I33" s="94"/>
      <c r="J33" s="94"/>
      <c r="K33" s="94"/>
      <c r="L33" s="94"/>
      <c r="M33" s="94"/>
      <c r="N33" s="94"/>
      <c r="O33" s="95"/>
      <c r="P33" s="97">
        <v>0.56300000000000006</v>
      </c>
      <c r="Q33" s="102">
        <f>+P33</f>
        <v>0.56300000000000006</v>
      </c>
    </row>
    <row r="34" spans="1:17">
      <c r="A34" s="8" t="str">
        <f>"Ø"&amp;D34&amp;" "&amp;C34</f>
        <v>Ø305 Flat Nose Cone</v>
      </c>
      <c r="B34" s="94">
        <f t="shared" si="4"/>
        <v>1.5139193009811285</v>
      </c>
      <c r="C34" s="99" t="s">
        <v>355</v>
      </c>
      <c r="D34" s="100">
        <v>305</v>
      </c>
      <c r="E34" s="101">
        <f t="shared" si="1"/>
        <v>7.3061664150047625E-2</v>
      </c>
      <c r="F34" s="101">
        <f t="shared" si="2"/>
        <v>0.95818575934488692</v>
      </c>
      <c r="G34" s="94">
        <f t="shared" si="3"/>
        <v>1.5139193009811285</v>
      </c>
      <c r="H34" s="94"/>
      <c r="I34" s="94"/>
      <c r="J34" s="94"/>
      <c r="K34" s="94"/>
      <c r="L34" s="94"/>
      <c r="M34" s="94"/>
      <c r="N34" s="94"/>
      <c r="O34" s="95"/>
      <c r="P34" s="97">
        <v>0.19500000000000001</v>
      </c>
      <c r="Q34" s="102">
        <f>+P34</f>
        <v>0.19500000000000001</v>
      </c>
    </row>
    <row r="35" spans="1:17">
      <c r="A35" s="8" t="str">
        <f>"Ø"&amp;D35&amp;" "&amp;C35</f>
        <v>Ø305 Sharp Nose Cone</v>
      </c>
      <c r="B35" s="94">
        <f t="shared" si="4"/>
        <v>0</v>
      </c>
      <c r="C35" s="99" t="s">
        <v>356</v>
      </c>
      <c r="D35" s="100">
        <v>305</v>
      </c>
      <c r="E35" s="101">
        <f t="shared" si="1"/>
        <v>7.3061664150047625E-2</v>
      </c>
      <c r="F35" s="101">
        <f t="shared" si="2"/>
        <v>0.95818575934488692</v>
      </c>
      <c r="G35" s="94">
        <f t="shared" si="3"/>
        <v>0</v>
      </c>
      <c r="H35" s="94"/>
      <c r="I35" s="94"/>
      <c r="J35" s="94"/>
      <c r="K35" s="94"/>
      <c r="L35" s="94"/>
      <c r="M35" s="94"/>
      <c r="N35" s="94"/>
      <c r="O35" s="95"/>
      <c r="P35" s="97">
        <v>0</v>
      </c>
      <c r="Q35" s="102">
        <f>+P35</f>
        <v>0</v>
      </c>
    </row>
    <row r="36" spans="1:17">
      <c r="A36" s="106" t="str">
        <f>IF(D36&lt;H36,"Ø"&amp;D36&amp;" to Ø"&amp;H36&amp;" Evaseé","Ø"&amp;H36&amp;" to Ø"&amp;D36&amp;" Reducer")</f>
        <v>Ø305 to Ø380 Evaseé</v>
      </c>
      <c r="B36" s="111">
        <f>+N36</f>
        <v>-68.339192999999995</v>
      </c>
      <c r="C36" s="110"/>
      <c r="D36" s="105">
        <v>305</v>
      </c>
      <c r="E36" s="103">
        <f t="shared" si="1"/>
        <v>7.3061664150047625E-2</v>
      </c>
      <c r="F36" s="103">
        <f t="shared" ref="F36:F47" si="9">PI()*(H36/1000)</f>
        <v>1.1938052083641213</v>
      </c>
      <c r="G36" s="107">
        <f t="shared" ref="G36:G47" si="10">(($S$4*F36*$R$4)/(E36^3))</f>
        <v>9.6727925073195262</v>
      </c>
      <c r="H36" s="105">
        <v>380</v>
      </c>
      <c r="I36" s="103">
        <f t="shared" ref="I36:I47" si="11">PI()*((H36/1000)^2)/4</f>
        <v>0.11341149479459153</v>
      </c>
      <c r="J36" s="103">
        <f t="shared" ref="J36:J47" si="12">PI()*(H36/1000)</f>
        <v>1.1938052083641213</v>
      </c>
      <c r="K36" s="108">
        <f t="shared" ref="K36:K47" si="13">(($S$4*J36*$R$4)/(I36^3))</f>
        <v>2.5861239014254869</v>
      </c>
      <c r="L36" s="107">
        <f t="shared" ref="L36:L47" si="14">IF(D36&lt;H36,-K36,K36)</f>
        <v>-2.5861239014254869</v>
      </c>
      <c r="M36" s="107">
        <f t="shared" ref="M36:M47" si="15">(((1/$I36)^2)*1.2/2-((1/$E36)^2)*1.2/2)/(1^2)</f>
        <v>-65.753068574395229</v>
      </c>
      <c r="N36" s="107">
        <f t="shared" ref="N36:N47" si="16">ROUNDUP((M36+L36),6)</f>
        <v>-68.339192999999995</v>
      </c>
    </row>
    <row r="37" spans="1:17">
      <c r="A37" s="106" t="str">
        <f>IF(D37&lt;H37,"Ø"&amp;D37&amp;" to Ø"&amp;H37&amp;" Evaseé","Ø"&amp;H37&amp;" to Ø"&amp;D37&amp;" Reducer")</f>
        <v>Ø305 to Ø405 Evaseé</v>
      </c>
      <c r="B37" s="111">
        <f t="shared" ref="B37:B47" si="17">+N37</f>
        <v>-78.128501</v>
      </c>
      <c r="C37" s="110"/>
      <c r="D37" s="105">
        <v>305</v>
      </c>
      <c r="E37" s="103">
        <f t="shared" si="1"/>
        <v>7.3061664150047625E-2</v>
      </c>
      <c r="F37" s="103">
        <f t="shared" si="9"/>
        <v>1.2723450247038663</v>
      </c>
      <c r="G37" s="107">
        <f t="shared" si="10"/>
        <v>10.309160435432654</v>
      </c>
      <c r="H37" s="105">
        <v>405</v>
      </c>
      <c r="I37" s="103">
        <f t="shared" si="11"/>
        <v>0.12882493375126647</v>
      </c>
      <c r="J37" s="103">
        <f t="shared" si="12"/>
        <v>1.2723450247038663</v>
      </c>
      <c r="K37" s="108">
        <f t="shared" si="13"/>
        <v>1.8805816544504048</v>
      </c>
      <c r="L37" s="107">
        <f t="shared" si="14"/>
        <v>-1.8805816544504048</v>
      </c>
      <c r="M37" s="107">
        <f t="shared" si="15"/>
        <v>-76.247918850784686</v>
      </c>
      <c r="N37" s="107">
        <f t="shared" si="16"/>
        <v>-78.128501</v>
      </c>
    </row>
    <row r="38" spans="1:17">
      <c r="A38" s="106" t="str">
        <f t="shared" ref="A38:A47" si="18">IF(D38&lt;H38,"Ø"&amp;D38&amp;" to Ø"&amp;H38&amp;" Evaseé","Ø"&amp;D38&amp;" to Ø"&amp;H38&amp;" Reducer")</f>
        <v>Ø305 to Ø570 Evaseé</v>
      </c>
      <c r="B38" s="111">
        <f t="shared" si="17"/>
        <v>-103.52755999999999</v>
      </c>
      <c r="C38" s="110"/>
      <c r="D38" s="105">
        <v>305</v>
      </c>
      <c r="E38" s="103">
        <f t="shared" si="1"/>
        <v>7.3061664150047625E-2</v>
      </c>
      <c r="F38" s="103">
        <f t="shared" si="9"/>
        <v>1.7907078125461819</v>
      </c>
      <c r="G38" s="107">
        <f t="shared" si="10"/>
        <v>14.509188760979288</v>
      </c>
      <c r="H38" s="105">
        <v>570</v>
      </c>
      <c r="I38" s="103">
        <f t="shared" si="11"/>
        <v>0.25517586328783093</v>
      </c>
      <c r="J38" s="103">
        <f t="shared" si="12"/>
        <v>1.7907078125461819</v>
      </c>
      <c r="K38" s="108">
        <f t="shared" si="13"/>
        <v>0.34055952611364448</v>
      </c>
      <c r="L38" s="107">
        <f t="shared" si="14"/>
        <v>-0.34055952611364448</v>
      </c>
      <c r="M38" s="107">
        <f t="shared" si="15"/>
        <v>-103.18699987140035</v>
      </c>
      <c r="N38" s="107">
        <f t="shared" si="16"/>
        <v>-103.52755999999999</v>
      </c>
    </row>
    <row r="39" spans="1:17">
      <c r="A39" s="106" t="str">
        <f t="shared" si="18"/>
        <v>Ø305 to Ø760 Evaseé</v>
      </c>
      <c r="B39" s="111">
        <f t="shared" si="17"/>
        <v>-109.566796</v>
      </c>
      <c r="C39" s="110"/>
      <c r="D39" s="105">
        <v>305</v>
      </c>
      <c r="E39" s="103">
        <f t="shared" si="1"/>
        <v>7.3061664150047625E-2</v>
      </c>
      <c r="F39" s="103">
        <f t="shared" si="9"/>
        <v>2.3876104167282426</v>
      </c>
      <c r="G39" s="107">
        <f t="shared" si="10"/>
        <v>19.345585014639052</v>
      </c>
      <c r="H39" s="105">
        <v>760</v>
      </c>
      <c r="I39" s="103">
        <f t="shared" si="11"/>
        <v>0.45364597917836613</v>
      </c>
      <c r="J39" s="103">
        <f t="shared" si="12"/>
        <v>2.3876104167282426</v>
      </c>
      <c r="K39" s="108">
        <f t="shared" si="13"/>
        <v>8.0816371919546465E-2</v>
      </c>
      <c r="L39" s="107">
        <f t="shared" si="14"/>
        <v>-8.0816371919546465E-2</v>
      </c>
      <c r="M39" s="107">
        <f t="shared" si="15"/>
        <v>-109.48597869541564</v>
      </c>
      <c r="N39" s="107">
        <f t="shared" si="16"/>
        <v>-109.566796</v>
      </c>
    </row>
    <row r="40" spans="1:17">
      <c r="A40" s="106" t="str">
        <f t="shared" si="18"/>
        <v>Ø305 to Ø1015 Evaseé</v>
      </c>
      <c r="B40" s="111">
        <f t="shared" si="17"/>
        <v>-111.504081</v>
      </c>
      <c r="C40" s="110"/>
      <c r="D40" s="105">
        <v>305</v>
      </c>
      <c r="E40" s="103">
        <f t="shared" si="1"/>
        <v>7.3061664150047625E-2</v>
      </c>
      <c r="F40" s="103">
        <f t="shared" si="9"/>
        <v>3.1887165433936397</v>
      </c>
      <c r="G40" s="107">
        <f t="shared" si="10"/>
        <v>25.836537881392942</v>
      </c>
      <c r="H40" s="105">
        <v>1015</v>
      </c>
      <c r="I40" s="103">
        <f t="shared" si="11"/>
        <v>0.80913682288613598</v>
      </c>
      <c r="J40" s="103">
        <f t="shared" si="12"/>
        <v>3.1887165433936397</v>
      </c>
      <c r="K40" s="108">
        <f t="shared" si="13"/>
        <v>1.902116443383645E-2</v>
      </c>
      <c r="L40" s="107">
        <f t="shared" si="14"/>
        <v>-1.902116443383645E-2</v>
      </c>
      <c r="M40" s="107">
        <f t="shared" si="15"/>
        <v>-111.48505911116776</v>
      </c>
      <c r="N40" s="107">
        <f t="shared" si="16"/>
        <v>-111.504081</v>
      </c>
    </row>
    <row r="41" spans="1:17" ht="14.25" customHeight="1">
      <c r="A41" s="106" t="str">
        <f t="shared" si="18"/>
        <v>Ø305 to Ø1220 Evaseé</v>
      </c>
      <c r="B41" s="111">
        <f t="shared" si="17"/>
        <v>-111.97001999999999</v>
      </c>
      <c r="C41" s="110"/>
      <c r="D41" s="105">
        <v>305</v>
      </c>
      <c r="E41" s="103">
        <f t="shared" si="1"/>
        <v>7.3061664150047625E-2</v>
      </c>
      <c r="F41" s="103">
        <f t="shared" si="9"/>
        <v>3.8327430373795477</v>
      </c>
      <c r="G41" s="107">
        <f t="shared" si="10"/>
        <v>31.054754891920584</v>
      </c>
      <c r="H41" s="105">
        <v>1220</v>
      </c>
      <c r="I41" s="103">
        <f t="shared" si="11"/>
        <v>1.168986626400762</v>
      </c>
      <c r="J41" s="103">
        <f t="shared" si="12"/>
        <v>3.8327430373795477</v>
      </c>
      <c r="K41" s="108">
        <f t="shared" si="13"/>
        <v>7.5817272685352989E-3</v>
      </c>
      <c r="L41" s="107">
        <f t="shared" si="14"/>
        <v>-7.5817272685352989E-3</v>
      </c>
      <c r="M41" s="107">
        <f t="shared" si="15"/>
        <v>-111.96243765386068</v>
      </c>
      <c r="N41" s="107">
        <f t="shared" si="16"/>
        <v>-111.97001999999999</v>
      </c>
    </row>
    <row r="42" spans="1:17">
      <c r="A42" s="106" t="str">
        <f t="shared" si="18"/>
        <v>Ø380 to Ø305 Reducer</v>
      </c>
      <c r="B42" s="111">
        <f t="shared" si="17"/>
        <v>73.516757999999996</v>
      </c>
      <c r="C42" s="110"/>
      <c r="D42" s="105">
        <v>380</v>
      </c>
      <c r="E42" s="103">
        <f t="shared" si="1"/>
        <v>0.11341149479459153</v>
      </c>
      <c r="F42" s="103">
        <f t="shared" si="9"/>
        <v>0.95818575934488692</v>
      </c>
      <c r="G42" s="107">
        <f t="shared" si="10"/>
        <v>2.0757047103546675</v>
      </c>
      <c r="H42" s="105">
        <v>305</v>
      </c>
      <c r="I42" s="103">
        <f t="shared" si="11"/>
        <v>7.3061664150047625E-2</v>
      </c>
      <c r="J42" s="103">
        <f t="shared" si="12"/>
        <v>0.95818575934488692</v>
      </c>
      <c r="K42" s="108">
        <f t="shared" si="13"/>
        <v>7.7636887229801461</v>
      </c>
      <c r="L42" s="107">
        <f t="shared" si="14"/>
        <v>7.7636887229801461</v>
      </c>
      <c r="M42" s="107">
        <f t="shared" si="15"/>
        <v>65.753068574395229</v>
      </c>
      <c r="N42" s="107">
        <f t="shared" si="16"/>
        <v>73.516757999999996</v>
      </c>
    </row>
    <row r="43" spans="1:17">
      <c r="A43" s="106" t="str">
        <f t="shared" si="18"/>
        <v>Ø380 to Ø405 Evaseé</v>
      </c>
      <c r="B43" s="111">
        <f t="shared" si="17"/>
        <v>-12.375432</v>
      </c>
      <c r="C43" s="110"/>
      <c r="D43" s="105">
        <v>380</v>
      </c>
      <c r="E43" s="103">
        <f t="shared" si="1"/>
        <v>0.11341149479459153</v>
      </c>
      <c r="F43" s="103">
        <f t="shared" si="9"/>
        <v>1.2723450247038663</v>
      </c>
      <c r="G43" s="107">
        <f t="shared" si="10"/>
        <v>2.7562636317824274</v>
      </c>
      <c r="H43" s="105">
        <v>405</v>
      </c>
      <c r="I43" s="103">
        <f t="shared" si="11"/>
        <v>0.12882493375126647</v>
      </c>
      <c r="J43" s="103">
        <f t="shared" si="12"/>
        <v>1.2723450247038663</v>
      </c>
      <c r="K43" s="108">
        <f t="shared" si="13"/>
        <v>1.8805816544504048</v>
      </c>
      <c r="L43" s="107">
        <f t="shared" si="14"/>
        <v>-1.8805816544504048</v>
      </c>
      <c r="M43" s="107">
        <f t="shared" si="15"/>
        <v>-10.49485027638945</v>
      </c>
      <c r="N43" s="107">
        <f t="shared" si="16"/>
        <v>-12.375432</v>
      </c>
    </row>
    <row r="44" spans="1:17">
      <c r="A44" s="106" t="str">
        <f t="shared" si="18"/>
        <v>Ø380 to Ø570 Evaseé</v>
      </c>
      <c r="B44" s="111">
        <f t="shared" si="17"/>
        <v>-37.774490999999998</v>
      </c>
      <c r="C44" s="110"/>
      <c r="D44" s="105">
        <v>380</v>
      </c>
      <c r="E44" s="103">
        <f t="shared" si="1"/>
        <v>0.11341149479459153</v>
      </c>
      <c r="F44" s="103">
        <f t="shared" si="9"/>
        <v>1.7907078125461819</v>
      </c>
      <c r="G44" s="107">
        <f t="shared" si="10"/>
        <v>3.8791858521382308</v>
      </c>
      <c r="H44" s="105">
        <v>570</v>
      </c>
      <c r="I44" s="103">
        <f t="shared" si="11"/>
        <v>0.25517586328783093</v>
      </c>
      <c r="J44" s="103">
        <f t="shared" si="12"/>
        <v>1.7907078125461819</v>
      </c>
      <c r="K44" s="108">
        <f t="shared" si="13"/>
        <v>0.34055952611364448</v>
      </c>
      <c r="L44" s="107">
        <f t="shared" si="14"/>
        <v>-0.34055952611364448</v>
      </c>
      <c r="M44" s="107">
        <f t="shared" si="15"/>
        <v>-37.433931297005117</v>
      </c>
      <c r="N44" s="107">
        <f t="shared" si="16"/>
        <v>-37.774490999999998</v>
      </c>
    </row>
    <row r="45" spans="1:17">
      <c r="A45" s="106" t="str">
        <f t="shared" si="18"/>
        <v>Ø380 to Ø760 Evaseé</v>
      </c>
      <c r="B45" s="111">
        <f t="shared" si="17"/>
        <v>-43.813727</v>
      </c>
      <c r="C45" s="110"/>
      <c r="D45" s="105">
        <v>380</v>
      </c>
      <c r="E45" s="103">
        <f t="shared" si="1"/>
        <v>0.11341149479459153</v>
      </c>
      <c r="F45" s="103">
        <f t="shared" si="9"/>
        <v>2.3876104167282426</v>
      </c>
      <c r="G45" s="107">
        <f t="shared" si="10"/>
        <v>5.1722478028509737</v>
      </c>
      <c r="H45" s="105">
        <v>760</v>
      </c>
      <c r="I45" s="103">
        <f t="shared" si="11"/>
        <v>0.45364597917836613</v>
      </c>
      <c r="J45" s="103">
        <f t="shared" si="12"/>
        <v>2.3876104167282426</v>
      </c>
      <c r="K45" s="108">
        <f t="shared" si="13"/>
        <v>8.0816371919546465E-2</v>
      </c>
      <c r="L45" s="107">
        <f t="shared" si="14"/>
        <v>-8.0816371919546465E-2</v>
      </c>
      <c r="M45" s="107">
        <f t="shared" si="15"/>
        <v>-43.732910121020403</v>
      </c>
      <c r="N45" s="107">
        <f t="shared" si="16"/>
        <v>-43.813727</v>
      </c>
    </row>
    <row r="46" spans="1:17">
      <c r="A46" s="106" t="str">
        <f t="shared" si="18"/>
        <v>Ø380 to Ø1015 Evaseé</v>
      </c>
      <c r="B46" s="111">
        <f t="shared" si="17"/>
        <v>-45.751011999999996</v>
      </c>
      <c r="C46" s="110"/>
      <c r="D46" s="105">
        <v>380</v>
      </c>
      <c r="E46" s="103">
        <f t="shared" si="1"/>
        <v>0.11341149479459153</v>
      </c>
      <c r="F46" s="103">
        <f t="shared" si="9"/>
        <v>3.1887165433936397</v>
      </c>
      <c r="G46" s="107">
        <f t="shared" si="10"/>
        <v>6.9076730524917611</v>
      </c>
      <c r="H46" s="105">
        <v>1015</v>
      </c>
      <c r="I46" s="103">
        <f t="shared" si="11"/>
        <v>0.80913682288613598</v>
      </c>
      <c r="J46" s="103">
        <f t="shared" si="12"/>
        <v>3.1887165433936397</v>
      </c>
      <c r="K46" s="108">
        <f t="shared" si="13"/>
        <v>1.902116443383645E-2</v>
      </c>
      <c r="L46" s="107">
        <f t="shared" si="14"/>
        <v>-1.902116443383645E-2</v>
      </c>
      <c r="M46" s="107">
        <f t="shared" si="15"/>
        <v>-45.731990536772521</v>
      </c>
      <c r="N46" s="107">
        <f t="shared" si="16"/>
        <v>-45.751011999999996</v>
      </c>
    </row>
    <row r="47" spans="1:17">
      <c r="A47" s="106" t="str">
        <f t="shared" si="18"/>
        <v>Ø380 to Ø1220 Evaseé</v>
      </c>
      <c r="B47" s="111">
        <f t="shared" si="17"/>
        <v>-46.216950999999995</v>
      </c>
      <c r="C47" s="110"/>
      <c r="D47" s="105">
        <v>380</v>
      </c>
      <c r="E47" s="103">
        <f t="shared" si="1"/>
        <v>0.11341149479459153</v>
      </c>
      <c r="F47" s="103">
        <f t="shared" si="9"/>
        <v>3.8327430373795477</v>
      </c>
      <c r="G47" s="107">
        <f t="shared" si="10"/>
        <v>8.3028188414186701</v>
      </c>
      <c r="H47" s="105">
        <v>1220</v>
      </c>
      <c r="I47" s="103">
        <f t="shared" si="11"/>
        <v>1.168986626400762</v>
      </c>
      <c r="J47" s="103">
        <f t="shared" si="12"/>
        <v>3.8327430373795477</v>
      </c>
      <c r="K47" s="108">
        <f t="shared" si="13"/>
        <v>7.5817272685352989E-3</v>
      </c>
      <c r="L47" s="107">
        <f t="shared" si="14"/>
        <v>-7.5817272685352989E-3</v>
      </c>
      <c r="M47" s="107">
        <f t="shared" si="15"/>
        <v>-46.209369079465446</v>
      </c>
      <c r="N47" s="107">
        <f t="shared" si="16"/>
        <v>-46.216950999999995</v>
      </c>
    </row>
    <row r="48" spans="1:17">
      <c r="A48" s="8" t="str">
        <f t="shared" ref="A48:A55" si="19">"Ø"&amp;D48&amp;" "&amp;C48&amp;" ("&amp;TEXT(Q48,"0.0")&amp;"m lengths)"</f>
        <v>Ø405 Straight Duct (0.5m lengths)</v>
      </c>
      <c r="B48" s="94">
        <f>+G48</f>
        <v>0.94029082722520219</v>
      </c>
      <c r="C48" s="94" t="s">
        <v>277</v>
      </c>
      <c r="D48" s="105">
        <v>405</v>
      </c>
      <c r="E48" s="101">
        <f t="shared" si="1"/>
        <v>0.12882493375126647</v>
      </c>
      <c r="F48" s="101">
        <f t="shared" ref="F48:F78" si="20">PI()*D48/1000</f>
        <v>1.2723450247038661</v>
      </c>
      <c r="G48" s="94">
        <f t="shared" ref="G48:G78" si="21">$S$4*F48*Q48/(E48^3)</f>
        <v>0.94029082722520219</v>
      </c>
      <c r="H48" s="94"/>
      <c r="I48" s="94"/>
      <c r="J48" s="94"/>
      <c r="K48" s="94"/>
      <c r="L48" s="94"/>
      <c r="M48" s="94"/>
      <c r="N48" s="94"/>
      <c r="O48" s="94"/>
      <c r="P48" s="96"/>
      <c r="Q48" s="102">
        <v>0.5</v>
      </c>
    </row>
    <row r="49" spans="1:17">
      <c r="A49" s="8" t="str">
        <f t="shared" si="19"/>
        <v>Ø405 Straight Duct (1.0m lengths)</v>
      </c>
      <c r="B49" s="94">
        <f t="shared" ref="B49:B78" si="22">+G49</f>
        <v>1.8805816544504044</v>
      </c>
      <c r="C49" s="94" t="s">
        <v>277</v>
      </c>
      <c r="D49" s="105">
        <v>405</v>
      </c>
      <c r="E49" s="101">
        <f t="shared" si="1"/>
        <v>0.12882493375126647</v>
      </c>
      <c r="F49" s="101">
        <f t="shared" si="20"/>
        <v>1.2723450247038661</v>
      </c>
      <c r="G49" s="94">
        <f t="shared" si="21"/>
        <v>1.8805816544504044</v>
      </c>
      <c r="H49" s="94"/>
      <c r="I49" s="94"/>
      <c r="J49" s="94"/>
      <c r="K49" s="94"/>
      <c r="L49" s="94"/>
      <c r="M49" s="94"/>
      <c r="N49" s="94"/>
      <c r="O49" s="94"/>
      <c r="P49" s="96"/>
      <c r="Q49" s="102">
        <f t="shared" ref="Q49:Q55" si="23">+Q48+0.5</f>
        <v>1</v>
      </c>
    </row>
    <row r="50" spans="1:17">
      <c r="A50" s="8" t="str">
        <f t="shared" si="19"/>
        <v>Ø405 Straight Duct (1.5m lengths)</v>
      </c>
      <c r="B50" s="94">
        <f t="shared" si="22"/>
        <v>2.8208724816756066</v>
      </c>
      <c r="C50" s="94" t="s">
        <v>277</v>
      </c>
      <c r="D50" s="105">
        <v>405</v>
      </c>
      <c r="E50" s="101">
        <f t="shared" si="1"/>
        <v>0.12882493375126647</v>
      </c>
      <c r="F50" s="101">
        <f t="shared" si="20"/>
        <v>1.2723450247038661</v>
      </c>
      <c r="G50" s="94">
        <f t="shared" si="21"/>
        <v>2.8208724816756066</v>
      </c>
      <c r="H50" s="94"/>
      <c r="I50" s="94"/>
      <c r="J50" s="94"/>
      <c r="K50" s="94"/>
      <c r="L50" s="94"/>
      <c r="M50" s="94"/>
      <c r="N50" s="94"/>
      <c r="O50" s="94"/>
      <c r="P50" s="96"/>
      <c r="Q50" s="102">
        <f t="shared" si="23"/>
        <v>1.5</v>
      </c>
    </row>
    <row r="51" spans="1:17">
      <c r="A51" s="8" t="str">
        <f t="shared" si="19"/>
        <v>Ø405 Straight Duct (2.0m lengths)</v>
      </c>
      <c r="B51" s="94">
        <f t="shared" si="22"/>
        <v>3.7611633089008087</v>
      </c>
      <c r="C51" s="94" t="s">
        <v>277</v>
      </c>
      <c r="D51" s="105">
        <v>405</v>
      </c>
      <c r="E51" s="101">
        <f t="shared" si="1"/>
        <v>0.12882493375126647</v>
      </c>
      <c r="F51" s="101">
        <f t="shared" si="20"/>
        <v>1.2723450247038661</v>
      </c>
      <c r="G51" s="94">
        <f t="shared" si="21"/>
        <v>3.7611633089008087</v>
      </c>
      <c r="H51" s="94"/>
      <c r="I51" s="94"/>
      <c r="J51" s="94"/>
      <c r="K51" s="94"/>
      <c r="L51" s="94"/>
      <c r="M51" s="94"/>
      <c r="N51" s="94"/>
      <c r="O51" s="94"/>
      <c r="P51" s="96"/>
      <c r="Q51" s="102">
        <f t="shared" si="23"/>
        <v>2</v>
      </c>
    </row>
    <row r="52" spans="1:17" ht="15" customHeight="1">
      <c r="A52" s="8" t="str">
        <f t="shared" si="19"/>
        <v>Ø405 Straight Duct (2.5m lengths)</v>
      </c>
      <c r="B52" s="94">
        <f t="shared" si="22"/>
        <v>4.7014541361260118</v>
      </c>
      <c r="C52" s="94" t="s">
        <v>277</v>
      </c>
      <c r="D52" s="105">
        <v>405</v>
      </c>
      <c r="E52" s="101">
        <f t="shared" si="1"/>
        <v>0.12882493375126647</v>
      </c>
      <c r="F52" s="101">
        <f t="shared" si="20"/>
        <v>1.2723450247038661</v>
      </c>
      <c r="G52" s="94">
        <f t="shared" si="21"/>
        <v>4.7014541361260118</v>
      </c>
      <c r="H52" s="94"/>
      <c r="I52" s="94"/>
      <c r="J52" s="94"/>
      <c r="K52" s="94"/>
      <c r="L52" s="94"/>
      <c r="M52" s="94"/>
      <c r="N52" s="94"/>
      <c r="O52" s="94"/>
      <c r="P52" s="96"/>
      <c r="Q52" s="102">
        <f t="shared" si="23"/>
        <v>2.5</v>
      </c>
    </row>
    <row r="53" spans="1:17" ht="15" customHeight="1">
      <c r="A53" s="8" t="str">
        <f t="shared" si="19"/>
        <v>Ø405 Straight Duct (3.0m lengths)</v>
      </c>
      <c r="B53" s="94">
        <f t="shared" si="22"/>
        <v>5.6417449633512131</v>
      </c>
      <c r="C53" s="94" t="s">
        <v>277</v>
      </c>
      <c r="D53" s="105">
        <v>405</v>
      </c>
      <c r="E53" s="101">
        <f t="shared" si="1"/>
        <v>0.12882493375126647</v>
      </c>
      <c r="F53" s="101">
        <f t="shared" si="20"/>
        <v>1.2723450247038661</v>
      </c>
      <c r="G53" s="94">
        <f t="shared" si="21"/>
        <v>5.6417449633512131</v>
      </c>
      <c r="H53" s="94"/>
      <c r="I53" s="94"/>
      <c r="J53" s="94"/>
      <c r="K53" s="94"/>
      <c r="L53" s="94"/>
      <c r="M53" s="94"/>
      <c r="N53" s="94"/>
      <c r="O53" s="94"/>
      <c r="P53" s="96"/>
      <c r="Q53" s="102">
        <f t="shared" si="23"/>
        <v>3</v>
      </c>
    </row>
    <row r="54" spans="1:17" ht="15" customHeight="1">
      <c r="A54" s="8" t="str">
        <f t="shared" si="19"/>
        <v>Ø405 Straight Duct (3.5m lengths)</v>
      </c>
      <c r="B54" s="94">
        <f t="shared" si="22"/>
        <v>6.5820357905764153</v>
      </c>
      <c r="C54" s="94" t="s">
        <v>277</v>
      </c>
      <c r="D54" s="105">
        <v>405</v>
      </c>
      <c r="E54" s="101">
        <f t="shared" si="1"/>
        <v>0.12882493375126647</v>
      </c>
      <c r="F54" s="101">
        <f t="shared" si="20"/>
        <v>1.2723450247038661</v>
      </c>
      <c r="G54" s="94">
        <f t="shared" si="21"/>
        <v>6.5820357905764153</v>
      </c>
      <c r="H54" s="94"/>
      <c r="I54" s="94"/>
      <c r="J54" s="94"/>
      <c r="K54" s="94"/>
      <c r="L54" s="94"/>
      <c r="M54" s="94"/>
      <c r="N54" s="94"/>
      <c r="O54" s="94"/>
      <c r="P54" s="96"/>
      <c r="Q54" s="102">
        <f t="shared" si="23"/>
        <v>3.5</v>
      </c>
    </row>
    <row r="55" spans="1:17" ht="15" customHeight="1">
      <c r="A55" s="8" t="str">
        <f t="shared" si="19"/>
        <v>Ø405 Straight Duct (4.0m lengths)</v>
      </c>
      <c r="B55" s="94">
        <f t="shared" si="22"/>
        <v>7.5223266178016175</v>
      </c>
      <c r="C55" s="94" t="s">
        <v>277</v>
      </c>
      <c r="D55" s="105">
        <v>405</v>
      </c>
      <c r="E55" s="101">
        <f t="shared" si="1"/>
        <v>0.12882493375126647</v>
      </c>
      <c r="F55" s="101">
        <f t="shared" si="20"/>
        <v>1.2723450247038661</v>
      </c>
      <c r="G55" s="94">
        <f t="shared" si="21"/>
        <v>7.5223266178016175</v>
      </c>
      <c r="H55" s="94"/>
      <c r="I55" s="94"/>
      <c r="J55" s="94"/>
      <c r="K55" s="94"/>
      <c r="L55" s="94"/>
      <c r="M55" s="94"/>
      <c r="N55" s="94"/>
      <c r="O55" s="94"/>
      <c r="P55" s="96"/>
      <c r="Q55" s="102">
        <f t="shared" si="23"/>
        <v>4</v>
      </c>
    </row>
    <row r="56" spans="1:17" ht="15" customHeight="1">
      <c r="A56" s="8" t="str">
        <f t="shared" ref="A56:A73" si="24">"Ø"&amp;D56&amp;" "&amp;C56&amp;" ("&amp;O56&amp;"⁰)"</f>
        <v>Ø405 Bend (5⁰)</v>
      </c>
      <c r="B56" s="94">
        <f t="shared" si="22"/>
        <v>0.68641230387439767</v>
      </c>
      <c r="C56" s="99" t="s">
        <v>351</v>
      </c>
      <c r="D56" s="105">
        <v>405</v>
      </c>
      <c r="E56" s="101">
        <f t="shared" si="1"/>
        <v>0.12882493375126647</v>
      </c>
      <c r="F56" s="101">
        <f t="shared" si="20"/>
        <v>1.2723450247038661</v>
      </c>
      <c r="G56" s="94">
        <f t="shared" si="21"/>
        <v>0.68641230387439767</v>
      </c>
      <c r="H56" s="94"/>
      <c r="I56" s="94"/>
      <c r="J56" s="94"/>
      <c r="K56" s="94"/>
      <c r="L56" s="94"/>
      <c r="M56" s="94"/>
      <c r="N56" s="94"/>
      <c r="O56" s="95">
        <v>5</v>
      </c>
      <c r="P56" s="97">
        <v>7.2999999999999995E-2</v>
      </c>
      <c r="Q56" s="102">
        <f t="shared" ref="Q56:Q73" si="25">+O56*P56</f>
        <v>0.36499999999999999</v>
      </c>
    </row>
    <row r="57" spans="1:17" ht="15" customHeight="1">
      <c r="A57" s="8" t="str">
        <f t="shared" si="24"/>
        <v>Ø405 Bend (10⁰)</v>
      </c>
      <c r="B57" s="94">
        <f t="shared" si="22"/>
        <v>1.3728246077487953</v>
      </c>
      <c r="C57" s="99" t="s">
        <v>351</v>
      </c>
      <c r="D57" s="105">
        <v>405</v>
      </c>
      <c r="E57" s="101">
        <f t="shared" si="1"/>
        <v>0.12882493375126647</v>
      </c>
      <c r="F57" s="101">
        <f t="shared" si="20"/>
        <v>1.2723450247038661</v>
      </c>
      <c r="G57" s="94">
        <f t="shared" si="21"/>
        <v>1.3728246077487953</v>
      </c>
      <c r="H57" s="94"/>
      <c r="I57" s="94"/>
      <c r="J57" s="94"/>
      <c r="K57" s="94"/>
      <c r="L57" s="94"/>
      <c r="M57" s="94"/>
      <c r="N57" s="94"/>
      <c r="O57" s="95">
        <f>+O56+5</f>
        <v>10</v>
      </c>
      <c r="P57" s="97">
        <v>7.2999999999999995E-2</v>
      </c>
      <c r="Q57" s="102">
        <f t="shared" si="25"/>
        <v>0.73</v>
      </c>
    </row>
    <row r="58" spans="1:17" ht="15" customHeight="1">
      <c r="A58" s="8" t="str">
        <f t="shared" si="24"/>
        <v>Ø405 Bend (15⁰)</v>
      </c>
      <c r="B58" s="94">
        <f t="shared" si="22"/>
        <v>2.0592369116231928</v>
      </c>
      <c r="C58" s="99" t="s">
        <v>351</v>
      </c>
      <c r="D58" s="105">
        <v>405</v>
      </c>
      <c r="E58" s="101">
        <f t="shared" si="1"/>
        <v>0.12882493375126647</v>
      </c>
      <c r="F58" s="101">
        <f t="shared" si="20"/>
        <v>1.2723450247038661</v>
      </c>
      <c r="G58" s="94">
        <f t="shared" si="21"/>
        <v>2.0592369116231928</v>
      </c>
      <c r="H58" s="94"/>
      <c r="I58" s="94"/>
      <c r="J58" s="94"/>
      <c r="K58" s="94"/>
      <c r="L58" s="94"/>
      <c r="M58" s="94"/>
      <c r="N58" s="94"/>
      <c r="O58" s="95">
        <f t="shared" ref="O58:O73" si="26">+O57+5</f>
        <v>15</v>
      </c>
      <c r="P58" s="97">
        <v>7.2999999999999995E-2</v>
      </c>
      <c r="Q58" s="102">
        <f t="shared" si="25"/>
        <v>1.095</v>
      </c>
    </row>
    <row r="59" spans="1:17" ht="15" customHeight="1">
      <c r="A59" s="8" t="str">
        <f t="shared" si="24"/>
        <v>Ø405 Bend (20⁰)</v>
      </c>
      <c r="B59" s="94">
        <f t="shared" si="22"/>
        <v>2.7456492154975907</v>
      </c>
      <c r="C59" s="99" t="s">
        <v>351</v>
      </c>
      <c r="D59" s="105">
        <v>405</v>
      </c>
      <c r="E59" s="101">
        <f t="shared" si="1"/>
        <v>0.12882493375126647</v>
      </c>
      <c r="F59" s="101">
        <f t="shared" si="20"/>
        <v>1.2723450247038661</v>
      </c>
      <c r="G59" s="94">
        <f t="shared" si="21"/>
        <v>2.7456492154975907</v>
      </c>
      <c r="H59" s="94"/>
      <c r="I59" s="94"/>
      <c r="J59" s="94"/>
      <c r="K59" s="94"/>
      <c r="L59" s="94"/>
      <c r="M59" s="94"/>
      <c r="N59" s="94"/>
      <c r="O59" s="95">
        <f t="shared" si="26"/>
        <v>20</v>
      </c>
      <c r="P59" s="97">
        <v>7.2999999999999995E-2</v>
      </c>
      <c r="Q59" s="102">
        <f t="shared" si="25"/>
        <v>1.46</v>
      </c>
    </row>
    <row r="60" spans="1:17" ht="15" customHeight="1">
      <c r="A60" s="8" t="str">
        <f t="shared" si="24"/>
        <v>Ø405 Bend (25⁰)</v>
      </c>
      <c r="B60" s="94">
        <f t="shared" si="22"/>
        <v>3.4320615193719881</v>
      </c>
      <c r="C60" s="99" t="s">
        <v>351</v>
      </c>
      <c r="D60" s="105">
        <v>405</v>
      </c>
      <c r="E60" s="101">
        <f t="shared" si="1"/>
        <v>0.12882493375126647</v>
      </c>
      <c r="F60" s="101">
        <f t="shared" si="20"/>
        <v>1.2723450247038661</v>
      </c>
      <c r="G60" s="94">
        <f t="shared" si="21"/>
        <v>3.4320615193719881</v>
      </c>
      <c r="H60" s="94"/>
      <c r="I60" s="94"/>
      <c r="J60" s="94"/>
      <c r="K60" s="94"/>
      <c r="L60" s="94"/>
      <c r="M60" s="94"/>
      <c r="N60" s="94"/>
      <c r="O60" s="95">
        <f t="shared" si="26"/>
        <v>25</v>
      </c>
      <c r="P60" s="97">
        <v>7.2999999999999995E-2</v>
      </c>
      <c r="Q60" s="102">
        <f t="shared" si="25"/>
        <v>1.825</v>
      </c>
    </row>
    <row r="61" spans="1:17" ht="15" customHeight="1">
      <c r="A61" s="8" t="str">
        <f t="shared" si="24"/>
        <v>Ø405 Bend (30⁰)</v>
      </c>
      <c r="B61" s="94">
        <f t="shared" si="22"/>
        <v>4.1184738232463856</v>
      </c>
      <c r="C61" s="99" t="s">
        <v>351</v>
      </c>
      <c r="D61" s="105">
        <v>405</v>
      </c>
      <c r="E61" s="101">
        <f t="shared" si="1"/>
        <v>0.12882493375126647</v>
      </c>
      <c r="F61" s="101">
        <f t="shared" si="20"/>
        <v>1.2723450247038661</v>
      </c>
      <c r="G61" s="94">
        <f t="shared" si="21"/>
        <v>4.1184738232463856</v>
      </c>
      <c r="H61" s="94"/>
      <c r="I61" s="94"/>
      <c r="J61" s="94"/>
      <c r="K61" s="94"/>
      <c r="L61" s="94"/>
      <c r="M61" s="94"/>
      <c r="N61" s="94"/>
      <c r="O61" s="95">
        <f t="shared" si="26"/>
        <v>30</v>
      </c>
      <c r="P61" s="97">
        <v>7.2999999999999995E-2</v>
      </c>
      <c r="Q61" s="102">
        <f t="shared" si="25"/>
        <v>2.19</v>
      </c>
    </row>
    <row r="62" spans="1:17" ht="15" customHeight="1">
      <c r="A62" s="8" t="str">
        <f t="shared" si="24"/>
        <v>Ø405 Bend (35⁰)</v>
      </c>
      <c r="B62" s="94">
        <f t="shared" si="22"/>
        <v>4.8048861271207821</v>
      </c>
      <c r="C62" s="99" t="s">
        <v>351</v>
      </c>
      <c r="D62" s="105">
        <v>405</v>
      </c>
      <c r="E62" s="101">
        <f t="shared" si="1"/>
        <v>0.12882493375126647</v>
      </c>
      <c r="F62" s="101">
        <f t="shared" si="20"/>
        <v>1.2723450247038661</v>
      </c>
      <c r="G62" s="94">
        <f t="shared" si="21"/>
        <v>4.8048861271207821</v>
      </c>
      <c r="H62" s="94"/>
      <c r="I62" s="94"/>
      <c r="J62" s="94"/>
      <c r="K62" s="94"/>
      <c r="L62" s="94"/>
      <c r="M62" s="94"/>
      <c r="N62" s="94"/>
      <c r="O62" s="95">
        <f t="shared" si="26"/>
        <v>35</v>
      </c>
      <c r="P62" s="97">
        <v>7.2999999999999995E-2</v>
      </c>
      <c r="Q62" s="102">
        <f t="shared" si="25"/>
        <v>2.5549999999999997</v>
      </c>
    </row>
    <row r="63" spans="1:17" ht="15" customHeight="1">
      <c r="A63" s="8" t="str">
        <f t="shared" si="24"/>
        <v>Ø405 Bend (40⁰)</v>
      </c>
      <c r="B63" s="94">
        <f t="shared" si="22"/>
        <v>5.4912984309951813</v>
      </c>
      <c r="C63" s="99" t="s">
        <v>351</v>
      </c>
      <c r="D63" s="105">
        <v>405</v>
      </c>
      <c r="E63" s="101">
        <f t="shared" si="1"/>
        <v>0.12882493375126647</v>
      </c>
      <c r="F63" s="101">
        <f t="shared" si="20"/>
        <v>1.2723450247038661</v>
      </c>
      <c r="G63" s="94">
        <f t="shared" si="21"/>
        <v>5.4912984309951813</v>
      </c>
      <c r="H63" s="94"/>
      <c r="I63" s="94"/>
      <c r="J63" s="94"/>
      <c r="K63" s="94"/>
      <c r="L63" s="94"/>
      <c r="M63" s="94"/>
      <c r="N63" s="94"/>
      <c r="O63" s="95">
        <f t="shared" si="26"/>
        <v>40</v>
      </c>
      <c r="P63" s="97">
        <v>7.2999999999999995E-2</v>
      </c>
      <c r="Q63" s="102">
        <f t="shared" si="25"/>
        <v>2.92</v>
      </c>
    </row>
    <row r="64" spans="1:17" ht="15" customHeight="1">
      <c r="A64" s="8" t="str">
        <f t="shared" si="24"/>
        <v>Ø405 Bend (45⁰)</v>
      </c>
      <c r="B64" s="94">
        <f t="shared" si="22"/>
        <v>6.1777107348695779</v>
      </c>
      <c r="C64" s="99" t="s">
        <v>351</v>
      </c>
      <c r="D64" s="105">
        <v>405</v>
      </c>
      <c r="E64" s="101">
        <f t="shared" si="1"/>
        <v>0.12882493375126647</v>
      </c>
      <c r="F64" s="101">
        <f t="shared" si="20"/>
        <v>1.2723450247038661</v>
      </c>
      <c r="G64" s="94">
        <f t="shared" si="21"/>
        <v>6.1777107348695779</v>
      </c>
      <c r="H64" s="94"/>
      <c r="I64" s="94"/>
      <c r="J64" s="94"/>
      <c r="K64" s="94"/>
      <c r="L64" s="94"/>
      <c r="M64" s="94"/>
      <c r="N64" s="94"/>
      <c r="O64" s="95">
        <f t="shared" si="26"/>
        <v>45</v>
      </c>
      <c r="P64" s="97">
        <v>7.2999999999999995E-2</v>
      </c>
      <c r="Q64" s="102">
        <f t="shared" si="25"/>
        <v>3.2849999999999997</v>
      </c>
    </row>
    <row r="65" spans="1:17" ht="15" customHeight="1">
      <c r="A65" s="8" t="str">
        <f t="shared" si="24"/>
        <v>Ø405 Bend (50⁰)</v>
      </c>
      <c r="B65" s="94">
        <f t="shared" si="22"/>
        <v>6.8641230387439762</v>
      </c>
      <c r="C65" s="99" t="s">
        <v>351</v>
      </c>
      <c r="D65" s="105">
        <v>405</v>
      </c>
      <c r="E65" s="101">
        <f t="shared" si="1"/>
        <v>0.12882493375126647</v>
      </c>
      <c r="F65" s="101">
        <f t="shared" si="20"/>
        <v>1.2723450247038661</v>
      </c>
      <c r="G65" s="94">
        <f t="shared" si="21"/>
        <v>6.8641230387439762</v>
      </c>
      <c r="H65" s="94"/>
      <c r="I65" s="94"/>
      <c r="J65" s="94"/>
      <c r="K65" s="94"/>
      <c r="L65" s="94"/>
      <c r="M65" s="94"/>
      <c r="N65" s="94"/>
      <c r="O65" s="95">
        <f t="shared" si="26"/>
        <v>50</v>
      </c>
      <c r="P65" s="97">
        <v>7.2999999999999995E-2</v>
      </c>
      <c r="Q65" s="102">
        <f t="shared" si="25"/>
        <v>3.65</v>
      </c>
    </row>
    <row r="66" spans="1:17" ht="15" customHeight="1">
      <c r="A66" s="8" t="str">
        <f t="shared" si="24"/>
        <v>Ø405 Bend (55⁰)</v>
      </c>
      <c r="B66" s="94">
        <f t="shared" si="22"/>
        <v>7.5505353426183737</v>
      </c>
      <c r="C66" s="99" t="s">
        <v>351</v>
      </c>
      <c r="D66" s="105">
        <v>405</v>
      </c>
      <c r="E66" s="101">
        <f t="shared" si="1"/>
        <v>0.12882493375126647</v>
      </c>
      <c r="F66" s="101">
        <f t="shared" si="20"/>
        <v>1.2723450247038661</v>
      </c>
      <c r="G66" s="94">
        <f t="shared" si="21"/>
        <v>7.5505353426183737</v>
      </c>
      <c r="H66" s="94"/>
      <c r="I66" s="94"/>
      <c r="J66" s="94"/>
      <c r="K66" s="94"/>
      <c r="L66" s="94"/>
      <c r="M66" s="94"/>
      <c r="N66" s="94"/>
      <c r="O66" s="95">
        <f t="shared" si="26"/>
        <v>55</v>
      </c>
      <c r="P66" s="97">
        <v>7.2999999999999995E-2</v>
      </c>
      <c r="Q66" s="102">
        <f t="shared" si="25"/>
        <v>4.0149999999999997</v>
      </c>
    </row>
    <row r="67" spans="1:17" ht="15" customHeight="1">
      <c r="A67" s="8" t="str">
        <f t="shared" si="24"/>
        <v>Ø405 Bend (60⁰)</v>
      </c>
      <c r="B67" s="94">
        <f t="shared" si="22"/>
        <v>8.2369476464927711</v>
      </c>
      <c r="C67" s="99" t="s">
        <v>351</v>
      </c>
      <c r="D67" s="105">
        <v>405</v>
      </c>
      <c r="E67" s="101">
        <f t="shared" si="1"/>
        <v>0.12882493375126647</v>
      </c>
      <c r="F67" s="101">
        <f t="shared" si="20"/>
        <v>1.2723450247038661</v>
      </c>
      <c r="G67" s="94">
        <f t="shared" si="21"/>
        <v>8.2369476464927711</v>
      </c>
      <c r="H67" s="94"/>
      <c r="I67" s="94"/>
      <c r="J67" s="94"/>
      <c r="K67" s="94"/>
      <c r="L67" s="94"/>
      <c r="M67" s="94"/>
      <c r="N67" s="94"/>
      <c r="O67" s="95">
        <f t="shared" si="26"/>
        <v>60</v>
      </c>
      <c r="P67" s="97">
        <v>7.2999999999999995E-2</v>
      </c>
      <c r="Q67" s="102">
        <f t="shared" si="25"/>
        <v>4.38</v>
      </c>
    </row>
    <row r="68" spans="1:17" ht="15" customHeight="1">
      <c r="A68" s="8" t="str">
        <f t="shared" si="24"/>
        <v>Ø405 Bend (65⁰)</v>
      </c>
      <c r="B68" s="94">
        <f t="shared" si="22"/>
        <v>8.9233599503671694</v>
      </c>
      <c r="C68" s="99" t="s">
        <v>351</v>
      </c>
      <c r="D68" s="105">
        <v>405</v>
      </c>
      <c r="E68" s="101">
        <f t="shared" si="1"/>
        <v>0.12882493375126647</v>
      </c>
      <c r="F68" s="101">
        <f t="shared" si="20"/>
        <v>1.2723450247038661</v>
      </c>
      <c r="G68" s="94">
        <f t="shared" si="21"/>
        <v>8.9233599503671694</v>
      </c>
      <c r="H68" s="94"/>
      <c r="I68" s="94"/>
      <c r="J68" s="94"/>
      <c r="K68" s="94"/>
      <c r="L68" s="94"/>
      <c r="M68" s="94"/>
      <c r="N68" s="94"/>
      <c r="O68" s="95">
        <f t="shared" si="26"/>
        <v>65</v>
      </c>
      <c r="P68" s="97">
        <v>7.2999999999999995E-2</v>
      </c>
      <c r="Q68" s="102">
        <f t="shared" si="25"/>
        <v>4.7450000000000001</v>
      </c>
    </row>
    <row r="69" spans="1:17" ht="15" customHeight="1">
      <c r="A69" s="8" t="str">
        <f t="shared" si="24"/>
        <v>Ø405 Bend (70⁰)</v>
      </c>
      <c r="B69" s="94">
        <f t="shared" si="22"/>
        <v>9.6097722542415642</v>
      </c>
      <c r="C69" s="99" t="s">
        <v>351</v>
      </c>
      <c r="D69" s="105">
        <v>405</v>
      </c>
      <c r="E69" s="101">
        <f t="shared" ref="E69:E132" si="27">PI()*((D69/1000)^2)/4</f>
        <v>0.12882493375126647</v>
      </c>
      <c r="F69" s="101">
        <f t="shared" si="20"/>
        <v>1.2723450247038661</v>
      </c>
      <c r="G69" s="94">
        <f t="shared" si="21"/>
        <v>9.6097722542415642</v>
      </c>
      <c r="H69" s="94"/>
      <c r="I69" s="94"/>
      <c r="J69" s="94"/>
      <c r="K69" s="94"/>
      <c r="L69" s="94"/>
      <c r="M69" s="94"/>
      <c r="N69" s="94"/>
      <c r="O69" s="95">
        <f t="shared" si="26"/>
        <v>70</v>
      </c>
      <c r="P69" s="97">
        <v>7.2999999999999995E-2</v>
      </c>
      <c r="Q69" s="102">
        <f t="shared" si="25"/>
        <v>5.1099999999999994</v>
      </c>
    </row>
    <row r="70" spans="1:17" ht="15" customHeight="1">
      <c r="A70" s="8" t="str">
        <f t="shared" si="24"/>
        <v>Ø405 Bend (75⁰)</v>
      </c>
      <c r="B70" s="94">
        <f t="shared" si="22"/>
        <v>10.296184558115964</v>
      </c>
      <c r="C70" s="99" t="s">
        <v>351</v>
      </c>
      <c r="D70" s="105">
        <v>405</v>
      </c>
      <c r="E70" s="101">
        <f t="shared" si="27"/>
        <v>0.12882493375126647</v>
      </c>
      <c r="F70" s="101">
        <f t="shared" si="20"/>
        <v>1.2723450247038661</v>
      </c>
      <c r="G70" s="94">
        <f t="shared" si="21"/>
        <v>10.296184558115964</v>
      </c>
      <c r="H70" s="94"/>
      <c r="I70" s="94"/>
      <c r="J70" s="94"/>
      <c r="K70" s="94"/>
      <c r="L70" s="94"/>
      <c r="M70" s="94"/>
      <c r="N70" s="94"/>
      <c r="O70" s="95">
        <f t="shared" si="26"/>
        <v>75</v>
      </c>
      <c r="P70" s="97">
        <v>7.2999999999999995E-2</v>
      </c>
      <c r="Q70" s="102">
        <f t="shared" si="25"/>
        <v>5.4749999999999996</v>
      </c>
    </row>
    <row r="71" spans="1:17" ht="15" customHeight="1">
      <c r="A71" s="8" t="str">
        <f t="shared" si="24"/>
        <v>Ø405 Bend (80⁰)</v>
      </c>
      <c r="B71" s="94">
        <f t="shared" si="22"/>
        <v>10.982596861990363</v>
      </c>
      <c r="C71" s="99" t="s">
        <v>351</v>
      </c>
      <c r="D71" s="105">
        <v>405</v>
      </c>
      <c r="E71" s="101">
        <f t="shared" si="27"/>
        <v>0.12882493375126647</v>
      </c>
      <c r="F71" s="101">
        <f t="shared" si="20"/>
        <v>1.2723450247038661</v>
      </c>
      <c r="G71" s="94">
        <f t="shared" si="21"/>
        <v>10.982596861990363</v>
      </c>
      <c r="H71" s="94"/>
      <c r="I71" s="94"/>
      <c r="J71" s="94"/>
      <c r="K71" s="94"/>
      <c r="L71" s="94"/>
      <c r="M71" s="94"/>
      <c r="N71" s="94"/>
      <c r="O71" s="95">
        <f t="shared" si="26"/>
        <v>80</v>
      </c>
      <c r="P71" s="97">
        <v>7.2999999999999995E-2</v>
      </c>
      <c r="Q71" s="102">
        <f t="shared" si="25"/>
        <v>5.84</v>
      </c>
    </row>
    <row r="72" spans="1:17" ht="15" customHeight="1">
      <c r="A72" s="8" t="str">
        <f t="shared" si="24"/>
        <v>Ø405 Bend (85⁰)</v>
      </c>
      <c r="B72" s="94">
        <f t="shared" si="22"/>
        <v>11.669009165864757</v>
      </c>
      <c r="C72" s="99" t="s">
        <v>351</v>
      </c>
      <c r="D72" s="105">
        <v>405</v>
      </c>
      <c r="E72" s="101">
        <f t="shared" si="27"/>
        <v>0.12882493375126647</v>
      </c>
      <c r="F72" s="101">
        <f t="shared" si="20"/>
        <v>1.2723450247038661</v>
      </c>
      <c r="G72" s="94">
        <f t="shared" si="21"/>
        <v>11.669009165864757</v>
      </c>
      <c r="H72" s="94"/>
      <c r="I72" s="94"/>
      <c r="J72" s="94"/>
      <c r="K72" s="94"/>
      <c r="L72" s="94"/>
      <c r="M72" s="94"/>
      <c r="N72" s="94"/>
      <c r="O72" s="95">
        <f t="shared" si="26"/>
        <v>85</v>
      </c>
      <c r="P72" s="97">
        <v>7.2999999999999995E-2</v>
      </c>
      <c r="Q72" s="102">
        <f t="shared" si="25"/>
        <v>6.2049999999999992</v>
      </c>
    </row>
    <row r="73" spans="1:17" ht="15" customHeight="1">
      <c r="A73" s="8" t="str">
        <f t="shared" si="24"/>
        <v>Ø405 Bend (90⁰)</v>
      </c>
      <c r="B73" s="94">
        <f t="shared" si="22"/>
        <v>12.355421469739156</v>
      </c>
      <c r="C73" s="99" t="s">
        <v>351</v>
      </c>
      <c r="D73" s="105">
        <v>405</v>
      </c>
      <c r="E73" s="101">
        <f t="shared" si="27"/>
        <v>0.12882493375126647</v>
      </c>
      <c r="F73" s="101">
        <f t="shared" si="20"/>
        <v>1.2723450247038661</v>
      </c>
      <c r="G73" s="94">
        <f t="shared" si="21"/>
        <v>12.355421469739156</v>
      </c>
      <c r="H73" s="94"/>
      <c r="I73" s="94"/>
      <c r="J73" s="94"/>
      <c r="K73" s="94"/>
      <c r="L73" s="94"/>
      <c r="M73" s="94"/>
      <c r="N73" s="94"/>
      <c r="O73" s="95">
        <f t="shared" si="26"/>
        <v>90</v>
      </c>
      <c r="P73" s="97">
        <v>7.2999999999999995E-2</v>
      </c>
      <c r="Q73" s="102">
        <f t="shared" si="25"/>
        <v>6.5699999999999994</v>
      </c>
    </row>
    <row r="74" spans="1:17" ht="15" customHeight="1">
      <c r="A74" s="8" t="str">
        <f>"Ø"&amp;D74&amp;" "&amp;C74</f>
        <v>Ø405 T-Piece</v>
      </c>
      <c r="B74" s="94">
        <f t="shared" si="22"/>
        <v>0.3761163308900809</v>
      </c>
      <c r="C74" s="99" t="s">
        <v>352</v>
      </c>
      <c r="D74" s="105">
        <v>405</v>
      </c>
      <c r="E74" s="101">
        <f t="shared" si="27"/>
        <v>0.12882493375126647</v>
      </c>
      <c r="F74" s="101">
        <f t="shared" si="20"/>
        <v>1.2723450247038661</v>
      </c>
      <c r="G74" s="94">
        <f t="shared" si="21"/>
        <v>0.3761163308900809</v>
      </c>
      <c r="H74" s="94"/>
      <c r="I74" s="94"/>
      <c r="J74" s="94"/>
      <c r="K74" s="94"/>
      <c r="L74" s="94"/>
      <c r="M74" s="94"/>
      <c r="N74" s="94"/>
      <c r="O74" s="95"/>
      <c r="P74" s="97">
        <v>0.2</v>
      </c>
      <c r="Q74" s="102">
        <f>+P74</f>
        <v>0.2</v>
      </c>
    </row>
    <row r="75" spans="1:17" ht="15" customHeight="1">
      <c r="A75" s="8" t="str">
        <f>"Ø"&amp;D75&amp;" "&amp;C75</f>
        <v>Ø405 Y-Piece</v>
      </c>
      <c r="B75" s="94">
        <f t="shared" si="22"/>
        <v>-1.0023500218220658</v>
      </c>
      <c r="C75" s="99" t="s">
        <v>353</v>
      </c>
      <c r="D75" s="105">
        <v>405</v>
      </c>
      <c r="E75" s="101">
        <f t="shared" si="27"/>
        <v>0.12882493375126647</v>
      </c>
      <c r="F75" s="101">
        <f t="shared" si="20"/>
        <v>1.2723450247038661</v>
      </c>
      <c r="G75" s="94">
        <f t="shared" si="21"/>
        <v>-1.0023500218220658</v>
      </c>
      <c r="H75" s="94"/>
      <c r="I75" s="94"/>
      <c r="J75" s="94"/>
      <c r="K75" s="94"/>
      <c r="L75" s="94"/>
      <c r="M75" s="94"/>
      <c r="N75" s="94"/>
      <c r="O75" s="95"/>
      <c r="P75" s="97">
        <v>-0.53300000000000003</v>
      </c>
      <c r="Q75" s="102">
        <f>+P75</f>
        <v>-0.53300000000000003</v>
      </c>
    </row>
    <row r="76" spans="1:17" ht="15" customHeight="1">
      <c r="A76" s="8" t="str">
        <f>"Ø"&amp;D76&amp;" "&amp;C76</f>
        <v>Ø405 Screen</v>
      </c>
      <c r="B76" s="94">
        <f t="shared" si="22"/>
        <v>1.0587674714555779</v>
      </c>
      <c r="C76" s="99" t="s">
        <v>354</v>
      </c>
      <c r="D76" s="105">
        <v>405</v>
      </c>
      <c r="E76" s="101">
        <f t="shared" si="27"/>
        <v>0.12882493375126647</v>
      </c>
      <c r="F76" s="101">
        <f t="shared" si="20"/>
        <v>1.2723450247038661</v>
      </c>
      <c r="G76" s="94">
        <f t="shared" si="21"/>
        <v>1.0587674714555779</v>
      </c>
      <c r="H76" s="94"/>
      <c r="I76" s="94"/>
      <c r="J76" s="94"/>
      <c r="K76" s="94"/>
      <c r="L76" s="94"/>
      <c r="M76" s="94"/>
      <c r="N76" s="94"/>
      <c r="O76" s="95"/>
      <c r="P76" s="97">
        <v>0.56300000000000006</v>
      </c>
      <c r="Q76" s="102">
        <f>+P76</f>
        <v>0.56300000000000006</v>
      </c>
    </row>
    <row r="77" spans="1:17">
      <c r="A77" s="8" t="str">
        <f>"Ø"&amp;D77&amp;" "&amp;C77</f>
        <v>Ø405 Flat Nose Cone</v>
      </c>
      <c r="B77" s="94">
        <f t="shared" si="22"/>
        <v>0.36671342261782885</v>
      </c>
      <c r="C77" s="99" t="s">
        <v>355</v>
      </c>
      <c r="D77" s="105">
        <v>405</v>
      </c>
      <c r="E77" s="101">
        <f t="shared" si="27"/>
        <v>0.12882493375126647</v>
      </c>
      <c r="F77" s="101">
        <f t="shared" si="20"/>
        <v>1.2723450247038661</v>
      </c>
      <c r="G77" s="94">
        <f t="shared" si="21"/>
        <v>0.36671342261782885</v>
      </c>
      <c r="H77" s="94"/>
      <c r="I77" s="94"/>
      <c r="J77" s="94"/>
      <c r="K77" s="94"/>
      <c r="L77" s="94"/>
      <c r="M77" s="94"/>
      <c r="N77" s="94"/>
      <c r="O77" s="95"/>
      <c r="P77" s="97">
        <v>0.19500000000000001</v>
      </c>
      <c r="Q77" s="102">
        <f>+P77</f>
        <v>0.19500000000000001</v>
      </c>
    </row>
    <row r="78" spans="1:17">
      <c r="A78" s="8" t="str">
        <f>"Ø"&amp;D78&amp;" "&amp;C78</f>
        <v>Ø405 Sharp Nose Cone</v>
      </c>
      <c r="B78" s="94">
        <f t="shared" si="22"/>
        <v>0</v>
      </c>
      <c r="C78" s="99" t="s">
        <v>356</v>
      </c>
      <c r="D78" s="105">
        <v>405</v>
      </c>
      <c r="E78" s="101">
        <f t="shared" si="27"/>
        <v>0.12882493375126647</v>
      </c>
      <c r="F78" s="101">
        <f t="shared" si="20"/>
        <v>1.2723450247038661</v>
      </c>
      <c r="G78" s="94">
        <f t="shared" si="21"/>
        <v>0</v>
      </c>
      <c r="H78" s="94"/>
      <c r="I78" s="94"/>
      <c r="J78" s="94"/>
      <c r="K78" s="94"/>
      <c r="L78" s="94"/>
      <c r="M78" s="94"/>
      <c r="N78" s="94"/>
      <c r="O78" s="95"/>
      <c r="P78" s="97">
        <v>0</v>
      </c>
      <c r="Q78" s="102">
        <f>+P78</f>
        <v>0</v>
      </c>
    </row>
    <row r="79" spans="1:17">
      <c r="A79" s="106" t="str">
        <f t="shared" ref="A79:A84" si="28">IF(D79&lt;H79,"Ø"&amp;D79&amp;" to Ø"&amp;H79&amp;" Evaseé","Ø"&amp;D79&amp;" to Ø"&amp;H79&amp;" Reducer")</f>
        <v>Ø405 to Ø305 Reducer</v>
      </c>
      <c r="B79" s="111">
        <f t="shared" ref="B79:B84" si="29">+N79</f>
        <v>84.011607999999995</v>
      </c>
      <c r="C79" s="110"/>
      <c r="D79" s="105">
        <v>405</v>
      </c>
      <c r="E79" s="103">
        <f t="shared" si="27"/>
        <v>0.12882493375126647</v>
      </c>
      <c r="F79" s="103">
        <f t="shared" ref="F79:F84" si="30">PI()*(H79/1000)</f>
        <v>0.95818575934488692</v>
      </c>
      <c r="G79" s="107">
        <f t="shared" ref="G79:G84" si="31">(($S$4*F79*$R$4)/(E79^3))</f>
        <v>1.4162405052033913</v>
      </c>
      <c r="H79" s="105">
        <v>305</v>
      </c>
      <c r="I79" s="103">
        <f t="shared" ref="I79:I84" si="32">PI()*((H79/1000)^2)/4</f>
        <v>7.3061664150047625E-2</v>
      </c>
      <c r="J79" s="103">
        <f t="shared" ref="J79:J84" si="33">PI()*(H79/1000)</f>
        <v>0.95818575934488692</v>
      </c>
      <c r="K79" s="108">
        <f t="shared" ref="K79:K84" si="34">(($S$4*J79*$R$4)/(I79^3))</f>
        <v>7.7636887229801461</v>
      </c>
      <c r="L79" s="107">
        <f t="shared" ref="L79:L84" si="35">IF(D79&lt;H79,-K79,K79)</f>
        <v>7.7636887229801461</v>
      </c>
      <c r="M79" s="107">
        <f t="shared" ref="M79:M84" si="36">(((1/$I79)^2)*1.2/2-((1/$E79)^2)*1.2/2)/(1^2)</f>
        <v>76.247918850784686</v>
      </c>
      <c r="N79" s="107">
        <f t="shared" ref="N79:N84" si="37">ROUNDUP((M79+L79),6)</f>
        <v>84.011607999999995</v>
      </c>
    </row>
    <row r="80" spans="1:17">
      <c r="A80" s="106" t="str">
        <f t="shared" si="28"/>
        <v>Ø405 to Ø380 Reducer</v>
      </c>
      <c r="B80" s="111">
        <f t="shared" si="29"/>
        <v>13.080974999999999</v>
      </c>
      <c r="C80" s="110"/>
      <c r="D80" s="105">
        <v>405</v>
      </c>
      <c r="E80" s="103">
        <f t="shared" si="27"/>
        <v>0.12882493375126647</v>
      </c>
      <c r="F80" s="103">
        <f t="shared" si="30"/>
        <v>1.1938052083641213</v>
      </c>
      <c r="G80" s="107">
        <f t="shared" si="31"/>
        <v>1.7644963671386513</v>
      </c>
      <c r="H80" s="105">
        <v>380</v>
      </c>
      <c r="I80" s="103">
        <f t="shared" si="32"/>
        <v>0.11341149479459153</v>
      </c>
      <c r="J80" s="103">
        <f t="shared" si="33"/>
        <v>1.1938052083641213</v>
      </c>
      <c r="K80" s="108">
        <f t="shared" si="34"/>
        <v>2.5861239014254869</v>
      </c>
      <c r="L80" s="107">
        <f t="shared" si="35"/>
        <v>2.5861239014254869</v>
      </c>
      <c r="M80" s="107">
        <f t="shared" si="36"/>
        <v>10.49485027638945</v>
      </c>
      <c r="N80" s="107">
        <f t="shared" si="37"/>
        <v>13.080974999999999</v>
      </c>
    </row>
    <row r="81" spans="1:17">
      <c r="A81" s="106" t="str">
        <f t="shared" si="28"/>
        <v>Ø405 to Ø570 Evaseé</v>
      </c>
      <c r="B81" s="111">
        <f t="shared" si="29"/>
        <v>-27.279641000000002</v>
      </c>
      <c r="C81" s="110"/>
      <c r="D81" s="105">
        <v>405</v>
      </c>
      <c r="E81" s="103">
        <f t="shared" si="27"/>
        <v>0.12882493375126647</v>
      </c>
      <c r="F81" s="103">
        <f t="shared" si="30"/>
        <v>1.7907078125461819</v>
      </c>
      <c r="G81" s="107">
        <f t="shared" si="31"/>
        <v>2.646744550707977</v>
      </c>
      <c r="H81" s="105">
        <v>570</v>
      </c>
      <c r="I81" s="103">
        <f t="shared" si="32"/>
        <v>0.25517586328783093</v>
      </c>
      <c r="J81" s="103">
        <f t="shared" si="33"/>
        <v>1.7907078125461819</v>
      </c>
      <c r="K81" s="108">
        <f t="shared" si="34"/>
        <v>0.34055952611364448</v>
      </c>
      <c r="L81" s="107">
        <f t="shared" si="35"/>
        <v>-0.34055952611364448</v>
      </c>
      <c r="M81" s="107">
        <f t="shared" si="36"/>
        <v>-26.939081020615667</v>
      </c>
      <c r="N81" s="107">
        <f t="shared" si="37"/>
        <v>-27.279641000000002</v>
      </c>
    </row>
    <row r="82" spans="1:17">
      <c r="A82" s="106" t="str">
        <f t="shared" si="28"/>
        <v>Ø405 to Ø760 Evaseé</v>
      </c>
      <c r="B82" s="111">
        <f t="shared" si="29"/>
        <v>-33.318877000000001</v>
      </c>
      <c r="C82" s="110"/>
      <c r="D82" s="105">
        <v>405</v>
      </c>
      <c r="E82" s="103">
        <f t="shared" si="27"/>
        <v>0.12882493375126647</v>
      </c>
      <c r="F82" s="103">
        <f t="shared" si="30"/>
        <v>2.3876104167282426</v>
      </c>
      <c r="G82" s="107">
        <f t="shared" si="31"/>
        <v>3.5289927342773026</v>
      </c>
      <c r="H82" s="105">
        <v>760</v>
      </c>
      <c r="I82" s="103">
        <f t="shared" si="32"/>
        <v>0.45364597917836613</v>
      </c>
      <c r="J82" s="103">
        <f t="shared" si="33"/>
        <v>2.3876104167282426</v>
      </c>
      <c r="K82" s="108">
        <f t="shared" si="34"/>
        <v>8.0816371919546465E-2</v>
      </c>
      <c r="L82" s="107">
        <f t="shared" si="35"/>
        <v>-8.0816371919546465E-2</v>
      </c>
      <c r="M82" s="107">
        <f t="shared" si="36"/>
        <v>-33.238059844630953</v>
      </c>
      <c r="N82" s="107">
        <f t="shared" si="37"/>
        <v>-33.318877000000001</v>
      </c>
    </row>
    <row r="83" spans="1:17">
      <c r="A83" s="106" t="str">
        <f t="shared" si="28"/>
        <v>Ø405 to Ø1015 Evaseé</v>
      </c>
      <c r="B83" s="111">
        <f t="shared" si="29"/>
        <v>-35.256161999999996</v>
      </c>
      <c r="C83" s="110"/>
      <c r="D83" s="105">
        <v>405</v>
      </c>
      <c r="E83" s="103">
        <f t="shared" si="27"/>
        <v>0.12882493375126647</v>
      </c>
      <c r="F83" s="103">
        <f t="shared" si="30"/>
        <v>3.1887165433936397</v>
      </c>
      <c r="G83" s="107">
        <f t="shared" si="31"/>
        <v>4.7130626648571869</v>
      </c>
      <c r="H83" s="105">
        <v>1015</v>
      </c>
      <c r="I83" s="103">
        <f t="shared" si="32"/>
        <v>0.80913682288613598</v>
      </c>
      <c r="J83" s="103">
        <f t="shared" si="33"/>
        <v>3.1887165433936397</v>
      </c>
      <c r="K83" s="108">
        <f t="shared" si="34"/>
        <v>1.902116443383645E-2</v>
      </c>
      <c r="L83" s="107">
        <f t="shared" si="35"/>
        <v>-1.902116443383645E-2</v>
      </c>
      <c r="M83" s="107">
        <f t="shared" si="36"/>
        <v>-35.237140260383072</v>
      </c>
      <c r="N83" s="107">
        <f t="shared" si="37"/>
        <v>-35.256161999999996</v>
      </c>
    </row>
    <row r="84" spans="1:17">
      <c r="A84" s="106" t="str">
        <f t="shared" si="28"/>
        <v>Ø405 to Ø1220 Evaseé</v>
      </c>
      <c r="B84" s="111">
        <f t="shared" si="29"/>
        <v>-35.722100999999995</v>
      </c>
      <c r="C84" s="110"/>
      <c r="D84" s="105">
        <v>405</v>
      </c>
      <c r="E84" s="103">
        <f t="shared" si="27"/>
        <v>0.12882493375126647</v>
      </c>
      <c r="F84" s="103">
        <f t="shared" si="30"/>
        <v>3.8327430373795477</v>
      </c>
      <c r="G84" s="107">
        <f t="shared" si="31"/>
        <v>5.6649620208135651</v>
      </c>
      <c r="H84" s="105">
        <v>1220</v>
      </c>
      <c r="I84" s="103">
        <f t="shared" si="32"/>
        <v>1.168986626400762</v>
      </c>
      <c r="J84" s="103">
        <f t="shared" si="33"/>
        <v>3.8327430373795477</v>
      </c>
      <c r="K84" s="108">
        <f t="shared" si="34"/>
        <v>7.5817272685352989E-3</v>
      </c>
      <c r="L84" s="107">
        <f t="shared" si="35"/>
        <v>-7.5817272685352989E-3</v>
      </c>
      <c r="M84" s="107">
        <f t="shared" si="36"/>
        <v>-35.714518803075997</v>
      </c>
      <c r="N84" s="107">
        <f t="shared" si="37"/>
        <v>-35.722100999999995</v>
      </c>
    </row>
    <row r="85" spans="1:17">
      <c r="A85" s="8" t="str">
        <f t="shared" ref="A85:A92" si="38">"Ø"&amp;D85&amp;" "&amp;C85&amp;" ("&amp;TEXT(Q85,"0.0")&amp;"m lengths)"</f>
        <v>Ø570 Straight Duct (0.5m lengths)</v>
      </c>
      <c r="B85" s="94">
        <f>+G85</f>
        <v>0.17027976305682227</v>
      </c>
      <c r="C85" s="94" t="s">
        <v>277</v>
      </c>
      <c r="D85" s="105">
        <v>570</v>
      </c>
      <c r="E85" s="101">
        <f t="shared" si="27"/>
        <v>0.25517586328783093</v>
      </c>
      <c r="F85" s="101">
        <f t="shared" ref="F85:F115" si="39">PI()*D85/1000</f>
        <v>1.7907078125461822</v>
      </c>
      <c r="G85" s="94">
        <f t="shared" ref="G85:G115" si="40">$S$4*F85*Q85/(E85^3)</f>
        <v>0.17027976305682227</v>
      </c>
      <c r="H85" s="94"/>
      <c r="I85" s="94"/>
      <c r="J85" s="94"/>
      <c r="K85" s="94"/>
      <c r="L85" s="94"/>
      <c r="M85" s="94"/>
      <c r="N85" s="94"/>
      <c r="O85" s="94"/>
      <c r="P85" s="96"/>
      <c r="Q85" s="102">
        <v>0.5</v>
      </c>
    </row>
    <row r="86" spans="1:17">
      <c r="A86" s="8" t="str">
        <f t="shared" si="38"/>
        <v>Ø570 Straight Duct (1.0m lengths)</v>
      </c>
      <c r="B86" s="94">
        <f t="shared" ref="B86:B115" si="41">+G86</f>
        <v>0.34055952611364454</v>
      </c>
      <c r="C86" s="94" t="s">
        <v>277</v>
      </c>
      <c r="D86" s="105">
        <v>570</v>
      </c>
      <c r="E86" s="101">
        <f t="shared" si="27"/>
        <v>0.25517586328783093</v>
      </c>
      <c r="F86" s="101">
        <f t="shared" si="39"/>
        <v>1.7907078125461822</v>
      </c>
      <c r="G86" s="94">
        <f t="shared" si="40"/>
        <v>0.34055952611364454</v>
      </c>
      <c r="H86" s="94"/>
      <c r="I86" s="94"/>
      <c r="J86" s="94"/>
      <c r="K86" s="94"/>
      <c r="L86" s="94"/>
      <c r="M86" s="94"/>
      <c r="N86" s="94"/>
      <c r="O86" s="94"/>
      <c r="P86" s="96"/>
      <c r="Q86" s="102">
        <f t="shared" ref="Q86:Q92" si="42">+Q85+0.5</f>
        <v>1</v>
      </c>
    </row>
    <row r="87" spans="1:17">
      <c r="A87" s="8" t="str">
        <f t="shared" si="38"/>
        <v>Ø570 Straight Duct (1.5m lengths)</v>
      </c>
      <c r="B87" s="94">
        <f t="shared" si="41"/>
        <v>0.51083928917046684</v>
      </c>
      <c r="C87" s="94" t="s">
        <v>277</v>
      </c>
      <c r="D87" s="105">
        <v>570</v>
      </c>
      <c r="E87" s="101">
        <f t="shared" si="27"/>
        <v>0.25517586328783093</v>
      </c>
      <c r="F87" s="101">
        <f t="shared" si="39"/>
        <v>1.7907078125461822</v>
      </c>
      <c r="G87" s="94">
        <f t="shared" si="40"/>
        <v>0.51083928917046684</v>
      </c>
      <c r="H87" s="94"/>
      <c r="I87" s="94"/>
      <c r="J87" s="94"/>
      <c r="K87" s="94"/>
      <c r="L87" s="94"/>
      <c r="M87" s="94"/>
      <c r="N87" s="94"/>
      <c r="O87" s="94"/>
      <c r="P87" s="96"/>
      <c r="Q87" s="102">
        <f t="shared" si="42"/>
        <v>1.5</v>
      </c>
    </row>
    <row r="88" spans="1:17">
      <c r="A88" s="8" t="str">
        <f t="shared" si="38"/>
        <v>Ø570 Straight Duct (2.0m lengths)</v>
      </c>
      <c r="B88" s="94">
        <f t="shared" si="41"/>
        <v>0.68111905222728908</v>
      </c>
      <c r="C88" s="94" t="s">
        <v>277</v>
      </c>
      <c r="D88" s="105">
        <v>570</v>
      </c>
      <c r="E88" s="101">
        <f t="shared" si="27"/>
        <v>0.25517586328783093</v>
      </c>
      <c r="F88" s="101">
        <f t="shared" si="39"/>
        <v>1.7907078125461822</v>
      </c>
      <c r="G88" s="94">
        <f t="shared" si="40"/>
        <v>0.68111905222728908</v>
      </c>
      <c r="H88" s="94"/>
      <c r="I88" s="94"/>
      <c r="J88" s="94"/>
      <c r="K88" s="94"/>
      <c r="L88" s="94"/>
      <c r="M88" s="94"/>
      <c r="N88" s="94"/>
      <c r="O88" s="94"/>
      <c r="P88" s="96"/>
      <c r="Q88" s="102">
        <f t="shared" si="42"/>
        <v>2</v>
      </c>
    </row>
    <row r="89" spans="1:17" ht="15" customHeight="1">
      <c r="A89" s="8" t="str">
        <f t="shared" si="38"/>
        <v>Ø570 Straight Duct (2.5m lengths)</v>
      </c>
      <c r="B89" s="94">
        <f t="shared" si="41"/>
        <v>0.85139881528411132</v>
      </c>
      <c r="C89" s="94" t="s">
        <v>277</v>
      </c>
      <c r="D89" s="105">
        <v>570</v>
      </c>
      <c r="E89" s="101">
        <f t="shared" si="27"/>
        <v>0.25517586328783093</v>
      </c>
      <c r="F89" s="101">
        <f t="shared" si="39"/>
        <v>1.7907078125461822</v>
      </c>
      <c r="G89" s="94">
        <f t="shared" si="40"/>
        <v>0.85139881528411132</v>
      </c>
      <c r="H89" s="94"/>
      <c r="I89" s="94"/>
      <c r="J89" s="94"/>
      <c r="K89" s="94"/>
      <c r="L89" s="94"/>
      <c r="M89" s="94"/>
      <c r="N89" s="94"/>
      <c r="O89" s="94"/>
      <c r="P89" s="96"/>
      <c r="Q89" s="102">
        <f t="shared" si="42"/>
        <v>2.5</v>
      </c>
    </row>
    <row r="90" spans="1:17" ht="15" customHeight="1">
      <c r="A90" s="8" t="str">
        <f t="shared" si="38"/>
        <v>Ø570 Straight Duct (3.0m lengths)</v>
      </c>
      <c r="B90" s="94">
        <f t="shared" si="41"/>
        <v>1.0216785783409337</v>
      </c>
      <c r="C90" s="94" t="s">
        <v>277</v>
      </c>
      <c r="D90" s="105">
        <v>570</v>
      </c>
      <c r="E90" s="101">
        <f t="shared" si="27"/>
        <v>0.25517586328783093</v>
      </c>
      <c r="F90" s="101">
        <f t="shared" si="39"/>
        <v>1.7907078125461822</v>
      </c>
      <c r="G90" s="94">
        <f t="shared" si="40"/>
        <v>1.0216785783409337</v>
      </c>
      <c r="H90" s="94"/>
      <c r="I90" s="94"/>
      <c r="J90" s="94"/>
      <c r="K90" s="94"/>
      <c r="L90" s="94"/>
      <c r="M90" s="94"/>
      <c r="N90" s="94"/>
      <c r="O90" s="94"/>
      <c r="P90" s="96"/>
      <c r="Q90" s="102">
        <f t="shared" si="42"/>
        <v>3</v>
      </c>
    </row>
    <row r="91" spans="1:17" ht="15" customHeight="1">
      <c r="A91" s="8" t="str">
        <f t="shared" si="38"/>
        <v>Ø570 Straight Duct (3.5m lengths)</v>
      </c>
      <c r="B91" s="94">
        <f t="shared" si="41"/>
        <v>1.1919583413977559</v>
      </c>
      <c r="C91" s="94" t="s">
        <v>277</v>
      </c>
      <c r="D91" s="105">
        <v>570</v>
      </c>
      <c r="E91" s="101">
        <f t="shared" si="27"/>
        <v>0.25517586328783093</v>
      </c>
      <c r="F91" s="101">
        <f t="shared" si="39"/>
        <v>1.7907078125461822</v>
      </c>
      <c r="G91" s="94">
        <f t="shared" si="40"/>
        <v>1.1919583413977559</v>
      </c>
      <c r="H91" s="94"/>
      <c r="I91" s="94"/>
      <c r="J91" s="94"/>
      <c r="K91" s="94"/>
      <c r="L91" s="94"/>
      <c r="M91" s="94"/>
      <c r="N91" s="94"/>
      <c r="O91" s="94"/>
      <c r="P91" s="96"/>
      <c r="Q91" s="102">
        <f t="shared" si="42"/>
        <v>3.5</v>
      </c>
    </row>
    <row r="92" spans="1:17" ht="15" customHeight="1">
      <c r="A92" s="8" t="str">
        <f t="shared" si="38"/>
        <v>Ø570 Straight Duct (4.0m lengths)</v>
      </c>
      <c r="B92" s="94">
        <f t="shared" si="41"/>
        <v>1.3622381044545782</v>
      </c>
      <c r="C92" s="94" t="s">
        <v>277</v>
      </c>
      <c r="D92" s="105">
        <v>570</v>
      </c>
      <c r="E92" s="101">
        <f t="shared" si="27"/>
        <v>0.25517586328783093</v>
      </c>
      <c r="F92" s="101">
        <f t="shared" si="39"/>
        <v>1.7907078125461822</v>
      </c>
      <c r="G92" s="94">
        <f t="shared" si="40"/>
        <v>1.3622381044545782</v>
      </c>
      <c r="H92" s="94"/>
      <c r="I92" s="94"/>
      <c r="J92" s="94"/>
      <c r="K92" s="94"/>
      <c r="L92" s="94"/>
      <c r="M92" s="94"/>
      <c r="N92" s="94"/>
      <c r="O92" s="94"/>
      <c r="P92" s="96"/>
      <c r="Q92" s="102">
        <f t="shared" si="42"/>
        <v>4</v>
      </c>
    </row>
    <row r="93" spans="1:17" ht="15" customHeight="1">
      <c r="A93" s="8" t="str">
        <f t="shared" ref="A93:A110" si="43">"Ø"&amp;D93&amp;" "&amp;C93&amp;" ("&amp;O93&amp;"⁰)"</f>
        <v>Ø570 Bend (5⁰)</v>
      </c>
      <c r="B93" s="94">
        <f t="shared" si="41"/>
        <v>0.12430422703148024</v>
      </c>
      <c r="C93" s="99" t="s">
        <v>351</v>
      </c>
      <c r="D93" s="105">
        <v>570</v>
      </c>
      <c r="E93" s="101">
        <f t="shared" si="27"/>
        <v>0.25517586328783093</v>
      </c>
      <c r="F93" s="101">
        <f t="shared" si="39"/>
        <v>1.7907078125461822</v>
      </c>
      <c r="G93" s="94">
        <f t="shared" si="40"/>
        <v>0.12430422703148024</v>
      </c>
      <c r="H93" s="94"/>
      <c r="I93" s="94"/>
      <c r="J93" s="94"/>
      <c r="K93" s="94"/>
      <c r="L93" s="94"/>
      <c r="M93" s="94"/>
      <c r="N93" s="94"/>
      <c r="O93" s="95">
        <v>5</v>
      </c>
      <c r="P93" s="97">
        <v>7.2999999999999995E-2</v>
      </c>
      <c r="Q93" s="102">
        <f t="shared" ref="Q93:Q110" si="44">+O93*P93</f>
        <v>0.36499999999999999</v>
      </c>
    </row>
    <row r="94" spans="1:17" ht="15" customHeight="1">
      <c r="A94" s="8" t="str">
        <f t="shared" si="43"/>
        <v>Ø570 Bend (10⁰)</v>
      </c>
      <c r="B94" s="94">
        <f t="shared" si="41"/>
        <v>0.24860845406296048</v>
      </c>
      <c r="C94" s="99" t="s">
        <v>351</v>
      </c>
      <c r="D94" s="105">
        <v>570</v>
      </c>
      <c r="E94" s="101">
        <f t="shared" si="27"/>
        <v>0.25517586328783093</v>
      </c>
      <c r="F94" s="101">
        <f t="shared" si="39"/>
        <v>1.7907078125461822</v>
      </c>
      <c r="G94" s="94">
        <f t="shared" si="40"/>
        <v>0.24860845406296048</v>
      </c>
      <c r="H94" s="94"/>
      <c r="I94" s="94"/>
      <c r="J94" s="94"/>
      <c r="K94" s="94"/>
      <c r="L94" s="94"/>
      <c r="M94" s="94"/>
      <c r="N94" s="94"/>
      <c r="O94" s="95">
        <f>+O93+5</f>
        <v>10</v>
      </c>
      <c r="P94" s="97">
        <v>7.2999999999999995E-2</v>
      </c>
      <c r="Q94" s="102">
        <f t="shared" si="44"/>
        <v>0.73</v>
      </c>
    </row>
    <row r="95" spans="1:17" ht="15" customHeight="1">
      <c r="A95" s="8" t="str">
        <f t="shared" si="43"/>
        <v>Ø570 Bend (15⁰)</v>
      </c>
      <c r="B95" s="94">
        <f t="shared" si="41"/>
        <v>0.37291268109444076</v>
      </c>
      <c r="C95" s="99" t="s">
        <v>351</v>
      </c>
      <c r="D95" s="105">
        <v>570</v>
      </c>
      <c r="E95" s="101">
        <f t="shared" si="27"/>
        <v>0.25517586328783093</v>
      </c>
      <c r="F95" s="101">
        <f t="shared" si="39"/>
        <v>1.7907078125461822</v>
      </c>
      <c r="G95" s="94">
        <f t="shared" si="40"/>
        <v>0.37291268109444076</v>
      </c>
      <c r="H95" s="94"/>
      <c r="I95" s="94"/>
      <c r="J95" s="94"/>
      <c r="K95" s="94"/>
      <c r="L95" s="94"/>
      <c r="M95" s="94"/>
      <c r="N95" s="94"/>
      <c r="O95" s="95">
        <f t="shared" ref="O95:O110" si="45">+O94+5</f>
        <v>15</v>
      </c>
      <c r="P95" s="97">
        <v>7.2999999999999995E-2</v>
      </c>
      <c r="Q95" s="102">
        <f t="shared" si="44"/>
        <v>1.095</v>
      </c>
    </row>
    <row r="96" spans="1:17" ht="15" customHeight="1">
      <c r="A96" s="8" t="str">
        <f t="shared" si="43"/>
        <v>Ø570 Bend (20⁰)</v>
      </c>
      <c r="B96" s="94">
        <f t="shared" si="41"/>
        <v>0.49721690812592095</v>
      </c>
      <c r="C96" s="99" t="s">
        <v>351</v>
      </c>
      <c r="D96" s="105">
        <v>570</v>
      </c>
      <c r="E96" s="101">
        <f t="shared" si="27"/>
        <v>0.25517586328783093</v>
      </c>
      <c r="F96" s="101">
        <f t="shared" si="39"/>
        <v>1.7907078125461822</v>
      </c>
      <c r="G96" s="94">
        <f t="shared" si="40"/>
        <v>0.49721690812592095</v>
      </c>
      <c r="H96" s="94"/>
      <c r="I96" s="94"/>
      <c r="J96" s="94"/>
      <c r="K96" s="94"/>
      <c r="L96" s="94"/>
      <c r="M96" s="94"/>
      <c r="N96" s="94"/>
      <c r="O96" s="95">
        <f t="shared" si="45"/>
        <v>20</v>
      </c>
      <c r="P96" s="97">
        <v>7.2999999999999995E-2</v>
      </c>
      <c r="Q96" s="102">
        <f t="shared" si="44"/>
        <v>1.46</v>
      </c>
    </row>
    <row r="97" spans="1:17" ht="15" customHeight="1">
      <c r="A97" s="8" t="str">
        <f t="shared" si="43"/>
        <v>Ø570 Bend (25⁰)</v>
      </c>
      <c r="B97" s="94">
        <f t="shared" si="41"/>
        <v>0.62152113515740126</v>
      </c>
      <c r="C97" s="99" t="s">
        <v>351</v>
      </c>
      <c r="D97" s="105">
        <v>570</v>
      </c>
      <c r="E97" s="101">
        <f t="shared" si="27"/>
        <v>0.25517586328783093</v>
      </c>
      <c r="F97" s="101">
        <f t="shared" si="39"/>
        <v>1.7907078125461822</v>
      </c>
      <c r="G97" s="94">
        <f t="shared" si="40"/>
        <v>0.62152113515740126</v>
      </c>
      <c r="H97" s="94"/>
      <c r="I97" s="94"/>
      <c r="J97" s="94"/>
      <c r="K97" s="94"/>
      <c r="L97" s="94"/>
      <c r="M97" s="94"/>
      <c r="N97" s="94"/>
      <c r="O97" s="95">
        <f t="shared" si="45"/>
        <v>25</v>
      </c>
      <c r="P97" s="97">
        <v>7.2999999999999995E-2</v>
      </c>
      <c r="Q97" s="102">
        <f t="shared" si="44"/>
        <v>1.825</v>
      </c>
    </row>
    <row r="98" spans="1:17" ht="15" customHeight="1">
      <c r="A98" s="8" t="str">
        <f t="shared" si="43"/>
        <v>Ø570 Bend (30⁰)</v>
      </c>
      <c r="B98" s="94">
        <f t="shared" si="41"/>
        <v>0.74582536218888151</v>
      </c>
      <c r="C98" s="99" t="s">
        <v>351</v>
      </c>
      <c r="D98" s="105">
        <v>570</v>
      </c>
      <c r="E98" s="101">
        <f t="shared" si="27"/>
        <v>0.25517586328783093</v>
      </c>
      <c r="F98" s="101">
        <f t="shared" si="39"/>
        <v>1.7907078125461822</v>
      </c>
      <c r="G98" s="94">
        <f t="shared" si="40"/>
        <v>0.74582536218888151</v>
      </c>
      <c r="H98" s="94"/>
      <c r="I98" s="94"/>
      <c r="J98" s="94"/>
      <c r="K98" s="94"/>
      <c r="L98" s="94"/>
      <c r="M98" s="94"/>
      <c r="N98" s="94"/>
      <c r="O98" s="95">
        <f t="shared" si="45"/>
        <v>30</v>
      </c>
      <c r="P98" s="97">
        <v>7.2999999999999995E-2</v>
      </c>
      <c r="Q98" s="102">
        <f t="shared" si="44"/>
        <v>2.19</v>
      </c>
    </row>
    <row r="99" spans="1:17" ht="15" customHeight="1">
      <c r="A99" s="8" t="str">
        <f t="shared" si="43"/>
        <v>Ø570 Bend (35⁰)</v>
      </c>
      <c r="B99" s="94">
        <f t="shared" si="41"/>
        <v>0.87012958922036165</v>
      </c>
      <c r="C99" s="99" t="s">
        <v>351</v>
      </c>
      <c r="D99" s="105">
        <v>570</v>
      </c>
      <c r="E99" s="101">
        <f t="shared" si="27"/>
        <v>0.25517586328783093</v>
      </c>
      <c r="F99" s="101">
        <f t="shared" si="39"/>
        <v>1.7907078125461822</v>
      </c>
      <c r="G99" s="94">
        <f t="shared" si="40"/>
        <v>0.87012958922036165</v>
      </c>
      <c r="H99" s="94"/>
      <c r="I99" s="94"/>
      <c r="J99" s="94"/>
      <c r="K99" s="94"/>
      <c r="L99" s="94"/>
      <c r="M99" s="94"/>
      <c r="N99" s="94"/>
      <c r="O99" s="95">
        <f t="shared" si="45"/>
        <v>35</v>
      </c>
      <c r="P99" s="97">
        <v>7.2999999999999995E-2</v>
      </c>
      <c r="Q99" s="102">
        <f t="shared" si="44"/>
        <v>2.5549999999999997</v>
      </c>
    </row>
    <row r="100" spans="1:17" ht="15" customHeight="1">
      <c r="A100" s="8" t="str">
        <f t="shared" si="43"/>
        <v>Ø570 Bend (40⁰)</v>
      </c>
      <c r="B100" s="94">
        <f t="shared" si="41"/>
        <v>0.99443381625184191</v>
      </c>
      <c r="C100" s="99" t="s">
        <v>351</v>
      </c>
      <c r="D100" s="105">
        <v>570</v>
      </c>
      <c r="E100" s="101">
        <f t="shared" si="27"/>
        <v>0.25517586328783093</v>
      </c>
      <c r="F100" s="101">
        <f t="shared" si="39"/>
        <v>1.7907078125461822</v>
      </c>
      <c r="G100" s="94">
        <f t="shared" si="40"/>
        <v>0.99443381625184191</v>
      </c>
      <c r="H100" s="94"/>
      <c r="I100" s="94"/>
      <c r="J100" s="94"/>
      <c r="K100" s="94"/>
      <c r="L100" s="94"/>
      <c r="M100" s="94"/>
      <c r="N100" s="94"/>
      <c r="O100" s="95">
        <f t="shared" si="45"/>
        <v>40</v>
      </c>
      <c r="P100" s="97">
        <v>7.2999999999999995E-2</v>
      </c>
      <c r="Q100" s="102">
        <f t="shared" si="44"/>
        <v>2.92</v>
      </c>
    </row>
    <row r="101" spans="1:17" ht="15" customHeight="1">
      <c r="A101" s="8" t="str">
        <f t="shared" si="43"/>
        <v>Ø570 Bend (45⁰)</v>
      </c>
      <c r="B101" s="94">
        <f t="shared" si="41"/>
        <v>1.1187380432833223</v>
      </c>
      <c r="C101" s="99" t="s">
        <v>351</v>
      </c>
      <c r="D101" s="105">
        <v>570</v>
      </c>
      <c r="E101" s="101">
        <f t="shared" si="27"/>
        <v>0.25517586328783093</v>
      </c>
      <c r="F101" s="101">
        <f t="shared" si="39"/>
        <v>1.7907078125461822</v>
      </c>
      <c r="G101" s="94">
        <f t="shared" si="40"/>
        <v>1.1187380432833223</v>
      </c>
      <c r="H101" s="94"/>
      <c r="I101" s="94"/>
      <c r="J101" s="94"/>
      <c r="K101" s="94"/>
      <c r="L101" s="94"/>
      <c r="M101" s="94"/>
      <c r="N101" s="94"/>
      <c r="O101" s="95">
        <f t="shared" si="45"/>
        <v>45</v>
      </c>
      <c r="P101" s="97">
        <v>7.2999999999999995E-2</v>
      </c>
      <c r="Q101" s="102">
        <f t="shared" si="44"/>
        <v>3.2849999999999997</v>
      </c>
    </row>
    <row r="102" spans="1:17" ht="15" customHeight="1">
      <c r="A102" s="8" t="str">
        <f t="shared" si="43"/>
        <v>Ø570 Bend (50⁰)</v>
      </c>
      <c r="B102" s="94">
        <f t="shared" si="41"/>
        <v>1.2430422703148025</v>
      </c>
      <c r="C102" s="99" t="s">
        <v>351</v>
      </c>
      <c r="D102" s="105">
        <v>570</v>
      </c>
      <c r="E102" s="101">
        <f t="shared" si="27"/>
        <v>0.25517586328783093</v>
      </c>
      <c r="F102" s="101">
        <f t="shared" si="39"/>
        <v>1.7907078125461822</v>
      </c>
      <c r="G102" s="94">
        <f t="shared" si="40"/>
        <v>1.2430422703148025</v>
      </c>
      <c r="H102" s="94"/>
      <c r="I102" s="94"/>
      <c r="J102" s="94"/>
      <c r="K102" s="94"/>
      <c r="L102" s="94"/>
      <c r="M102" s="94"/>
      <c r="N102" s="94"/>
      <c r="O102" s="95">
        <f t="shared" si="45"/>
        <v>50</v>
      </c>
      <c r="P102" s="97">
        <v>7.2999999999999995E-2</v>
      </c>
      <c r="Q102" s="102">
        <f t="shared" si="44"/>
        <v>3.65</v>
      </c>
    </row>
    <row r="103" spans="1:17" ht="15" customHeight="1">
      <c r="A103" s="8" t="str">
        <f t="shared" si="43"/>
        <v>Ø570 Bend (55⁰)</v>
      </c>
      <c r="B103" s="94">
        <f t="shared" si="41"/>
        <v>1.3673464973462826</v>
      </c>
      <c r="C103" s="99" t="s">
        <v>351</v>
      </c>
      <c r="D103" s="105">
        <v>570</v>
      </c>
      <c r="E103" s="101">
        <f t="shared" si="27"/>
        <v>0.25517586328783093</v>
      </c>
      <c r="F103" s="101">
        <f t="shared" si="39"/>
        <v>1.7907078125461822</v>
      </c>
      <c r="G103" s="94">
        <f t="shared" si="40"/>
        <v>1.3673464973462826</v>
      </c>
      <c r="H103" s="94"/>
      <c r="I103" s="94"/>
      <c r="J103" s="94"/>
      <c r="K103" s="94"/>
      <c r="L103" s="94"/>
      <c r="M103" s="94"/>
      <c r="N103" s="94"/>
      <c r="O103" s="95">
        <f t="shared" si="45"/>
        <v>55</v>
      </c>
      <c r="P103" s="97">
        <v>7.2999999999999995E-2</v>
      </c>
      <c r="Q103" s="102">
        <f t="shared" si="44"/>
        <v>4.0149999999999997</v>
      </c>
    </row>
    <row r="104" spans="1:17" ht="15" customHeight="1">
      <c r="A104" s="8" t="str">
        <f t="shared" si="43"/>
        <v>Ø570 Bend (60⁰)</v>
      </c>
      <c r="B104" s="94">
        <f t="shared" si="41"/>
        <v>1.491650724377763</v>
      </c>
      <c r="C104" s="99" t="s">
        <v>351</v>
      </c>
      <c r="D104" s="105">
        <v>570</v>
      </c>
      <c r="E104" s="101">
        <f t="shared" si="27"/>
        <v>0.25517586328783093</v>
      </c>
      <c r="F104" s="101">
        <f t="shared" si="39"/>
        <v>1.7907078125461822</v>
      </c>
      <c r="G104" s="94">
        <f t="shared" si="40"/>
        <v>1.491650724377763</v>
      </c>
      <c r="H104" s="94"/>
      <c r="I104" s="94"/>
      <c r="J104" s="94"/>
      <c r="K104" s="94"/>
      <c r="L104" s="94"/>
      <c r="M104" s="94"/>
      <c r="N104" s="94"/>
      <c r="O104" s="95">
        <f t="shared" si="45"/>
        <v>60</v>
      </c>
      <c r="P104" s="97">
        <v>7.2999999999999995E-2</v>
      </c>
      <c r="Q104" s="102">
        <f t="shared" si="44"/>
        <v>4.38</v>
      </c>
    </row>
    <row r="105" spans="1:17" ht="15" customHeight="1">
      <c r="A105" s="8" t="str">
        <f t="shared" si="43"/>
        <v>Ø570 Bend (65⁰)</v>
      </c>
      <c r="B105" s="94">
        <f t="shared" si="41"/>
        <v>1.6159549514092433</v>
      </c>
      <c r="C105" s="99" t="s">
        <v>351</v>
      </c>
      <c r="D105" s="105">
        <v>570</v>
      </c>
      <c r="E105" s="101">
        <f t="shared" si="27"/>
        <v>0.25517586328783093</v>
      </c>
      <c r="F105" s="101">
        <f t="shared" si="39"/>
        <v>1.7907078125461822</v>
      </c>
      <c r="G105" s="94">
        <f t="shared" si="40"/>
        <v>1.6159549514092433</v>
      </c>
      <c r="H105" s="94"/>
      <c r="I105" s="94"/>
      <c r="J105" s="94"/>
      <c r="K105" s="94"/>
      <c r="L105" s="94"/>
      <c r="M105" s="94"/>
      <c r="N105" s="94"/>
      <c r="O105" s="95">
        <f t="shared" si="45"/>
        <v>65</v>
      </c>
      <c r="P105" s="97">
        <v>7.2999999999999995E-2</v>
      </c>
      <c r="Q105" s="102">
        <f t="shared" si="44"/>
        <v>4.7450000000000001</v>
      </c>
    </row>
    <row r="106" spans="1:17" ht="15" customHeight="1">
      <c r="A106" s="8" t="str">
        <f t="shared" si="43"/>
        <v>Ø570 Bend (70⁰)</v>
      </c>
      <c r="B106" s="94">
        <f t="shared" si="41"/>
        <v>1.7402591784407233</v>
      </c>
      <c r="C106" s="99" t="s">
        <v>351</v>
      </c>
      <c r="D106" s="105">
        <v>570</v>
      </c>
      <c r="E106" s="101">
        <f t="shared" si="27"/>
        <v>0.25517586328783093</v>
      </c>
      <c r="F106" s="101">
        <f t="shared" si="39"/>
        <v>1.7907078125461822</v>
      </c>
      <c r="G106" s="94">
        <f t="shared" si="40"/>
        <v>1.7402591784407233</v>
      </c>
      <c r="H106" s="94"/>
      <c r="I106" s="94"/>
      <c r="J106" s="94"/>
      <c r="K106" s="94"/>
      <c r="L106" s="94"/>
      <c r="M106" s="94"/>
      <c r="N106" s="94"/>
      <c r="O106" s="95">
        <f t="shared" si="45"/>
        <v>70</v>
      </c>
      <c r="P106" s="97">
        <v>7.2999999999999995E-2</v>
      </c>
      <c r="Q106" s="102">
        <f t="shared" si="44"/>
        <v>5.1099999999999994</v>
      </c>
    </row>
    <row r="107" spans="1:17" ht="15" customHeight="1">
      <c r="A107" s="8" t="str">
        <f t="shared" si="43"/>
        <v>Ø570 Bend (75⁰)</v>
      </c>
      <c r="B107" s="94">
        <f t="shared" si="41"/>
        <v>1.8645634054722036</v>
      </c>
      <c r="C107" s="99" t="s">
        <v>351</v>
      </c>
      <c r="D107" s="105">
        <v>570</v>
      </c>
      <c r="E107" s="101">
        <f t="shared" si="27"/>
        <v>0.25517586328783093</v>
      </c>
      <c r="F107" s="101">
        <f t="shared" si="39"/>
        <v>1.7907078125461822</v>
      </c>
      <c r="G107" s="94">
        <f t="shared" si="40"/>
        <v>1.8645634054722036</v>
      </c>
      <c r="H107" s="94"/>
      <c r="I107" s="94"/>
      <c r="J107" s="94"/>
      <c r="K107" s="94"/>
      <c r="L107" s="94"/>
      <c r="M107" s="94"/>
      <c r="N107" s="94"/>
      <c r="O107" s="95">
        <f t="shared" si="45"/>
        <v>75</v>
      </c>
      <c r="P107" s="97">
        <v>7.2999999999999995E-2</v>
      </c>
      <c r="Q107" s="102">
        <f t="shared" si="44"/>
        <v>5.4749999999999996</v>
      </c>
    </row>
    <row r="108" spans="1:17" ht="15" customHeight="1">
      <c r="A108" s="8" t="str">
        <f t="shared" si="43"/>
        <v>Ø570 Bend (80⁰)</v>
      </c>
      <c r="B108" s="94">
        <f t="shared" si="41"/>
        <v>1.9888676325036838</v>
      </c>
      <c r="C108" s="99" t="s">
        <v>351</v>
      </c>
      <c r="D108" s="105">
        <v>570</v>
      </c>
      <c r="E108" s="101">
        <f t="shared" si="27"/>
        <v>0.25517586328783093</v>
      </c>
      <c r="F108" s="101">
        <f t="shared" si="39"/>
        <v>1.7907078125461822</v>
      </c>
      <c r="G108" s="94">
        <f t="shared" si="40"/>
        <v>1.9888676325036838</v>
      </c>
      <c r="H108" s="94"/>
      <c r="I108" s="94"/>
      <c r="J108" s="94"/>
      <c r="K108" s="94"/>
      <c r="L108" s="94"/>
      <c r="M108" s="94"/>
      <c r="N108" s="94"/>
      <c r="O108" s="95">
        <f t="shared" si="45"/>
        <v>80</v>
      </c>
      <c r="P108" s="97">
        <v>7.2999999999999995E-2</v>
      </c>
      <c r="Q108" s="102">
        <f t="shared" si="44"/>
        <v>5.84</v>
      </c>
    </row>
    <row r="109" spans="1:17" ht="15" customHeight="1">
      <c r="A109" s="8" t="str">
        <f t="shared" si="43"/>
        <v>Ø570 Bend (85⁰)</v>
      </c>
      <c r="B109" s="94">
        <f t="shared" si="41"/>
        <v>2.1131718595351643</v>
      </c>
      <c r="C109" s="99" t="s">
        <v>351</v>
      </c>
      <c r="D109" s="105">
        <v>570</v>
      </c>
      <c r="E109" s="101">
        <f t="shared" si="27"/>
        <v>0.25517586328783093</v>
      </c>
      <c r="F109" s="101">
        <f t="shared" si="39"/>
        <v>1.7907078125461822</v>
      </c>
      <c r="G109" s="94">
        <f t="shared" si="40"/>
        <v>2.1131718595351643</v>
      </c>
      <c r="H109" s="94"/>
      <c r="I109" s="94"/>
      <c r="J109" s="94"/>
      <c r="K109" s="94"/>
      <c r="L109" s="94"/>
      <c r="M109" s="94"/>
      <c r="N109" s="94"/>
      <c r="O109" s="95">
        <f t="shared" si="45"/>
        <v>85</v>
      </c>
      <c r="P109" s="97">
        <v>7.2999999999999995E-2</v>
      </c>
      <c r="Q109" s="102">
        <f t="shared" si="44"/>
        <v>6.2049999999999992</v>
      </c>
    </row>
    <row r="110" spans="1:17" ht="15" customHeight="1">
      <c r="A110" s="8" t="str">
        <f t="shared" si="43"/>
        <v>Ø570 Bend (90⁰)</v>
      </c>
      <c r="B110" s="94">
        <f t="shared" si="41"/>
        <v>2.2374760865666445</v>
      </c>
      <c r="C110" s="99" t="s">
        <v>351</v>
      </c>
      <c r="D110" s="105">
        <v>570</v>
      </c>
      <c r="E110" s="101">
        <f t="shared" si="27"/>
        <v>0.25517586328783093</v>
      </c>
      <c r="F110" s="101">
        <f t="shared" si="39"/>
        <v>1.7907078125461822</v>
      </c>
      <c r="G110" s="94">
        <f t="shared" si="40"/>
        <v>2.2374760865666445</v>
      </c>
      <c r="H110" s="94"/>
      <c r="I110" s="94"/>
      <c r="J110" s="94"/>
      <c r="K110" s="94"/>
      <c r="L110" s="94"/>
      <c r="M110" s="94"/>
      <c r="N110" s="94"/>
      <c r="O110" s="95">
        <f t="shared" si="45"/>
        <v>90</v>
      </c>
      <c r="P110" s="97">
        <v>7.2999999999999995E-2</v>
      </c>
      <c r="Q110" s="102">
        <f t="shared" si="44"/>
        <v>6.5699999999999994</v>
      </c>
    </row>
    <row r="111" spans="1:17" ht="15" customHeight="1">
      <c r="A111" s="8" t="str">
        <f>"Ø"&amp;D111&amp;" "&amp;C111</f>
        <v>Ø570 T-Piece</v>
      </c>
      <c r="B111" s="94">
        <f t="shared" si="41"/>
        <v>6.8111905222728905E-2</v>
      </c>
      <c r="C111" s="99" t="s">
        <v>352</v>
      </c>
      <c r="D111" s="105">
        <v>570</v>
      </c>
      <c r="E111" s="101">
        <f t="shared" si="27"/>
        <v>0.25517586328783093</v>
      </c>
      <c r="F111" s="101">
        <f t="shared" si="39"/>
        <v>1.7907078125461822</v>
      </c>
      <c r="G111" s="94">
        <f t="shared" si="40"/>
        <v>6.8111905222728905E-2</v>
      </c>
      <c r="H111" s="94"/>
      <c r="I111" s="94"/>
      <c r="J111" s="94"/>
      <c r="K111" s="94"/>
      <c r="L111" s="94"/>
      <c r="M111" s="94"/>
      <c r="N111" s="94"/>
      <c r="O111" s="95"/>
      <c r="P111" s="97">
        <v>0.2</v>
      </c>
      <c r="Q111" s="102">
        <f>+P111</f>
        <v>0.2</v>
      </c>
    </row>
    <row r="112" spans="1:17" ht="15" customHeight="1">
      <c r="A112" s="8" t="str">
        <f>"Ø"&amp;D112&amp;" "&amp;C112</f>
        <v>Ø570 Y-Piece</v>
      </c>
      <c r="B112" s="94">
        <f t="shared" si="41"/>
        <v>-0.18151822741857254</v>
      </c>
      <c r="C112" s="99" t="s">
        <v>353</v>
      </c>
      <c r="D112" s="105">
        <v>570</v>
      </c>
      <c r="E112" s="101">
        <f t="shared" si="27"/>
        <v>0.25517586328783093</v>
      </c>
      <c r="F112" s="101">
        <f t="shared" si="39"/>
        <v>1.7907078125461822</v>
      </c>
      <c r="G112" s="94">
        <f t="shared" si="40"/>
        <v>-0.18151822741857254</v>
      </c>
      <c r="H112" s="94"/>
      <c r="I112" s="94"/>
      <c r="J112" s="94"/>
      <c r="K112" s="94"/>
      <c r="L112" s="94"/>
      <c r="M112" s="94"/>
      <c r="N112" s="94"/>
      <c r="O112" s="95"/>
      <c r="P112" s="97">
        <v>-0.53300000000000003</v>
      </c>
      <c r="Q112" s="102">
        <f>+P112</f>
        <v>-0.53300000000000003</v>
      </c>
    </row>
    <row r="113" spans="1:17" ht="15" customHeight="1">
      <c r="A113" s="8" t="str">
        <f>"Ø"&amp;D113&amp;" "&amp;C113</f>
        <v>Ø570 Screen</v>
      </c>
      <c r="B113" s="94">
        <f t="shared" si="41"/>
        <v>0.19173501320198189</v>
      </c>
      <c r="C113" s="99" t="s">
        <v>354</v>
      </c>
      <c r="D113" s="105">
        <v>570</v>
      </c>
      <c r="E113" s="101">
        <f t="shared" si="27"/>
        <v>0.25517586328783093</v>
      </c>
      <c r="F113" s="101">
        <f t="shared" si="39"/>
        <v>1.7907078125461822</v>
      </c>
      <c r="G113" s="94">
        <f t="shared" si="40"/>
        <v>0.19173501320198189</v>
      </c>
      <c r="H113" s="94"/>
      <c r="I113" s="94"/>
      <c r="J113" s="94"/>
      <c r="K113" s="94"/>
      <c r="L113" s="94"/>
      <c r="M113" s="94"/>
      <c r="N113" s="94"/>
      <c r="O113" s="95"/>
      <c r="P113" s="97">
        <v>0.56300000000000006</v>
      </c>
      <c r="Q113" s="102">
        <f>+P113</f>
        <v>0.56300000000000006</v>
      </c>
    </row>
    <row r="114" spans="1:17">
      <c r="A114" s="8" t="str">
        <f>"Ø"&amp;D114&amp;" "&amp;C114</f>
        <v>Ø570 Flat Nose Cone</v>
      </c>
      <c r="B114" s="94">
        <f t="shared" si="41"/>
        <v>6.640910759216069E-2</v>
      </c>
      <c r="C114" s="99" t="s">
        <v>355</v>
      </c>
      <c r="D114" s="105">
        <v>570</v>
      </c>
      <c r="E114" s="101">
        <f t="shared" si="27"/>
        <v>0.25517586328783093</v>
      </c>
      <c r="F114" s="101">
        <f t="shared" si="39"/>
        <v>1.7907078125461822</v>
      </c>
      <c r="G114" s="94">
        <f t="shared" si="40"/>
        <v>6.640910759216069E-2</v>
      </c>
      <c r="H114" s="94"/>
      <c r="I114" s="94"/>
      <c r="J114" s="94"/>
      <c r="K114" s="94"/>
      <c r="L114" s="94"/>
      <c r="M114" s="94"/>
      <c r="N114" s="94"/>
      <c r="O114" s="95"/>
      <c r="P114" s="97">
        <v>0.19500000000000001</v>
      </c>
      <c r="Q114" s="102">
        <f>+P114</f>
        <v>0.19500000000000001</v>
      </c>
    </row>
    <row r="115" spans="1:17">
      <c r="A115" s="8" t="str">
        <f>"Ø"&amp;D115&amp;" "&amp;C115</f>
        <v>Ø570 Sharp Nose Cone</v>
      </c>
      <c r="B115" s="94">
        <f t="shared" si="41"/>
        <v>0</v>
      </c>
      <c r="C115" s="99" t="s">
        <v>356</v>
      </c>
      <c r="D115" s="105">
        <v>570</v>
      </c>
      <c r="E115" s="101">
        <f t="shared" si="27"/>
        <v>0.25517586328783093</v>
      </c>
      <c r="F115" s="101">
        <f t="shared" si="39"/>
        <v>1.7907078125461822</v>
      </c>
      <c r="G115" s="94">
        <f t="shared" si="40"/>
        <v>0</v>
      </c>
      <c r="H115" s="94"/>
      <c r="I115" s="94"/>
      <c r="J115" s="94"/>
      <c r="K115" s="94"/>
      <c r="L115" s="94"/>
      <c r="M115" s="94"/>
      <c r="N115" s="94"/>
      <c r="O115" s="95"/>
      <c r="P115" s="97">
        <v>0</v>
      </c>
      <c r="Q115" s="102">
        <f>+P115</f>
        <v>0</v>
      </c>
    </row>
    <row r="116" spans="1:17">
      <c r="A116" s="106" t="str">
        <f t="shared" ref="A116:A121" si="46">IF(D116&lt;H116,"Ø"&amp;D116&amp;" to Ø"&amp;H116&amp;" Evaseé","Ø"&amp;D116&amp;" to Ø"&amp;H116&amp;" Reducer")</f>
        <v>Ø570 to Ø305 Reducer</v>
      </c>
      <c r="B116" s="111">
        <f t="shared" ref="B116:B121" si="47">+N116</f>
        <v>110.950689</v>
      </c>
      <c r="C116" s="110"/>
      <c r="D116" s="105">
        <v>570</v>
      </c>
      <c r="E116" s="103">
        <f t="shared" si="27"/>
        <v>0.25517586328783093</v>
      </c>
      <c r="F116" s="103">
        <f t="shared" ref="F116:F121" si="48">PI()*(H116/1000)</f>
        <v>0.95818575934488692</v>
      </c>
      <c r="G116" s="107">
        <f t="shared" ref="G116:G121" si="49">(($S$4*F116*$R$4)/(E116^3))</f>
        <v>0.18222922011344136</v>
      </c>
      <c r="H116" s="105">
        <v>305</v>
      </c>
      <c r="I116" s="103">
        <f t="shared" ref="I116:I121" si="50">PI()*((H116/1000)^2)/4</f>
        <v>7.3061664150047625E-2</v>
      </c>
      <c r="J116" s="103">
        <f t="shared" ref="J116:J121" si="51">PI()*(H116/1000)</f>
        <v>0.95818575934488692</v>
      </c>
      <c r="K116" s="108">
        <f t="shared" ref="K116:K121" si="52">(($S$4*J116*$R$4)/(I116^3))</f>
        <v>7.7636887229801461</v>
      </c>
      <c r="L116" s="107">
        <f t="shared" ref="L116:L121" si="53">IF(D116&lt;H116,-K116,K116)</f>
        <v>7.7636887229801461</v>
      </c>
      <c r="M116" s="107">
        <f t="shared" ref="M116:M121" si="54">(((1/$I116)^2)*1.2/2-((1/$E116)^2)*1.2/2)/(1^2)</f>
        <v>103.18699987140035</v>
      </c>
      <c r="N116" s="107">
        <f t="shared" ref="N116:N121" si="55">ROUNDUP((M116+L116),6)</f>
        <v>110.950689</v>
      </c>
    </row>
    <row r="117" spans="1:17">
      <c r="A117" s="106" t="str">
        <f t="shared" si="46"/>
        <v>Ø570 to Ø380 Reducer</v>
      </c>
      <c r="B117" s="111">
        <f t="shared" si="47"/>
        <v>40.020055999999997</v>
      </c>
      <c r="C117" s="110"/>
      <c r="D117" s="105">
        <v>570</v>
      </c>
      <c r="E117" s="103">
        <f t="shared" si="27"/>
        <v>0.25517586328783093</v>
      </c>
      <c r="F117" s="103">
        <f t="shared" si="48"/>
        <v>1.1938052083641213</v>
      </c>
      <c r="G117" s="107">
        <f t="shared" si="49"/>
        <v>0.227039684075763</v>
      </c>
      <c r="H117" s="105">
        <v>380</v>
      </c>
      <c r="I117" s="103">
        <f t="shared" si="50"/>
        <v>0.11341149479459153</v>
      </c>
      <c r="J117" s="103">
        <f t="shared" si="51"/>
        <v>1.1938052083641213</v>
      </c>
      <c r="K117" s="108">
        <f t="shared" si="52"/>
        <v>2.5861239014254869</v>
      </c>
      <c r="L117" s="107">
        <f t="shared" si="53"/>
        <v>2.5861239014254869</v>
      </c>
      <c r="M117" s="107">
        <f t="shared" si="54"/>
        <v>37.433931297005117</v>
      </c>
      <c r="N117" s="107">
        <f t="shared" si="55"/>
        <v>40.020055999999997</v>
      </c>
    </row>
    <row r="118" spans="1:17">
      <c r="A118" s="106" t="str">
        <f t="shared" si="46"/>
        <v>Ø570 to Ø405 Reducer</v>
      </c>
      <c r="B118" s="111">
        <f t="shared" si="47"/>
        <v>28.819663000000002</v>
      </c>
      <c r="C118" s="110"/>
      <c r="D118" s="105">
        <v>570</v>
      </c>
      <c r="E118" s="103">
        <f t="shared" si="27"/>
        <v>0.25517586328783093</v>
      </c>
      <c r="F118" s="103">
        <f t="shared" si="48"/>
        <v>1.2723450247038663</v>
      </c>
      <c r="G118" s="107">
        <f t="shared" si="49"/>
        <v>0.2419765053965369</v>
      </c>
      <c r="H118" s="105">
        <v>405</v>
      </c>
      <c r="I118" s="103">
        <f t="shared" si="50"/>
        <v>0.12882493375126647</v>
      </c>
      <c r="J118" s="103">
        <f t="shared" si="51"/>
        <v>1.2723450247038663</v>
      </c>
      <c r="K118" s="108">
        <f t="shared" si="52"/>
        <v>1.8805816544504048</v>
      </c>
      <c r="L118" s="107">
        <f t="shared" si="53"/>
        <v>1.8805816544504048</v>
      </c>
      <c r="M118" s="107">
        <f t="shared" si="54"/>
        <v>26.939081020615667</v>
      </c>
      <c r="N118" s="107">
        <f t="shared" si="55"/>
        <v>28.819663000000002</v>
      </c>
    </row>
    <row r="119" spans="1:17">
      <c r="A119" s="106" t="str">
        <f t="shared" si="46"/>
        <v>Ø570 to Ø760 Evaseé</v>
      </c>
      <c r="B119" s="111">
        <f t="shared" si="47"/>
        <v>-6.3797959999999998</v>
      </c>
      <c r="C119" s="110"/>
      <c r="D119" s="105">
        <v>570</v>
      </c>
      <c r="E119" s="103">
        <f t="shared" si="27"/>
        <v>0.25517586328783093</v>
      </c>
      <c r="F119" s="103">
        <f t="shared" si="48"/>
        <v>2.3876104167282426</v>
      </c>
      <c r="G119" s="107">
        <f t="shared" si="49"/>
        <v>0.454079368151526</v>
      </c>
      <c r="H119" s="105">
        <v>760</v>
      </c>
      <c r="I119" s="103">
        <f t="shared" si="50"/>
        <v>0.45364597917836613</v>
      </c>
      <c r="J119" s="103">
        <f t="shared" si="51"/>
        <v>2.3876104167282426</v>
      </c>
      <c r="K119" s="108">
        <f t="shared" si="52"/>
        <v>8.0816371919546465E-2</v>
      </c>
      <c r="L119" s="107">
        <f t="shared" si="53"/>
        <v>-8.0816371919546465E-2</v>
      </c>
      <c r="M119" s="107">
        <f t="shared" si="54"/>
        <v>-6.2989788240152862</v>
      </c>
      <c r="N119" s="107">
        <f t="shared" si="55"/>
        <v>-6.3797959999999998</v>
      </c>
    </row>
    <row r="120" spans="1:17">
      <c r="A120" s="106" t="str">
        <f t="shared" si="46"/>
        <v>Ø570 to Ø1015 Evaseé</v>
      </c>
      <c r="B120" s="111">
        <f t="shared" si="47"/>
        <v>-8.3170809999999999</v>
      </c>
      <c r="C120" s="110"/>
      <c r="D120" s="105">
        <v>570</v>
      </c>
      <c r="E120" s="103">
        <f t="shared" si="27"/>
        <v>0.25517586328783093</v>
      </c>
      <c r="F120" s="103">
        <f t="shared" si="48"/>
        <v>3.1887165433936397</v>
      </c>
      <c r="G120" s="107">
        <f t="shared" si="49"/>
        <v>0.60643494562341949</v>
      </c>
      <c r="H120" s="105">
        <v>1015</v>
      </c>
      <c r="I120" s="103">
        <f t="shared" si="50"/>
        <v>0.80913682288613598</v>
      </c>
      <c r="J120" s="103">
        <f t="shared" si="51"/>
        <v>3.1887165433936397</v>
      </c>
      <c r="K120" s="108">
        <f t="shared" si="52"/>
        <v>1.902116443383645E-2</v>
      </c>
      <c r="L120" s="107">
        <f t="shared" si="53"/>
        <v>-1.902116443383645E-2</v>
      </c>
      <c r="M120" s="107">
        <f t="shared" si="54"/>
        <v>-8.2980592397674062</v>
      </c>
      <c r="N120" s="107">
        <f t="shared" si="55"/>
        <v>-8.3170809999999999</v>
      </c>
    </row>
    <row r="121" spans="1:17">
      <c r="A121" s="106" t="str">
        <f t="shared" si="46"/>
        <v>Ø570 to Ø1220 Evaseé</v>
      </c>
      <c r="B121" s="111">
        <f t="shared" si="47"/>
        <v>-8.7830199999999987</v>
      </c>
      <c r="C121" s="110"/>
      <c r="D121" s="105">
        <v>570</v>
      </c>
      <c r="E121" s="103">
        <f t="shared" si="27"/>
        <v>0.25517586328783093</v>
      </c>
      <c r="F121" s="103">
        <f t="shared" si="48"/>
        <v>3.8327430373795477</v>
      </c>
      <c r="G121" s="107">
        <f t="shared" si="49"/>
        <v>0.72891688045376546</v>
      </c>
      <c r="H121" s="105">
        <v>1220</v>
      </c>
      <c r="I121" s="103">
        <f t="shared" si="50"/>
        <v>1.168986626400762</v>
      </c>
      <c r="J121" s="103">
        <f t="shared" si="51"/>
        <v>3.8327430373795477</v>
      </c>
      <c r="K121" s="108">
        <f t="shared" si="52"/>
        <v>7.5817272685352989E-3</v>
      </c>
      <c r="L121" s="107">
        <f t="shared" si="53"/>
        <v>-7.5817272685352989E-3</v>
      </c>
      <c r="M121" s="107">
        <f t="shared" si="54"/>
        <v>-8.7754377824603296</v>
      </c>
      <c r="N121" s="107">
        <f t="shared" si="55"/>
        <v>-8.7830199999999987</v>
      </c>
    </row>
    <row r="122" spans="1:17">
      <c r="A122" s="8" t="str">
        <f t="shared" ref="A122:A129" si="56">"Ø"&amp;D122&amp;" "&amp;C122&amp;" ("&amp;TEXT(Q122,"0.0")&amp;"m lengths)"</f>
        <v>Ø760 Straight Duct (0.5m lengths)</v>
      </c>
      <c r="B122" s="94">
        <f>+G122</f>
        <v>4.0408185959773246E-2</v>
      </c>
      <c r="C122" s="94" t="s">
        <v>277</v>
      </c>
      <c r="D122" s="105">
        <v>760</v>
      </c>
      <c r="E122" s="101">
        <f t="shared" si="27"/>
        <v>0.45364597917836613</v>
      </c>
      <c r="F122" s="101">
        <f t="shared" ref="F122:F152" si="57">PI()*D122/1000</f>
        <v>2.387610416728243</v>
      </c>
      <c r="G122" s="94">
        <f t="shared" ref="G122:G152" si="58">$S$4*F122*Q122/(E122^3)</f>
        <v>4.0408185959773246E-2</v>
      </c>
      <c r="H122" s="94"/>
      <c r="I122" s="94"/>
      <c r="J122" s="94"/>
      <c r="K122" s="94"/>
      <c r="L122" s="94"/>
      <c r="M122" s="94"/>
      <c r="N122" s="94"/>
      <c r="O122" s="94"/>
      <c r="P122" s="96"/>
      <c r="Q122" s="102">
        <v>0.5</v>
      </c>
    </row>
    <row r="123" spans="1:17">
      <c r="A123" s="8" t="str">
        <f t="shared" si="56"/>
        <v>Ø760 Straight Duct (1.0m lengths)</v>
      </c>
      <c r="B123" s="94">
        <f t="shared" ref="B123:B152" si="59">+G123</f>
        <v>8.0816371919546492E-2</v>
      </c>
      <c r="C123" s="94" t="s">
        <v>277</v>
      </c>
      <c r="D123" s="105">
        <v>760</v>
      </c>
      <c r="E123" s="101">
        <f t="shared" si="27"/>
        <v>0.45364597917836613</v>
      </c>
      <c r="F123" s="101">
        <f t="shared" si="57"/>
        <v>2.387610416728243</v>
      </c>
      <c r="G123" s="94">
        <f t="shared" si="58"/>
        <v>8.0816371919546492E-2</v>
      </c>
      <c r="H123" s="94"/>
      <c r="I123" s="94"/>
      <c r="J123" s="94"/>
      <c r="K123" s="94"/>
      <c r="L123" s="94"/>
      <c r="M123" s="94"/>
      <c r="N123" s="94"/>
      <c r="O123" s="94"/>
      <c r="P123" s="96"/>
      <c r="Q123" s="102">
        <f t="shared" ref="Q123:Q129" si="60">+Q122+0.5</f>
        <v>1</v>
      </c>
    </row>
    <row r="124" spans="1:17">
      <c r="A124" s="8" t="str">
        <f t="shared" si="56"/>
        <v>Ø760 Straight Duct (1.5m lengths)</v>
      </c>
      <c r="B124" s="94">
        <f t="shared" si="59"/>
        <v>0.12122455787931974</v>
      </c>
      <c r="C124" s="94" t="s">
        <v>277</v>
      </c>
      <c r="D124" s="105">
        <v>760</v>
      </c>
      <c r="E124" s="101">
        <f t="shared" si="27"/>
        <v>0.45364597917836613</v>
      </c>
      <c r="F124" s="101">
        <f t="shared" si="57"/>
        <v>2.387610416728243</v>
      </c>
      <c r="G124" s="94">
        <f t="shared" si="58"/>
        <v>0.12122455787931974</v>
      </c>
      <c r="H124" s="94"/>
      <c r="I124" s="94"/>
      <c r="J124" s="94"/>
      <c r="K124" s="94"/>
      <c r="L124" s="94"/>
      <c r="M124" s="94"/>
      <c r="N124" s="94"/>
      <c r="O124" s="94"/>
      <c r="P124" s="96"/>
      <c r="Q124" s="102">
        <f t="shared" si="60"/>
        <v>1.5</v>
      </c>
    </row>
    <row r="125" spans="1:17">
      <c r="A125" s="8" t="str">
        <f t="shared" si="56"/>
        <v>Ø760 Straight Duct (2.0m lengths)</v>
      </c>
      <c r="B125" s="94">
        <f t="shared" si="59"/>
        <v>0.16163274383909298</v>
      </c>
      <c r="C125" s="94" t="s">
        <v>277</v>
      </c>
      <c r="D125" s="105">
        <v>760</v>
      </c>
      <c r="E125" s="101">
        <f t="shared" si="27"/>
        <v>0.45364597917836613</v>
      </c>
      <c r="F125" s="101">
        <f t="shared" si="57"/>
        <v>2.387610416728243</v>
      </c>
      <c r="G125" s="94">
        <f t="shared" si="58"/>
        <v>0.16163274383909298</v>
      </c>
      <c r="H125" s="94"/>
      <c r="I125" s="94"/>
      <c r="J125" s="94"/>
      <c r="K125" s="94"/>
      <c r="L125" s="94"/>
      <c r="M125" s="94"/>
      <c r="N125" s="94"/>
      <c r="O125" s="94"/>
      <c r="P125" s="96"/>
      <c r="Q125" s="102">
        <f t="shared" si="60"/>
        <v>2</v>
      </c>
    </row>
    <row r="126" spans="1:17" ht="15" customHeight="1">
      <c r="A126" s="8" t="str">
        <f t="shared" si="56"/>
        <v>Ø760 Straight Duct (2.5m lengths)</v>
      </c>
      <c r="B126" s="94">
        <f t="shared" si="59"/>
        <v>0.2020409297988662</v>
      </c>
      <c r="C126" s="94" t="s">
        <v>277</v>
      </c>
      <c r="D126" s="105">
        <v>760</v>
      </c>
      <c r="E126" s="101">
        <f t="shared" si="27"/>
        <v>0.45364597917836613</v>
      </c>
      <c r="F126" s="101">
        <f t="shared" si="57"/>
        <v>2.387610416728243</v>
      </c>
      <c r="G126" s="94">
        <f t="shared" si="58"/>
        <v>0.2020409297988662</v>
      </c>
      <c r="H126" s="94"/>
      <c r="I126" s="94"/>
      <c r="J126" s="94"/>
      <c r="K126" s="94"/>
      <c r="L126" s="94"/>
      <c r="M126" s="94"/>
      <c r="N126" s="94"/>
      <c r="O126" s="94"/>
      <c r="P126" s="96"/>
      <c r="Q126" s="102">
        <f t="shared" si="60"/>
        <v>2.5</v>
      </c>
    </row>
    <row r="127" spans="1:17" ht="15" customHeight="1">
      <c r="A127" s="8" t="str">
        <f t="shared" si="56"/>
        <v>Ø760 Straight Duct (3.0m lengths)</v>
      </c>
      <c r="B127" s="94">
        <f t="shared" si="59"/>
        <v>0.24244911575863948</v>
      </c>
      <c r="C127" s="94" t="s">
        <v>277</v>
      </c>
      <c r="D127" s="105">
        <v>760</v>
      </c>
      <c r="E127" s="101">
        <f t="shared" si="27"/>
        <v>0.45364597917836613</v>
      </c>
      <c r="F127" s="101">
        <f t="shared" si="57"/>
        <v>2.387610416728243</v>
      </c>
      <c r="G127" s="94">
        <f t="shared" si="58"/>
        <v>0.24244911575863948</v>
      </c>
      <c r="H127" s="94"/>
      <c r="I127" s="94"/>
      <c r="J127" s="94"/>
      <c r="K127" s="94"/>
      <c r="L127" s="94"/>
      <c r="M127" s="94"/>
      <c r="N127" s="94"/>
      <c r="O127" s="94"/>
      <c r="P127" s="96"/>
      <c r="Q127" s="102">
        <f t="shared" si="60"/>
        <v>3</v>
      </c>
    </row>
    <row r="128" spans="1:17" ht="15" customHeight="1">
      <c r="A128" s="8" t="str">
        <f t="shared" si="56"/>
        <v>Ø760 Straight Duct (3.5m lengths)</v>
      </c>
      <c r="B128" s="94">
        <f t="shared" si="59"/>
        <v>0.28285730171841272</v>
      </c>
      <c r="C128" s="94" t="s">
        <v>277</v>
      </c>
      <c r="D128" s="105">
        <v>760</v>
      </c>
      <c r="E128" s="101">
        <f t="shared" si="27"/>
        <v>0.45364597917836613</v>
      </c>
      <c r="F128" s="101">
        <f t="shared" si="57"/>
        <v>2.387610416728243</v>
      </c>
      <c r="G128" s="94">
        <f t="shared" si="58"/>
        <v>0.28285730171841272</v>
      </c>
      <c r="H128" s="94"/>
      <c r="I128" s="94"/>
      <c r="J128" s="94"/>
      <c r="K128" s="94"/>
      <c r="L128" s="94"/>
      <c r="M128" s="94"/>
      <c r="N128" s="94"/>
      <c r="O128" s="94"/>
      <c r="P128" s="96"/>
      <c r="Q128" s="102">
        <f t="shared" si="60"/>
        <v>3.5</v>
      </c>
    </row>
    <row r="129" spans="1:17" ht="15" customHeight="1">
      <c r="A129" s="8" t="str">
        <f t="shared" si="56"/>
        <v>Ø760 Straight Duct (4.0m lengths)</v>
      </c>
      <c r="B129" s="94">
        <f t="shared" si="59"/>
        <v>0.32326548767818597</v>
      </c>
      <c r="C129" s="94" t="s">
        <v>277</v>
      </c>
      <c r="D129" s="105">
        <v>760</v>
      </c>
      <c r="E129" s="101">
        <f t="shared" si="27"/>
        <v>0.45364597917836613</v>
      </c>
      <c r="F129" s="101">
        <f t="shared" si="57"/>
        <v>2.387610416728243</v>
      </c>
      <c r="G129" s="94">
        <f t="shared" si="58"/>
        <v>0.32326548767818597</v>
      </c>
      <c r="H129" s="94"/>
      <c r="I129" s="94"/>
      <c r="J129" s="94"/>
      <c r="K129" s="94"/>
      <c r="L129" s="94"/>
      <c r="M129" s="94"/>
      <c r="N129" s="94"/>
      <c r="O129" s="94"/>
      <c r="P129" s="96"/>
      <c r="Q129" s="102">
        <f t="shared" si="60"/>
        <v>4</v>
      </c>
    </row>
    <row r="130" spans="1:17" ht="15" customHeight="1">
      <c r="A130" s="8" t="str">
        <f t="shared" ref="A130:A147" si="61">"Ø"&amp;D130&amp;" "&amp;C130&amp;" ("&amp;O130&amp;"⁰)"</f>
        <v>Ø760 Bend (5⁰)</v>
      </c>
      <c r="B130" s="94">
        <f t="shared" si="59"/>
        <v>2.9497975750634467E-2</v>
      </c>
      <c r="C130" s="99" t="s">
        <v>351</v>
      </c>
      <c r="D130" s="105">
        <v>760</v>
      </c>
      <c r="E130" s="101">
        <f t="shared" si="27"/>
        <v>0.45364597917836613</v>
      </c>
      <c r="F130" s="101">
        <f t="shared" si="57"/>
        <v>2.387610416728243</v>
      </c>
      <c r="G130" s="94">
        <f t="shared" si="58"/>
        <v>2.9497975750634467E-2</v>
      </c>
      <c r="H130" s="94"/>
      <c r="I130" s="94"/>
      <c r="J130" s="94"/>
      <c r="K130" s="94"/>
      <c r="L130" s="94"/>
      <c r="M130" s="94"/>
      <c r="N130" s="94"/>
      <c r="O130" s="95">
        <v>5</v>
      </c>
      <c r="P130" s="97">
        <v>7.2999999999999995E-2</v>
      </c>
      <c r="Q130" s="102">
        <f t="shared" ref="Q130:Q147" si="62">+O130*P130</f>
        <v>0.36499999999999999</v>
      </c>
    </row>
    <row r="131" spans="1:17" ht="15" customHeight="1">
      <c r="A131" s="8" t="str">
        <f t="shared" si="61"/>
        <v>Ø760 Bend (10⁰)</v>
      </c>
      <c r="B131" s="94">
        <f t="shared" si="59"/>
        <v>5.8995951501268934E-2</v>
      </c>
      <c r="C131" s="99" t="s">
        <v>351</v>
      </c>
      <c r="D131" s="105">
        <v>760</v>
      </c>
      <c r="E131" s="101">
        <f t="shared" si="27"/>
        <v>0.45364597917836613</v>
      </c>
      <c r="F131" s="101">
        <f t="shared" si="57"/>
        <v>2.387610416728243</v>
      </c>
      <c r="G131" s="94">
        <f t="shared" si="58"/>
        <v>5.8995951501268934E-2</v>
      </c>
      <c r="H131" s="94"/>
      <c r="I131" s="94"/>
      <c r="J131" s="94"/>
      <c r="K131" s="94"/>
      <c r="L131" s="94"/>
      <c r="M131" s="94"/>
      <c r="N131" s="94"/>
      <c r="O131" s="95">
        <f>+O130+5</f>
        <v>10</v>
      </c>
      <c r="P131" s="97">
        <v>7.2999999999999995E-2</v>
      </c>
      <c r="Q131" s="102">
        <f t="shared" si="62"/>
        <v>0.73</v>
      </c>
    </row>
    <row r="132" spans="1:17" ht="15" customHeight="1">
      <c r="A132" s="8" t="str">
        <f t="shared" si="61"/>
        <v>Ø760 Bend (15⁰)</v>
      </c>
      <c r="B132" s="94">
        <f t="shared" si="59"/>
        <v>8.8493927251903401E-2</v>
      </c>
      <c r="C132" s="99" t="s">
        <v>351</v>
      </c>
      <c r="D132" s="105">
        <v>760</v>
      </c>
      <c r="E132" s="101">
        <f t="shared" si="27"/>
        <v>0.45364597917836613</v>
      </c>
      <c r="F132" s="101">
        <f t="shared" si="57"/>
        <v>2.387610416728243</v>
      </c>
      <c r="G132" s="94">
        <f t="shared" si="58"/>
        <v>8.8493927251903401E-2</v>
      </c>
      <c r="H132" s="94"/>
      <c r="I132" s="94"/>
      <c r="J132" s="94"/>
      <c r="K132" s="94"/>
      <c r="L132" s="94"/>
      <c r="M132" s="94"/>
      <c r="N132" s="94"/>
      <c r="O132" s="95">
        <f t="shared" ref="O132:O147" si="63">+O131+5</f>
        <v>15</v>
      </c>
      <c r="P132" s="97">
        <v>7.2999999999999995E-2</v>
      </c>
      <c r="Q132" s="102">
        <f t="shared" si="62"/>
        <v>1.095</v>
      </c>
    </row>
    <row r="133" spans="1:17" ht="15" customHeight="1">
      <c r="A133" s="8" t="str">
        <f t="shared" si="61"/>
        <v>Ø760 Bend (20⁰)</v>
      </c>
      <c r="B133" s="94">
        <f t="shared" si="59"/>
        <v>0.11799190300253787</v>
      </c>
      <c r="C133" s="99" t="s">
        <v>351</v>
      </c>
      <c r="D133" s="105">
        <v>760</v>
      </c>
      <c r="E133" s="101">
        <f t="shared" ref="E133:E196" si="64">PI()*((D133/1000)^2)/4</f>
        <v>0.45364597917836613</v>
      </c>
      <c r="F133" s="101">
        <f t="shared" si="57"/>
        <v>2.387610416728243</v>
      </c>
      <c r="G133" s="94">
        <f t="shared" si="58"/>
        <v>0.11799190300253787</v>
      </c>
      <c r="H133" s="94"/>
      <c r="I133" s="94"/>
      <c r="J133" s="94"/>
      <c r="K133" s="94"/>
      <c r="L133" s="94"/>
      <c r="M133" s="94"/>
      <c r="N133" s="94"/>
      <c r="O133" s="95">
        <f t="shared" si="63"/>
        <v>20</v>
      </c>
      <c r="P133" s="97">
        <v>7.2999999999999995E-2</v>
      </c>
      <c r="Q133" s="102">
        <f t="shared" si="62"/>
        <v>1.46</v>
      </c>
    </row>
    <row r="134" spans="1:17" ht="15" customHeight="1">
      <c r="A134" s="8" t="str">
        <f t="shared" si="61"/>
        <v>Ø760 Bend (25⁰)</v>
      </c>
      <c r="B134" s="94">
        <f t="shared" si="59"/>
        <v>0.14748987875317232</v>
      </c>
      <c r="C134" s="99" t="s">
        <v>351</v>
      </c>
      <c r="D134" s="105">
        <v>760</v>
      </c>
      <c r="E134" s="101">
        <f t="shared" si="64"/>
        <v>0.45364597917836613</v>
      </c>
      <c r="F134" s="101">
        <f t="shared" si="57"/>
        <v>2.387610416728243</v>
      </c>
      <c r="G134" s="94">
        <f t="shared" si="58"/>
        <v>0.14748987875317232</v>
      </c>
      <c r="H134" s="94"/>
      <c r="I134" s="94"/>
      <c r="J134" s="94"/>
      <c r="K134" s="94"/>
      <c r="L134" s="94"/>
      <c r="M134" s="94"/>
      <c r="N134" s="94"/>
      <c r="O134" s="95">
        <f t="shared" si="63"/>
        <v>25</v>
      </c>
      <c r="P134" s="97">
        <v>7.2999999999999995E-2</v>
      </c>
      <c r="Q134" s="102">
        <f t="shared" si="62"/>
        <v>1.825</v>
      </c>
    </row>
    <row r="135" spans="1:17" ht="15" customHeight="1">
      <c r="A135" s="8" t="str">
        <f t="shared" si="61"/>
        <v>Ø760 Bend (30⁰)</v>
      </c>
      <c r="B135" s="94">
        <f t="shared" si="59"/>
        <v>0.1769878545038068</v>
      </c>
      <c r="C135" s="99" t="s">
        <v>351</v>
      </c>
      <c r="D135" s="105">
        <v>760</v>
      </c>
      <c r="E135" s="101">
        <f t="shared" si="64"/>
        <v>0.45364597917836613</v>
      </c>
      <c r="F135" s="101">
        <f t="shared" si="57"/>
        <v>2.387610416728243</v>
      </c>
      <c r="G135" s="94">
        <f t="shared" si="58"/>
        <v>0.1769878545038068</v>
      </c>
      <c r="H135" s="94"/>
      <c r="I135" s="94"/>
      <c r="J135" s="94"/>
      <c r="K135" s="94"/>
      <c r="L135" s="94"/>
      <c r="M135" s="94"/>
      <c r="N135" s="94"/>
      <c r="O135" s="95">
        <f t="shared" si="63"/>
        <v>30</v>
      </c>
      <c r="P135" s="97">
        <v>7.2999999999999995E-2</v>
      </c>
      <c r="Q135" s="102">
        <f t="shared" si="62"/>
        <v>2.19</v>
      </c>
    </row>
    <row r="136" spans="1:17" ht="15" customHeight="1">
      <c r="A136" s="8" t="str">
        <f t="shared" si="61"/>
        <v>Ø760 Bend (35⁰)</v>
      </c>
      <c r="B136" s="94">
        <f t="shared" si="59"/>
        <v>0.20648583025444125</v>
      </c>
      <c r="C136" s="99" t="s">
        <v>351</v>
      </c>
      <c r="D136" s="105">
        <v>760</v>
      </c>
      <c r="E136" s="101">
        <f t="shared" si="64"/>
        <v>0.45364597917836613</v>
      </c>
      <c r="F136" s="101">
        <f t="shared" si="57"/>
        <v>2.387610416728243</v>
      </c>
      <c r="G136" s="94">
        <f t="shared" si="58"/>
        <v>0.20648583025444125</v>
      </c>
      <c r="H136" s="94"/>
      <c r="I136" s="94"/>
      <c r="J136" s="94"/>
      <c r="K136" s="94"/>
      <c r="L136" s="94"/>
      <c r="M136" s="94"/>
      <c r="N136" s="94"/>
      <c r="O136" s="95">
        <f t="shared" si="63"/>
        <v>35</v>
      </c>
      <c r="P136" s="97">
        <v>7.2999999999999995E-2</v>
      </c>
      <c r="Q136" s="102">
        <f t="shared" si="62"/>
        <v>2.5549999999999997</v>
      </c>
    </row>
    <row r="137" spans="1:17" ht="15" customHeight="1">
      <c r="A137" s="8" t="str">
        <f t="shared" si="61"/>
        <v>Ø760 Bend (40⁰)</v>
      </c>
      <c r="B137" s="94">
        <f t="shared" si="59"/>
        <v>0.23598380600507574</v>
      </c>
      <c r="C137" s="99" t="s">
        <v>351</v>
      </c>
      <c r="D137" s="105">
        <v>760</v>
      </c>
      <c r="E137" s="101">
        <f t="shared" si="64"/>
        <v>0.45364597917836613</v>
      </c>
      <c r="F137" s="101">
        <f t="shared" si="57"/>
        <v>2.387610416728243</v>
      </c>
      <c r="G137" s="94">
        <f t="shared" si="58"/>
        <v>0.23598380600507574</v>
      </c>
      <c r="H137" s="94"/>
      <c r="I137" s="94"/>
      <c r="J137" s="94"/>
      <c r="K137" s="94"/>
      <c r="L137" s="94"/>
      <c r="M137" s="94"/>
      <c r="N137" s="94"/>
      <c r="O137" s="95">
        <f t="shared" si="63"/>
        <v>40</v>
      </c>
      <c r="P137" s="97">
        <v>7.2999999999999995E-2</v>
      </c>
      <c r="Q137" s="102">
        <f t="shared" si="62"/>
        <v>2.92</v>
      </c>
    </row>
    <row r="138" spans="1:17" ht="15" customHeight="1">
      <c r="A138" s="8" t="str">
        <f t="shared" si="61"/>
        <v>Ø760 Bend (45⁰)</v>
      </c>
      <c r="B138" s="94">
        <f t="shared" si="59"/>
        <v>0.26548178175571019</v>
      </c>
      <c r="C138" s="99" t="s">
        <v>351</v>
      </c>
      <c r="D138" s="105">
        <v>760</v>
      </c>
      <c r="E138" s="101">
        <f t="shared" si="64"/>
        <v>0.45364597917836613</v>
      </c>
      <c r="F138" s="101">
        <f t="shared" si="57"/>
        <v>2.387610416728243</v>
      </c>
      <c r="G138" s="94">
        <f t="shared" si="58"/>
        <v>0.26548178175571019</v>
      </c>
      <c r="H138" s="94"/>
      <c r="I138" s="94"/>
      <c r="J138" s="94"/>
      <c r="K138" s="94"/>
      <c r="L138" s="94"/>
      <c r="M138" s="94"/>
      <c r="N138" s="94"/>
      <c r="O138" s="95">
        <f t="shared" si="63"/>
        <v>45</v>
      </c>
      <c r="P138" s="97">
        <v>7.2999999999999995E-2</v>
      </c>
      <c r="Q138" s="102">
        <f t="shared" si="62"/>
        <v>3.2849999999999997</v>
      </c>
    </row>
    <row r="139" spans="1:17" ht="15" customHeight="1">
      <c r="A139" s="8" t="str">
        <f t="shared" si="61"/>
        <v>Ø760 Bend (50⁰)</v>
      </c>
      <c r="B139" s="94">
        <f t="shared" si="59"/>
        <v>0.29497975750634464</v>
      </c>
      <c r="C139" s="99" t="s">
        <v>351</v>
      </c>
      <c r="D139" s="105">
        <v>760</v>
      </c>
      <c r="E139" s="101">
        <f t="shared" si="64"/>
        <v>0.45364597917836613</v>
      </c>
      <c r="F139" s="101">
        <f t="shared" si="57"/>
        <v>2.387610416728243</v>
      </c>
      <c r="G139" s="94">
        <f t="shared" si="58"/>
        <v>0.29497975750634464</v>
      </c>
      <c r="H139" s="94"/>
      <c r="I139" s="94"/>
      <c r="J139" s="94"/>
      <c r="K139" s="94"/>
      <c r="L139" s="94"/>
      <c r="M139" s="94"/>
      <c r="N139" s="94"/>
      <c r="O139" s="95">
        <f t="shared" si="63"/>
        <v>50</v>
      </c>
      <c r="P139" s="97">
        <v>7.2999999999999995E-2</v>
      </c>
      <c r="Q139" s="102">
        <f t="shared" si="62"/>
        <v>3.65</v>
      </c>
    </row>
    <row r="140" spans="1:17" ht="15" customHeight="1">
      <c r="A140" s="8" t="str">
        <f t="shared" si="61"/>
        <v>Ø760 Bend (55⁰)</v>
      </c>
      <c r="B140" s="94">
        <f t="shared" si="59"/>
        <v>0.32447773325697915</v>
      </c>
      <c r="C140" s="99" t="s">
        <v>351</v>
      </c>
      <c r="D140" s="105">
        <v>760</v>
      </c>
      <c r="E140" s="101">
        <f t="shared" si="64"/>
        <v>0.45364597917836613</v>
      </c>
      <c r="F140" s="101">
        <f t="shared" si="57"/>
        <v>2.387610416728243</v>
      </c>
      <c r="G140" s="94">
        <f t="shared" si="58"/>
        <v>0.32447773325697915</v>
      </c>
      <c r="H140" s="94"/>
      <c r="I140" s="94"/>
      <c r="J140" s="94"/>
      <c r="K140" s="94"/>
      <c r="L140" s="94"/>
      <c r="M140" s="94"/>
      <c r="N140" s="94"/>
      <c r="O140" s="95">
        <f t="shared" si="63"/>
        <v>55</v>
      </c>
      <c r="P140" s="97">
        <v>7.2999999999999995E-2</v>
      </c>
      <c r="Q140" s="102">
        <f t="shared" si="62"/>
        <v>4.0149999999999997</v>
      </c>
    </row>
    <row r="141" spans="1:17" ht="15" customHeight="1">
      <c r="A141" s="8" t="str">
        <f t="shared" si="61"/>
        <v>Ø760 Bend (60⁰)</v>
      </c>
      <c r="B141" s="94">
        <f t="shared" si="59"/>
        <v>0.3539757090076136</v>
      </c>
      <c r="C141" s="99" t="s">
        <v>351</v>
      </c>
      <c r="D141" s="105">
        <v>760</v>
      </c>
      <c r="E141" s="101">
        <f t="shared" si="64"/>
        <v>0.45364597917836613</v>
      </c>
      <c r="F141" s="101">
        <f t="shared" si="57"/>
        <v>2.387610416728243</v>
      </c>
      <c r="G141" s="94">
        <f t="shared" si="58"/>
        <v>0.3539757090076136</v>
      </c>
      <c r="H141" s="94"/>
      <c r="I141" s="94"/>
      <c r="J141" s="94"/>
      <c r="K141" s="94"/>
      <c r="L141" s="94"/>
      <c r="M141" s="94"/>
      <c r="N141" s="94"/>
      <c r="O141" s="95">
        <f t="shared" si="63"/>
        <v>60</v>
      </c>
      <c r="P141" s="97">
        <v>7.2999999999999995E-2</v>
      </c>
      <c r="Q141" s="102">
        <f t="shared" si="62"/>
        <v>4.38</v>
      </c>
    </row>
    <row r="142" spans="1:17" ht="15" customHeight="1">
      <c r="A142" s="8" t="str">
        <f t="shared" si="61"/>
        <v>Ø760 Bend (65⁰)</v>
      </c>
      <c r="B142" s="94">
        <f t="shared" si="59"/>
        <v>0.38347368475824806</v>
      </c>
      <c r="C142" s="99" t="s">
        <v>351</v>
      </c>
      <c r="D142" s="105">
        <v>760</v>
      </c>
      <c r="E142" s="101">
        <f t="shared" si="64"/>
        <v>0.45364597917836613</v>
      </c>
      <c r="F142" s="101">
        <f t="shared" si="57"/>
        <v>2.387610416728243</v>
      </c>
      <c r="G142" s="94">
        <f t="shared" si="58"/>
        <v>0.38347368475824806</v>
      </c>
      <c r="H142" s="94"/>
      <c r="I142" s="94"/>
      <c r="J142" s="94"/>
      <c r="K142" s="94"/>
      <c r="L142" s="94"/>
      <c r="M142" s="94"/>
      <c r="N142" s="94"/>
      <c r="O142" s="95">
        <f t="shared" si="63"/>
        <v>65</v>
      </c>
      <c r="P142" s="97">
        <v>7.2999999999999995E-2</v>
      </c>
      <c r="Q142" s="102">
        <f t="shared" si="62"/>
        <v>4.7450000000000001</v>
      </c>
    </row>
    <row r="143" spans="1:17" ht="15" customHeight="1">
      <c r="A143" s="8" t="str">
        <f t="shared" si="61"/>
        <v>Ø760 Bend (70⁰)</v>
      </c>
      <c r="B143" s="94">
        <f t="shared" si="59"/>
        <v>0.41297166050888251</v>
      </c>
      <c r="C143" s="99" t="s">
        <v>351</v>
      </c>
      <c r="D143" s="105">
        <v>760</v>
      </c>
      <c r="E143" s="101">
        <f t="shared" si="64"/>
        <v>0.45364597917836613</v>
      </c>
      <c r="F143" s="101">
        <f t="shared" si="57"/>
        <v>2.387610416728243</v>
      </c>
      <c r="G143" s="94">
        <f t="shared" si="58"/>
        <v>0.41297166050888251</v>
      </c>
      <c r="H143" s="94"/>
      <c r="I143" s="94"/>
      <c r="J143" s="94"/>
      <c r="K143" s="94"/>
      <c r="L143" s="94"/>
      <c r="M143" s="94"/>
      <c r="N143" s="94"/>
      <c r="O143" s="95">
        <f t="shared" si="63"/>
        <v>70</v>
      </c>
      <c r="P143" s="97">
        <v>7.2999999999999995E-2</v>
      </c>
      <c r="Q143" s="102">
        <f t="shared" si="62"/>
        <v>5.1099999999999994</v>
      </c>
    </row>
    <row r="144" spans="1:17" ht="15" customHeight="1">
      <c r="A144" s="8" t="str">
        <f t="shared" si="61"/>
        <v>Ø760 Bend (75⁰)</v>
      </c>
      <c r="B144" s="94">
        <f t="shared" si="59"/>
        <v>0.44246963625951702</v>
      </c>
      <c r="C144" s="99" t="s">
        <v>351</v>
      </c>
      <c r="D144" s="105">
        <v>760</v>
      </c>
      <c r="E144" s="101">
        <f t="shared" si="64"/>
        <v>0.45364597917836613</v>
      </c>
      <c r="F144" s="101">
        <f t="shared" si="57"/>
        <v>2.387610416728243</v>
      </c>
      <c r="G144" s="94">
        <f t="shared" si="58"/>
        <v>0.44246963625951702</v>
      </c>
      <c r="H144" s="94"/>
      <c r="I144" s="94"/>
      <c r="J144" s="94"/>
      <c r="K144" s="94"/>
      <c r="L144" s="94"/>
      <c r="M144" s="94"/>
      <c r="N144" s="94"/>
      <c r="O144" s="95">
        <f t="shared" si="63"/>
        <v>75</v>
      </c>
      <c r="P144" s="97">
        <v>7.2999999999999995E-2</v>
      </c>
      <c r="Q144" s="102">
        <f t="shared" si="62"/>
        <v>5.4749999999999996</v>
      </c>
    </row>
    <row r="145" spans="1:17" ht="15" customHeight="1">
      <c r="A145" s="8" t="str">
        <f t="shared" si="61"/>
        <v>Ø760 Bend (80⁰)</v>
      </c>
      <c r="B145" s="94">
        <f t="shared" si="59"/>
        <v>0.47196761201015147</v>
      </c>
      <c r="C145" s="99" t="s">
        <v>351</v>
      </c>
      <c r="D145" s="105">
        <v>760</v>
      </c>
      <c r="E145" s="101">
        <f t="shared" si="64"/>
        <v>0.45364597917836613</v>
      </c>
      <c r="F145" s="101">
        <f t="shared" si="57"/>
        <v>2.387610416728243</v>
      </c>
      <c r="G145" s="94">
        <f t="shared" si="58"/>
        <v>0.47196761201015147</v>
      </c>
      <c r="H145" s="94"/>
      <c r="I145" s="94"/>
      <c r="J145" s="94"/>
      <c r="K145" s="94"/>
      <c r="L145" s="94"/>
      <c r="M145" s="94"/>
      <c r="N145" s="94"/>
      <c r="O145" s="95">
        <f t="shared" si="63"/>
        <v>80</v>
      </c>
      <c r="P145" s="97">
        <v>7.2999999999999995E-2</v>
      </c>
      <c r="Q145" s="102">
        <f t="shared" si="62"/>
        <v>5.84</v>
      </c>
    </row>
    <row r="146" spans="1:17" ht="15" customHeight="1">
      <c r="A146" s="8" t="str">
        <f t="shared" si="61"/>
        <v>Ø760 Bend (85⁰)</v>
      </c>
      <c r="B146" s="94">
        <f t="shared" si="59"/>
        <v>0.50146558776078587</v>
      </c>
      <c r="C146" s="99" t="s">
        <v>351</v>
      </c>
      <c r="D146" s="105">
        <v>760</v>
      </c>
      <c r="E146" s="101">
        <f t="shared" si="64"/>
        <v>0.45364597917836613</v>
      </c>
      <c r="F146" s="101">
        <f t="shared" si="57"/>
        <v>2.387610416728243</v>
      </c>
      <c r="G146" s="94">
        <f t="shared" si="58"/>
        <v>0.50146558776078587</v>
      </c>
      <c r="H146" s="94"/>
      <c r="I146" s="94"/>
      <c r="J146" s="94"/>
      <c r="K146" s="94"/>
      <c r="L146" s="94"/>
      <c r="M146" s="94"/>
      <c r="N146" s="94"/>
      <c r="O146" s="95">
        <f t="shared" si="63"/>
        <v>85</v>
      </c>
      <c r="P146" s="97">
        <v>7.2999999999999995E-2</v>
      </c>
      <c r="Q146" s="102">
        <f t="shared" si="62"/>
        <v>6.2049999999999992</v>
      </c>
    </row>
    <row r="147" spans="1:17" ht="15" customHeight="1">
      <c r="A147" s="8" t="str">
        <f t="shared" si="61"/>
        <v>Ø760 Bend (90⁰)</v>
      </c>
      <c r="B147" s="94">
        <f t="shared" si="59"/>
        <v>0.53096356351142038</v>
      </c>
      <c r="C147" s="99" t="s">
        <v>351</v>
      </c>
      <c r="D147" s="105">
        <v>760</v>
      </c>
      <c r="E147" s="101">
        <f t="shared" si="64"/>
        <v>0.45364597917836613</v>
      </c>
      <c r="F147" s="101">
        <f t="shared" si="57"/>
        <v>2.387610416728243</v>
      </c>
      <c r="G147" s="94">
        <f t="shared" si="58"/>
        <v>0.53096356351142038</v>
      </c>
      <c r="H147" s="94"/>
      <c r="I147" s="94"/>
      <c r="J147" s="94"/>
      <c r="K147" s="94"/>
      <c r="L147" s="94"/>
      <c r="M147" s="94"/>
      <c r="N147" s="94"/>
      <c r="O147" s="95">
        <f t="shared" si="63"/>
        <v>90</v>
      </c>
      <c r="P147" s="97">
        <v>7.2999999999999995E-2</v>
      </c>
      <c r="Q147" s="102">
        <f t="shared" si="62"/>
        <v>6.5699999999999994</v>
      </c>
    </row>
    <row r="148" spans="1:17" ht="15" customHeight="1">
      <c r="A148" s="8" t="str">
        <f>"Ø"&amp;D148&amp;" "&amp;C148</f>
        <v>Ø760 T-Piece</v>
      </c>
      <c r="B148" s="94">
        <f t="shared" si="59"/>
        <v>1.6163274383909298E-2</v>
      </c>
      <c r="C148" s="99" t="s">
        <v>352</v>
      </c>
      <c r="D148" s="105">
        <v>760</v>
      </c>
      <c r="E148" s="101">
        <f t="shared" si="64"/>
        <v>0.45364597917836613</v>
      </c>
      <c r="F148" s="101">
        <f t="shared" si="57"/>
        <v>2.387610416728243</v>
      </c>
      <c r="G148" s="94">
        <f t="shared" si="58"/>
        <v>1.6163274383909298E-2</v>
      </c>
      <c r="H148" s="94"/>
      <c r="I148" s="94"/>
      <c r="J148" s="94"/>
      <c r="K148" s="94"/>
      <c r="L148" s="94"/>
      <c r="M148" s="94"/>
      <c r="N148" s="94"/>
      <c r="O148" s="95"/>
      <c r="P148" s="97">
        <v>0.2</v>
      </c>
      <c r="Q148" s="102">
        <f>+P148</f>
        <v>0.2</v>
      </c>
    </row>
    <row r="149" spans="1:17" ht="15" customHeight="1">
      <c r="A149" s="8" t="str">
        <f>"Ø"&amp;D149&amp;" "&amp;C149</f>
        <v>Ø760 Y-Piece</v>
      </c>
      <c r="B149" s="94">
        <f t="shared" si="59"/>
        <v>-4.3075126233118287E-2</v>
      </c>
      <c r="C149" s="99" t="s">
        <v>353</v>
      </c>
      <c r="D149" s="105">
        <v>760</v>
      </c>
      <c r="E149" s="101">
        <f t="shared" si="64"/>
        <v>0.45364597917836613</v>
      </c>
      <c r="F149" s="101">
        <f t="shared" si="57"/>
        <v>2.387610416728243</v>
      </c>
      <c r="G149" s="94">
        <f t="shared" si="58"/>
        <v>-4.3075126233118287E-2</v>
      </c>
      <c r="H149" s="94"/>
      <c r="I149" s="94"/>
      <c r="J149" s="94"/>
      <c r="K149" s="94"/>
      <c r="L149" s="94"/>
      <c r="M149" s="94"/>
      <c r="N149" s="94"/>
      <c r="O149" s="95"/>
      <c r="P149" s="97">
        <v>-0.53300000000000003</v>
      </c>
      <c r="Q149" s="102">
        <f>+P149</f>
        <v>-0.53300000000000003</v>
      </c>
    </row>
    <row r="150" spans="1:17" ht="15" customHeight="1">
      <c r="A150" s="8" t="str">
        <f>"Ø"&amp;D150&amp;" "&amp;C150</f>
        <v>Ø760 Screen</v>
      </c>
      <c r="B150" s="94">
        <f t="shared" si="59"/>
        <v>4.5499617390704676E-2</v>
      </c>
      <c r="C150" s="99" t="s">
        <v>354</v>
      </c>
      <c r="D150" s="105">
        <v>760</v>
      </c>
      <c r="E150" s="101">
        <f t="shared" si="64"/>
        <v>0.45364597917836613</v>
      </c>
      <c r="F150" s="101">
        <f t="shared" si="57"/>
        <v>2.387610416728243</v>
      </c>
      <c r="G150" s="94">
        <f t="shared" si="58"/>
        <v>4.5499617390704676E-2</v>
      </c>
      <c r="H150" s="94"/>
      <c r="I150" s="94"/>
      <c r="J150" s="94"/>
      <c r="K150" s="94"/>
      <c r="L150" s="94"/>
      <c r="M150" s="94"/>
      <c r="N150" s="94"/>
      <c r="O150" s="95"/>
      <c r="P150" s="97">
        <v>0.56300000000000006</v>
      </c>
      <c r="Q150" s="102">
        <f>+P150</f>
        <v>0.56300000000000006</v>
      </c>
    </row>
    <row r="151" spans="1:17">
      <c r="A151" s="8" t="str">
        <f>"Ø"&amp;D151&amp;" "&amp;C151</f>
        <v>Ø760 Flat Nose Cone</v>
      </c>
      <c r="B151" s="94">
        <f t="shared" si="59"/>
        <v>1.5759192524311565E-2</v>
      </c>
      <c r="C151" s="99" t="s">
        <v>355</v>
      </c>
      <c r="D151" s="105">
        <v>760</v>
      </c>
      <c r="E151" s="101">
        <f t="shared" si="64"/>
        <v>0.45364597917836613</v>
      </c>
      <c r="F151" s="101">
        <f t="shared" si="57"/>
        <v>2.387610416728243</v>
      </c>
      <c r="G151" s="94">
        <f t="shared" si="58"/>
        <v>1.5759192524311565E-2</v>
      </c>
      <c r="H151" s="94"/>
      <c r="I151" s="94"/>
      <c r="J151" s="94"/>
      <c r="K151" s="94"/>
      <c r="L151" s="94"/>
      <c r="M151" s="94"/>
      <c r="N151" s="94"/>
      <c r="O151" s="95"/>
      <c r="P151" s="97">
        <v>0.19500000000000001</v>
      </c>
      <c r="Q151" s="102">
        <f>+P151</f>
        <v>0.19500000000000001</v>
      </c>
    </row>
    <row r="152" spans="1:17">
      <c r="A152" s="8" t="str">
        <f>"Ø"&amp;D152&amp;" "&amp;C152</f>
        <v>Ø760 Sharp Nose Cone</v>
      </c>
      <c r="B152" s="94">
        <f t="shared" si="59"/>
        <v>0</v>
      </c>
      <c r="C152" s="99" t="s">
        <v>356</v>
      </c>
      <c r="D152" s="105">
        <v>760</v>
      </c>
      <c r="E152" s="101">
        <f t="shared" si="64"/>
        <v>0.45364597917836613</v>
      </c>
      <c r="F152" s="101">
        <f t="shared" si="57"/>
        <v>2.387610416728243</v>
      </c>
      <c r="G152" s="94">
        <f t="shared" si="58"/>
        <v>0</v>
      </c>
      <c r="H152" s="94"/>
      <c r="I152" s="94"/>
      <c r="J152" s="94"/>
      <c r="K152" s="94"/>
      <c r="L152" s="94"/>
      <c r="M152" s="94"/>
      <c r="N152" s="94"/>
      <c r="O152" s="95"/>
      <c r="P152" s="97">
        <v>0</v>
      </c>
      <c r="Q152" s="102">
        <f>+P152</f>
        <v>0</v>
      </c>
    </row>
    <row r="153" spans="1:17">
      <c r="A153" s="106" t="str">
        <f t="shared" ref="A153:A158" si="65">IF(D153&lt;H153,"Ø"&amp;D153&amp;" to Ø"&amp;H153&amp;" Evaseé","Ø"&amp;D153&amp;" to Ø"&amp;H153&amp;" Reducer")</f>
        <v>Ø760 to Ø305 Reducer</v>
      </c>
      <c r="B153" s="111">
        <f t="shared" ref="B153:B158" si="66">+N153</f>
        <v>117.249668</v>
      </c>
      <c r="C153" s="110"/>
      <c r="D153" s="105">
        <v>760</v>
      </c>
      <c r="E153" s="103">
        <f t="shared" si="64"/>
        <v>0.45364597917836613</v>
      </c>
      <c r="F153" s="103">
        <f t="shared" ref="F153:F158" si="67">PI()*(H153/1000)</f>
        <v>0.95818575934488692</v>
      </c>
      <c r="G153" s="107">
        <f t="shared" ref="G153:G158" si="68">(($S$4*F153*$R$4)/(E153^3))</f>
        <v>3.243288609929168E-2</v>
      </c>
      <c r="H153" s="105">
        <v>305</v>
      </c>
      <c r="I153" s="103">
        <f t="shared" ref="I153:I158" si="69">PI()*((H153/1000)^2)/4</f>
        <v>7.3061664150047625E-2</v>
      </c>
      <c r="J153" s="103">
        <f t="shared" ref="J153:J158" si="70">PI()*(H153/1000)</f>
        <v>0.95818575934488692</v>
      </c>
      <c r="K153" s="108">
        <f t="shared" ref="K153:K158" si="71">(($S$4*J153*$R$4)/(I153^3))</f>
        <v>7.7636887229801461</v>
      </c>
      <c r="L153" s="107">
        <f t="shared" ref="L153:L158" si="72">IF(D153&lt;H153,-K153,K153)</f>
        <v>7.7636887229801461</v>
      </c>
      <c r="M153" s="107">
        <f t="shared" ref="M153:M158" si="73">(((1/$I153)^2)*1.2/2-((1/$E153)^2)*1.2/2)/(1^2)</f>
        <v>109.48597869541564</v>
      </c>
      <c r="N153" s="107">
        <f t="shared" ref="N153:N158" si="74">ROUNDUP((M153+L153),6)</f>
        <v>117.249668</v>
      </c>
    </row>
    <row r="154" spans="1:17">
      <c r="A154" s="106" t="str">
        <f t="shared" si="65"/>
        <v>Ø760 to Ø380 Reducer</v>
      </c>
      <c r="B154" s="111">
        <f t="shared" si="66"/>
        <v>46.319035</v>
      </c>
      <c r="C154" s="110"/>
      <c r="D154" s="105">
        <v>760</v>
      </c>
      <c r="E154" s="103">
        <f t="shared" si="64"/>
        <v>0.45364597917836613</v>
      </c>
      <c r="F154" s="103">
        <f t="shared" si="67"/>
        <v>1.1938052083641213</v>
      </c>
      <c r="G154" s="107">
        <f t="shared" si="68"/>
        <v>4.0408185959773232E-2</v>
      </c>
      <c r="H154" s="105">
        <v>380</v>
      </c>
      <c r="I154" s="103">
        <f t="shared" si="69"/>
        <v>0.11341149479459153</v>
      </c>
      <c r="J154" s="103">
        <f t="shared" si="70"/>
        <v>1.1938052083641213</v>
      </c>
      <c r="K154" s="108">
        <f t="shared" si="71"/>
        <v>2.5861239014254869</v>
      </c>
      <c r="L154" s="107">
        <f t="shared" si="72"/>
        <v>2.5861239014254869</v>
      </c>
      <c r="M154" s="107">
        <f t="shared" si="73"/>
        <v>43.732910121020403</v>
      </c>
      <c r="N154" s="107">
        <f t="shared" si="74"/>
        <v>46.319035</v>
      </c>
    </row>
    <row r="155" spans="1:17">
      <c r="A155" s="106" t="str">
        <f t="shared" si="65"/>
        <v>Ø760 to Ø405 Reducer</v>
      </c>
      <c r="B155" s="111">
        <f t="shared" si="66"/>
        <v>35.118641999999994</v>
      </c>
      <c r="C155" s="110"/>
      <c r="D155" s="105">
        <v>760</v>
      </c>
      <c r="E155" s="103">
        <f t="shared" si="64"/>
        <v>0.45364597917836613</v>
      </c>
      <c r="F155" s="103">
        <f t="shared" si="67"/>
        <v>1.2723450247038663</v>
      </c>
      <c r="G155" s="107">
        <f t="shared" si="68"/>
        <v>4.3066619246600428E-2</v>
      </c>
      <c r="H155" s="105">
        <v>405</v>
      </c>
      <c r="I155" s="103">
        <f t="shared" si="69"/>
        <v>0.12882493375126647</v>
      </c>
      <c r="J155" s="103">
        <f t="shared" si="70"/>
        <v>1.2723450247038663</v>
      </c>
      <c r="K155" s="108">
        <f t="shared" si="71"/>
        <v>1.8805816544504048</v>
      </c>
      <c r="L155" s="107">
        <f t="shared" si="72"/>
        <v>1.8805816544504048</v>
      </c>
      <c r="M155" s="107">
        <f t="shared" si="73"/>
        <v>33.238059844630953</v>
      </c>
      <c r="N155" s="107">
        <f t="shared" si="74"/>
        <v>35.118641999999994</v>
      </c>
    </row>
    <row r="156" spans="1:17">
      <c r="A156" s="106" t="str">
        <f t="shared" si="65"/>
        <v>Ø760 to Ø570 Reducer</v>
      </c>
      <c r="B156" s="111">
        <f t="shared" si="66"/>
        <v>6.6395390000000001</v>
      </c>
      <c r="C156" s="110"/>
      <c r="D156" s="105">
        <v>760</v>
      </c>
      <c r="E156" s="103">
        <f t="shared" si="64"/>
        <v>0.45364597917836613</v>
      </c>
      <c r="F156" s="103">
        <f t="shared" si="67"/>
        <v>1.7907078125461819</v>
      </c>
      <c r="G156" s="107">
        <f t="shared" si="68"/>
        <v>6.0612278939659855E-2</v>
      </c>
      <c r="H156" s="105">
        <v>570</v>
      </c>
      <c r="I156" s="103">
        <f t="shared" si="69"/>
        <v>0.25517586328783093</v>
      </c>
      <c r="J156" s="103">
        <f t="shared" si="70"/>
        <v>1.7907078125461819</v>
      </c>
      <c r="K156" s="108">
        <f t="shared" si="71"/>
        <v>0.34055952611364448</v>
      </c>
      <c r="L156" s="107">
        <f t="shared" si="72"/>
        <v>0.34055952611364448</v>
      </c>
      <c r="M156" s="107">
        <f t="shared" si="73"/>
        <v>6.2989788240152862</v>
      </c>
      <c r="N156" s="107">
        <f t="shared" si="74"/>
        <v>6.6395390000000001</v>
      </c>
    </row>
    <row r="157" spans="1:17">
      <c r="A157" s="106" t="str">
        <f t="shared" si="65"/>
        <v>Ø760 to Ø1015 Evaseé</v>
      </c>
      <c r="B157" s="111">
        <f t="shared" si="66"/>
        <v>-2.0181020000000003</v>
      </c>
      <c r="C157" s="110"/>
      <c r="D157" s="105">
        <v>760</v>
      </c>
      <c r="E157" s="103">
        <f t="shared" si="64"/>
        <v>0.45364597917836613</v>
      </c>
      <c r="F157" s="103">
        <f t="shared" si="67"/>
        <v>3.1887165433936397</v>
      </c>
      <c r="G157" s="107">
        <f t="shared" si="68"/>
        <v>0.10793239144518377</v>
      </c>
      <c r="H157" s="105">
        <v>1015</v>
      </c>
      <c r="I157" s="103">
        <f t="shared" si="69"/>
        <v>0.80913682288613598</v>
      </c>
      <c r="J157" s="103">
        <f t="shared" si="70"/>
        <v>3.1887165433936397</v>
      </c>
      <c r="K157" s="108">
        <f t="shared" si="71"/>
        <v>1.902116443383645E-2</v>
      </c>
      <c r="L157" s="107">
        <f t="shared" si="72"/>
        <v>-1.902116443383645E-2</v>
      </c>
      <c r="M157" s="107">
        <f t="shared" si="73"/>
        <v>-1.9990804157521196</v>
      </c>
      <c r="N157" s="107">
        <f t="shared" si="74"/>
        <v>-2.0181020000000003</v>
      </c>
    </row>
    <row r="158" spans="1:17">
      <c r="A158" s="106" t="str">
        <f t="shared" si="65"/>
        <v>Ø760 to Ø1220 Evaseé</v>
      </c>
      <c r="B158" s="111">
        <f t="shared" si="66"/>
        <v>-2.4840409999999999</v>
      </c>
      <c r="C158" s="110"/>
      <c r="D158" s="105">
        <v>760</v>
      </c>
      <c r="E158" s="103">
        <f t="shared" si="64"/>
        <v>0.45364597917836613</v>
      </c>
      <c r="F158" s="103">
        <f t="shared" si="67"/>
        <v>3.8327430373795477</v>
      </c>
      <c r="G158" s="107">
        <f t="shared" si="68"/>
        <v>0.12973154439716672</v>
      </c>
      <c r="H158" s="105">
        <v>1220</v>
      </c>
      <c r="I158" s="103">
        <f t="shared" si="69"/>
        <v>1.168986626400762</v>
      </c>
      <c r="J158" s="103">
        <f t="shared" si="70"/>
        <v>3.8327430373795477</v>
      </c>
      <c r="K158" s="108">
        <f t="shared" si="71"/>
        <v>7.5817272685352989E-3</v>
      </c>
      <c r="L158" s="107">
        <f t="shared" si="72"/>
        <v>-7.5817272685352989E-3</v>
      </c>
      <c r="M158" s="107">
        <f t="shared" si="73"/>
        <v>-2.4764589584450438</v>
      </c>
      <c r="N158" s="107">
        <f t="shared" si="74"/>
        <v>-2.4840409999999999</v>
      </c>
    </row>
    <row r="159" spans="1:17">
      <c r="A159" s="8" t="str">
        <f t="shared" ref="A159:A166" si="75">"Ø"&amp;D159&amp;" "&amp;C159&amp;" ("&amp;TEXT(Q159,"0.0")&amp;"m lengths)"</f>
        <v>Ø1015 Straight Duct (0.5m lengths)</v>
      </c>
      <c r="B159" s="94">
        <f>+G159</f>
        <v>9.5105822169182265E-3</v>
      </c>
      <c r="C159" s="94" t="s">
        <v>277</v>
      </c>
      <c r="D159" s="105">
        <v>1015</v>
      </c>
      <c r="E159" s="101">
        <f t="shared" si="64"/>
        <v>0.80913682288613598</v>
      </c>
      <c r="F159" s="101">
        <f t="shared" ref="F159:F189" si="76">PI()*D159/1000</f>
        <v>3.1887165433936402</v>
      </c>
      <c r="G159" s="94">
        <f t="shared" ref="G159:G189" si="77">$S$4*F159*Q159/(E159^3)</f>
        <v>9.5105822169182265E-3</v>
      </c>
      <c r="H159" s="94"/>
      <c r="I159" s="94"/>
      <c r="J159" s="94"/>
      <c r="K159" s="94"/>
      <c r="L159" s="94"/>
      <c r="M159" s="94"/>
      <c r="N159" s="94"/>
      <c r="O159" s="94"/>
      <c r="P159" s="96"/>
      <c r="Q159" s="102">
        <v>0.5</v>
      </c>
    </row>
    <row r="160" spans="1:17">
      <c r="A160" s="8" t="str">
        <f t="shared" si="75"/>
        <v>Ø1015 Straight Duct (1.0m lengths)</v>
      </c>
      <c r="B160" s="94">
        <f t="shared" ref="B160:B189" si="78">+G160</f>
        <v>1.9021164433836453E-2</v>
      </c>
      <c r="C160" s="94" t="s">
        <v>277</v>
      </c>
      <c r="D160" s="105">
        <v>1015</v>
      </c>
      <c r="E160" s="101">
        <f t="shared" si="64"/>
        <v>0.80913682288613598</v>
      </c>
      <c r="F160" s="101">
        <f t="shared" si="76"/>
        <v>3.1887165433936402</v>
      </c>
      <c r="G160" s="94">
        <f t="shared" si="77"/>
        <v>1.9021164433836453E-2</v>
      </c>
      <c r="H160" s="94"/>
      <c r="I160" s="94"/>
      <c r="J160" s="94"/>
      <c r="K160" s="94"/>
      <c r="L160" s="94"/>
      <c r="M160" s="94"/>
      <c r="N160" s="94"/>
      <c r="O160" s="94"/>
      <c r="P160" s="96"/>
      <c r="Q160" s="102">
        <f t="shared" ref="Q160:Q166" si="79">+Q159+0.5</f>
        <v>1</v>
      </c>
    </row>
    <row r="161" spans="1:17">
      <c r="A161" s="8" t="str">
        <f t="shared" si="75"/>
        <v>Ø1015 Straight Duct (1.5m lengths)</v>
      </c>
      <c r="B161" s="94">
        <f t="shared" si="78"/>
        <v>2.8531746650754683E-2</v>
      </c>
      <c r="C161" s="94" t="s">
        <v>277</v>
      </c>
      <c r="D161" s="105">
        <v>1015</v>
      </c>
      <c r="E161" s="101">
        <f t="shared" si="64"/>
        <v>0.80913682288613598</v>
      </c>
      <c r="F161" s="101">
        <f t="shared" si="76"/>
        <v>3.1887165433936402</v>
      </c>
      <c r="G161" s="94">
        <f t="shared" si="77"/>
        <v>2.8531746650754683E-2</v>
      </c>
      <c r="H161" s="94"/>
      <c r="I161" s="94"/>
      <c r="J161" s="94"/>
      <c r="K161" s="94"/>
      <c r="L161" s="94"/>
      <c r="M161" s="94"/>
      <c r="N161" s="94"/>
      <c r="O161" s="94"/>
      <c r="P161" s="96"/>
      <c r="Q161" s="102">
        <f t="shared" si="79"/>
        <v>1.5</v>
      </c>
    </row>
    <row r="162" spans="1:17">
      <c r="A162" s="8" t="str">
        <f t="shared" si="75"/>
        <v>Ø1015 Straight Duct (2.0m lengths)</v>
      </c>
      <c r="B162" s="94">
        <f t="shared" si="78"/>
        <v>3.8042328867672906E-2</v>
      </c>
      <c r="C162" s="94" t="s">
        <v>277</v>
      </c>
      <c r="D162" s="105">
        <v>1015</v>
      </c>
      <c r="E162" s="101">
        <f t="shared" si="64"/>
        <v>0.80913682288613598</v>
      </c>
      <c r="F162" s="101">
        <f t="shared" si="76"/>
        <v>3.1887165433936402</v>
      </c>
      <c r="G162" s="94">
        <f t="shared" si="77"/>
        <v>3.8042328867672906E-2</v>
      </c>
      <c r="H162" s="94"/>
      <c r="I162" s="94"/>
      <c r="J162" s="94"/>
      <c r="K162" s="94"/>
      <c r="L162" s="94"/>
      <c r="M162" s="94"/>
      <c r="N162" s="94"/>
      <c r="O162" s="94"/>
      <c r="P162" s="96"/>
      <c r="Q162" s="102">
        <f t="shared" si="79"/>
        <v>2</v>
      </c>
    </row>
    <row r="163" spans="1:17" ht="15" customHeight="1">
      <c r="A163" s="8" t="str">
        <f t="shared" si="75"/>
        <v>Ø1015 Straight Duct (2.5m lengths)</v>
      </c>
      <c r="B163" s="94">
        <f t="shared" si="78"/>
        <v>4.7552911084591136E-2</v>
      </c>
      <c r="C163" s="94" t="s">
        <v>277</v>
      </c>
      <c r="D163" s="105">
        <v>1015</v>
      </c>
      <c r="E163" s="101">
        <f t="shared" si="64"/>
        <v>0.80913682288613598</v>
      </c>
      <c r="F163" s="101">
        <f t="shared" si="76"/>
        <v>3.1887165433936402</v>
      </c>
      <c r="G163" s="94">
        <f t="shared" si="77"/>
        <v>4.7552911084591136E-2</v>
      </c>
      <c r="H163" s="94"/>
      <c r="I163" s="94"/>
      <c r="J163" s="94"/>
      <c r="K163" s="94"/>
      <c r="L163" s="94"/>
      <c r="M163" s="94"/>
      <c r="N163" s="94"/>
      <c r="O163" s="94"/>
      <c r="P163" s="96"/>
      <c r="Q163" s="102">
        <f t="shared" si="79"/>
        <v>2.5</v>
      </c>
    </row>
    <row r="164" spans="1:17" ht="15" customHeight="1">
      <c r="A164" s="8" t="str">
        <f t="shared" si="75"/>
        <v>Ø1015 Straight Duct (3.0m lengths)</v>
      </c>
      <c r="B164" s="94">
        <f t="shared" si="78"/>
        <v>5.7063493301509366E-2</v>
      </c>
      <c r="C164" s="94" t="s">
        <v>277</v>
      </c>
      <c r="D164" s="105">
        <v>1015</v>
      </c>
      <c r="E164" s="101">
        <f t="shared" si="64"/>
        <v>0.80913682288613598</v>
      </c>
      <c r="F164" s="101">
        <f t="shared" si="76"/>
        <v>3.1887165433936402</v>
      </c>
      <c r="G164" s="94">
        <f t="shared" si="77"/>
        <v>5.7063493301509366E-2</v>
      </c>
      <c r="H164" s="94"/>
      <c r="I164" s="94"/>
      <c r="J164" s="94"/>
      <c r="K164" s="94"/>
      <c r="L164" s="94"/>
      <c r="M164" s="94"/>
      <c r="N164" s="94"/>
      <c r="O164" s="94"/>
      <c r="P164" s="96"/>
      <c r="Q164" s="102">
        <f t="shared" si="79"/>
        <v>3</v>
      </c>
    </row>
    <row r="165" spans="1:17" ht="15" customHeight="1">
      <c r="A165" s="8" t="str">
        <f t="shared" si="75"/>
        <v>Ø1015 Straight Duct (3.5m lengths)</v>
      </c>
      <c r="B165" s="94">
        <f t="shared" si="78"/>
        <v>6.6574075518427589E-2</v>
      </c>
      <c r="C165" s="94" t="s">
        <v>277</v>
      </c>
      <c r="D165" s="105">
        <v>1015</v>
      </c>
      <c r="E165" s="101">
        <f t="shared" si="64"/>
        <v>0.80913682288613598</v>
      </c>
      <c r="F165" s="101">
        <f t="shared" si="76"/>
        <v>3.1887165433936402</v>
      </c>
      <c r="G165" s="94">
        <f t="shared" si="77"/>
        <v>6.6574075518427589E-2</v>
      </c>
      <c r="H165" s="94"/>
      <c r="I165" s="94"/>
      <c r="J165" s="94"/>
      <c r="K165" s="94"/>
      <c r="L165" s="94"/>
      <c r="M165" s="94"/>
      <c r="N165" s="94"/>
      <c r="O165" s="94"/>
      <c r="P165" s="96"/>
      <c r="Q165" s="102">
        <f t="shared" si="79"/>
        <v>3.5</v>
      </c>
    </row>
    <row r="166" spans="1:17" ht="15" customHeight="1">
      <c r="A166" s="8" t="str">
        <f t="shared" si="75"/>
        <v>Ø1015 Straight Duct (4.0m lengths)</v>
      </c>
      <c r="B166" s="94">
        <f t="shared" si="78"/>
        <v>7.6084657735345812E-2</v>
      </c>
      <c r="C166" s="94" t="s">
        <v>277</v>
      </c>
      <c r="D166" s="105">
        <v>1015</v>
      </c>
      <c r="E166" s="101">
        <f t="shared" si="64"/>
        <v>0.80913682288613598</v>
      </c>
      <c r="F166" s="101">
        <f t="shared" si="76"/>
        <v>3.1887165433936402</v>
      </c>
      <c r="G166" s="94">
        <f t="shared" si="77"/>
        <v>7.6084657735345812E-2</v>
      </c>
      <c r="H166" s="94"/>
      <c r="I166" s="94"/>
      <c r="J166" s="94"/>
      <c r="K166" s="94"/>
      <c r="L166" s="94"/>
      <c r="M166" s="94"/>
      <c r="N166" s="94"/>
      <c r="O166" s="94"/>
      <c r="P166" s="96"/>
      <c r="Q166" s="102">
        <f t="shared" si="79"/>
        <v>4</v>
      </c>
    </row>
    <row r="167" spans="1:17" ht="15" customHeight="1">
      <c r="A167" s="8" t="str">
        <f t="shared" ref="A167:A184" si="80">"Ø"&amp;D167&amp;" "&amp;C167&amp;" ("&amp;O167&amp;"⁰)"</f>
        <v>Ø1015 Bend (5⁰)</v>
      </c>
      <c r="B167" s="94">
        <f t="shared" si="78"/>
        <v>6.9427250183503059E-3</v>
      </c>
      <c r="C167" s="99" t="s">
        <v>351</v>
      </c>
      <c r="D167" s="105">
        <v>1015</v>
      </c>
      <c r="E167" s="101">
        <f t="shared" si="64"/>
        <v>0.80913682288613598</v>
      </c>
      <c r="F167" s="101">
        <f t="shared" si="76"/>
        <v>3.1887165433936402</v>
      </c>
      <c r="G167" s="94">
        <f t="shared" si="77"/>
        <v>6.9427250183503059E-3</v>
      </c>
      <c r="H167" s="94"/>
      <c r="I167" s="94"/>
      <c r="J167" s="94"/>
      <c r="K167" s="94"/>
      <c r="L167" s="94"/>
      <c r="M167" s="94"/>
      <c r="N167" s="94"/>
      <c r="O167" s="95">
        <v>5</v>
      </c>
      <c r="P167" s="97">
        <v>7.2999999999999995E-2</v>
      </c>
      <c r="Q167" s="102">
        <f t="shared" ref="Q167:Q184" si="81">+O167*P167</f>
        <v>0.36499999999999999</v>
      </c>
    </row>
    <row r="168" spans="1:17" ht="15" customHeight="1">
      <c r="A168" s="8" t="str">
        <f t="shared" si="80"/>
        <v>Ø1015 Bend (10⁰)</v>
      </c>
      <c r="B168" s="94">
        <f t="shared" si="78"/>
        <v>1.3885450036700612E-2</v>
      </c>
      <c r="C168" s="99" t="s">
        <v>351</v>
      </c>
      <c r="D168" s="105">
        <v>1015</v>
      </c>
      <c r="E168" s="101">
        <f t="shared" si="64"/>
        <v>0.80913682288613598</v>
      </c>
      <c r="F168" s="101">
        <f t="shared" si="76"/>
        <v>3.1887165433936402</v>
      </c>
      <c r="G168" s="94">
        <f t="shared" si="77"/>
        <v>1.3885450036700612E-2</v>
      </c>
      <c r="H168" s="94"/>
      <c r="I168" s="94"/>
      <c r="J168" s="94"/>
      <c r="K168" s="94"/>
      <c r="L168" s="94"/>
      <c r="M168" s="94"/>
      <c r="N168" s="94"/>
      <c r="O168" s="95">
        <f>+O167+5</f>
        <v>10</v>
      </c>
      <c r="P168" s="97">
        <v>7.2999999999999995E-2</v>
      </c>
      <c r="Q168" s="102">
        <f t="shared" si="81"/>
        <v>0.73</v>
      </c>
    </row>
    <row r="169" spans="1:17" ht="15" customHeight="1">
      <c r="A169" s="8" t="str">
        <f t="shared" si="80"/>
        <v>Ø1015 Bend (15⁰)</v>
      </c>
      <c r="B169" s="94">
        <f t="shared" si="78"/>
        <v>2.0828175055050916E-2</v>
      </c>
      <c r="C169" s="99" t="s">
        <v>351</v>
      </c>
      <c r="D169" s="105">
        <v>1015</v>
      </c>
      <c r="E169" s="101">
        <f t="shared" si="64"/>
        <v>0.80913682288613598</v>
      </c>
      <c r="F169" s="101">
        <f t="shared" si="76"/>
        <v>3.1887165433936402</v>
      </c>
      <c r="G169" s="94">
        <f t="shared" si="77"/>
        <v>2.0828175055050916E-2</v>
      </c>
      <c r="H169" s="94"/>
      <c r="I169" s="94"/>
      <c r="J169" s="94"/>
      <c r="K169" s="94"/>
      <c r="L169" s="94"/>
      <c r="M169" s="94"/>
      <c r="N169" s="94"/>
      <c r="O169" s="95">
        <f t="shared" ref="O169:O184" si="82">+O168+5</f>
        <v>15</v>
      </c>
      <c r="P169" s="97">
        <v>7.2999999999999995E-2</v>
      </c>
      <c r="Q169" s="102">
        <f t="shared" si="81"/>
        <v>1.095</v>
      </c>
    </row>
    <row r="170" spans="1:17" ht="15" customHeight="1">
      <c r="A170" s="8" t="str">
        <f t="shared" si="80"/>
        <v>Ø1015 Bend (20⁰)</v>
      </c>
      <c r="B170" s="94">
        <f t="shared" si="78"/>
        <v>2.7770900073401224E-2</v>
      </c>
      <c r="C170" s="99" t="s">
        <v>351</v>
      </c>
      <c r="D170" s="105">
        <v>1015</v>
      </c>
      <c r="E170" s="101">
        <f t="shared" si="64"/>
        <v>0.80913682288613598</v>
      </c>
      <c r="F170" s="101">
        <f t="shared" si="76"/>
        <v>3.1887165433936402</v>
      </c>
      <c r="G170" s="94">
        <f t="shared" si="77"/>
        <v>2.7770900073401224E-2</v>
      </c>
      <c r="H170" s="94"/>
      <c r="I170" s="94"/>
      <c r="J170" s="94"/>
      <c r="K170" s="94"/>
      <c r="L170" s="94"/>
      <c r="M170" s="94"/>
      <c r="N170" s="94"/>
      <c r="O170" s="95">
        <f t="shared" si="82"/>
        <v>20</v>
      </c>
      <c r="P170" s="97">
        <v>7.2999999999999995E-2</v>
      </c>
      <c r="Q170" s="102">
        <f t="shared" si="81"/>
        <v>1.46</v>
      </c>
    </row>
    <row r="171" spans="1:17" ht="15" customHeight="1">
      <c r="A171" s="8" t="str">
        <f t="shared" si="80"/>
        <v>Ø1015 Bend (25⁰)</v>
      </c>
      <c r="B171" s="94">
        <f t="shared" si="78"/>
        <v>3.4713625091751528E-2</v>
      </c>
      <c r="C171" s="99" t="s">
        <v>351</v>
      </c>
      <c r="D171" s="105">
        <v>1015</v>
      </c>
      <c r="E171" s="101">
        <f t="shared" si="64"/>
        <v>0.80913682288613598</v>
      </c>
      <c r="F171" s="101">
        <f t="shared" si="76"/>
        <v>3.1887165433936402</v>
      </c>
      <c r="G171" s="94">
        <f t="shared" si="77"/>
        <v>3.4713625091751528E-2</v>
      </c>
      <c r="H171" s="94"/>
      <c r="I171" s="94"/>
      <c r="J171" s="94"/>
      <c r="K171" s="94"/>
      <c r="L171" s="94"/>
      <c r="M171" s="94"/>
      <c r="N171" s="94"/>
      <c r="O171" s="95">
        <f t="shared" si="82"/>
        <v>25</v>
      </c>
      <c r="P171" s="97">
        <v>7.2999999999999995E-2</v>
      </c>
      <c r="Q171" s="102">
        <f t="shared" si="81"/>
        <v>1.825</v>
      </c>
    </row>
    <row r="172" spans="1:17" ht="15" customHeight="1">
      <c r="A172" s="8" t="str">
        <f t="shared" si="80"/>
        <v>Ø1015 Bend (30⁰)</v>
      </c>
      <c r="B172" s="94">
        <f t="shared" si="78"/>
        <v>4.1656350110101832E-2</v>
      </c>
      <c r="C172" s="99" t="s">
        <v>351</v>
      </c>
      <c r="D172" s="105">
        <v>1015</v>
      </c>
      <c r="E172" s="101">
        <f t="shared" si="64"/>
        <v>0.80913682288613598</v>
      </c>
      <c r="F172" s="101">
        <f t="shared" si="76"/>
        <v>3.1887165433936402</v>
      </c>
      <c r="G172" s="94">
        <f t="shared" si="77"/>
        <v>4.1656350110101832E-2</v>
      </c>
      <c r="H172" s="94"/>
      <c r="I172" s="94"/>
      <c r="J172" s="94"/>
      <c r="K172" s="94"/>
      <c r="L172" s="94"/>
      <c r="M172" s="94"/>
      <c r="N172" s="94"/>
      <c r="O172" s="95">
        <f t="shared" si="82"/>
        <v>30</v>
      </c>
      <c r="P172" s="97">
        <v>7.2999999999999995E-2</v>
      </c>
      <c r="Q172" s="102">
        <f t="shared" si="81"/>
        <v>2.19</v>
      </c>
    </row>
    <row r="173" spans="1:17" ht="15" customHeight="1">
      <c r="A173" s="8" t="str">
        <f t="shared" si="80"/>
        <v>Ø1015 Bend (35⁰)</v>
      </c>
      <c r="B173" s="94">
        <f t="shared" si="78"/>
        <v>4.8599075128452136E-2</v>
      </c>
      <c r="C173" s="99" t="s">
        <v>351</v>
      </c>
      <c r="D173" s="105">
        <v>1015</v>
      </c>
      <c r="E173" s="101">
        <f t="shared" si="64"/>
        <v>0.80913682288613598</v>
      </c>
      <c r="F173" s="101">
        <f t="shared" si="76"/>
        <v>3.1887165433936402</v>
      </c>
      <c r="G173" s="94">
        <f t="shared" si="77"/>
        <v>4.8599075128452136E-2</v>
      </c>
      <c r="H173" s="94"/>
      <c r="I173" s="94"/>
      <c r="J173" s="94"/>
      <c r="K173" s="94"/>
      <c r="L173" s="94"/>
      <c r="M173" s="94"/>
      <c r="N173" s="94"/>
      <c r="O173" s="95">
        <f t="shared" si="82"/>
        <v>35</v>
      </c>
      <c r="P173" s="97">
        <v>7.2999999999999995E-2</v>
      </c>
      <c r="Q173" s="102">
        <f t="shared" si="81"/>
        <v>2.5549999999999997</v>
      </c>
    </row>
    <row r="174" spans="1:17" ht="15" customHeight="1">
      <c r="A174" s="8" t="str">
        <f t="shared" si="80"/>
        <v>Ø1015 Bend (40⁰)</v>
      </c>
      <c r="B174" s="94">
        <f t="shared" si="78"/>
        <v>5.5541800146802447E-2</v>
      </c>
      <c r="C174" s="99" t="s">
        <v>351</v>
      </c>
      <c r="D174" s="105">
        <v>1015</v>
      </c>
      <c r="E174" s="101">
        <f t="shared" si="64"/>
        <v>0.80913682288613598</v>
      </c>
      <c r="F174" s="101">
        <f t="shared" si="76"/>
        <v>3.1887165433936402</v>
      </c>
      <c r="G174" s="94">
        <f t="shared" si="77"/>
        <v>5.5541800146802447E-2</v>
      </c>
      <c r="H174" s="94"/>
      <c r="I174" s="94"/>
      <c r="J174" s="94"/>
      <c r="K174" s="94"/>
      <c r="L174" s="94"/>
      <c r="M174" s="94"/>
      <c r="N174" s="94"/>
      <c r="O174" s="95">
        <f t="shared" si="82"/>
        <v>40</v>
      </c>
      <c r="P174" s="97">
        <v>7.2999999999999995E-2</v>
      </c>
      <c r="Q174" s="102">
        <f t="shared" si="81"/>
        <v>2.92</v>
      </c>
    </row>
    <row r="175" spans="1:17" ht="15" customHeight="1">
      <c r="A175" s="8" t="str">
        <f t="shared" si="80"/>
        <v>Ø1015 Bend (45⁰)</v>
      </c>
      <c r="B175" s="94">
        <f t="shared" si="78"/>
        <v>6.2484525165152745E-2</v>
      </c>
      <c r="C175" s="99" t="s">
        <v>351</v>
      </c>
      <c r="D175" s="105">
        <v>1015</v>
      </c>
      <c r="E175" s="101">
        <f t="shared" si="64"/>
        <v>0.80913682288613598</v>
      </c>
      <c r="F175" s="101">
        <f t="shared" si="76"/>
        <v>3.1887165433936402</v>
      </c>
      <c r="G175" s="94">
        <f t="shared" si="77"/>
        <v>6.2484525165152745E-2</v>
      </c>
      <c r="H175" s="94"/>
      <c r="I175" s="94"/>
      <c r="J175" s="94"/>
      <c r="K175" s="94"/>
      <c r="L175" s="94"/>
      <c r="M175" s="94"/>
      <c r="N175" s="94"/>
      <c r="O175" s="95">
        <f t="shared" si="82"/>
        <v>45</v>
      </c>
      <c r="P175" s="97">
        <v>7.2999999999999995E-2</v>
      </c>
      <c r="Q175" s="102">
        <f t="shared" si="81"/>
        <v>3.2849999999999997</v>
      </c>
    </row>
    <row r="176" spans="1:17" ht="15" customHeight="1">
      <c r="A176" s="8" t="str">
        <f t="shared" si="80"/>
        <v>Ø1015 Bend (50⁰)</v>
      </c>
      <c r="B176" s="94">
        <f t="shared" si="78"/>
        <v>6.9427250183503056E-2</v>
      </c>
      <c r="C176" s="99" t="s">
        <v>351</v>
      </c>
      <c r="D176" s="105">
        <v>1015</v>
      </c>
      <c r="E176" s="101">
        <f t="shared" si="64"/>
        <v>0.80913682288613598</v>
      </c>
      <c r="F176" s="101">
        <f t="shared" si="76"/>
        <v>3.1887165433936402</v>
      </c>
      <c r="G176" s="94">
        <f t="shared" si="77"/>
        <v>6.9427250183503056E-2</v>
      </c>
      <c r="H176" s="94"/>
      <c r="I176" s="94"/>
      <c r="J176" s="94"/>
      <c r="K176" s="94"/>
      <c r="L176" s="94"/>
      <c r="M176" s="94"/>
      <c r="N176" s="94"/>
      <c r="O176" s="95">
        <f t="shared" si="82"/>
        <v>50</v>
      </c>
      <c r="P176" s="97">
        <v>7.2999999999999995E-2</v>
      </c>
      <c r="Q176" s="102">
        <f t="shared" si="81"/>
        <v>3.65</v>
      </c>
    </row>
    <row r="177" spans="1:17" ht="15" customHeight="1">
      <c r="A177" s="8" t="str">
        <f t="shared" si="80"/>
        <v>Ø1015 Bend (55⁰)</v>
      </c>
      <c r="B177" s="94">
        <f t="shared" si="78"/>
        <v>7.636997520185336E-2</v>
      </c>
      <c r="C177" s="99" t="s">
        <v>351</v>
      </c>
      <c r="D177" s="105">
        <v>1015</v>
      </c>
      <c r="E177" s="101">
        <f t="shared" si="64"/>
        <v>0.80913682288613598</v>
      </c>
      <c r="F177" s="101">
        <f t="shared" si="76"/>
        <v>3.1887165433936402</v>
      </c>
      <c r="G177" s="94">
        <f t="shared" si="77"/>
        <v>7.636997520185336E-2</v>
      </c>
      <c r="H177" s="94"/>
      <c r="I177" s="94"/>
      <c r="J177" s="94"/>
      <c r="K177" s="94"/>
      <c r="L177" s="94"/>
      <c r="M177" s="94"/>
      <c r="N177" s="94"/>
      <c r="O177" s="95">
        <f t="shared" si="82"/>
        <v>55</v>
      </c>
      <c r="P177" s="97">
        <v>7.2999999999999995E-2</v>
      </c>
      <c r="Q177" s="102">
        <f t="shared" si="81"/>
        <v>4.0149999999999997</v>
      </c>
    </row>
    <row r="178" spans="1:17" ht="15" customHeight="1">
      <c r="A178" s="8" t="str">
        <f t="shared" si="80"/>
        <v>Ø1015 Bend (60⁰)</v>
      </c>
      <c r="B178" s="94">
        <f t="shared" si="78"/>
        <v>8.3312700220203664E-2</v>
      </c>
      <c r="C178" s="99" t="s">
        <v>351</v>
      </c>
      <c r="D178" s="105">
        <v>1015</v>
      </c>
      <c r="E178" s="101">
        <f t="shared" si="64"/>
        <v>0.80913682288613598</v>
      </c>
      <c r="F178" s="101">
        <f t="shared" si="76"/>
        <v>3.1887165433936402</v>
      </c>
      <c r="G178" s="94">
        <f t="shared" si="77"/>
        <v>8.3312700220203664E-2</v>
      </c>
      <c r="H178" s="94"/>
      <c r="I178" s="94"/>
      <c r="J178" s="94"/>
      <c r="K178" s="94"/>
      <c r="L178" s="94"/>
      <c r="M178" s="94"/>
      <c r="N178" s="94"/>
      <c r="O178" s="95">
        <f t="shared" si="82"/>
        <v>60</v>
      </c>
      <c r="P178" s="97">
        <v>7.2999999999999995E-2</v>
      </c>
      <c r="Q178" s="102">
        <f t="shared" si="81"/>
        <v>4.38</v>
      </c>
    </row>
    <row r="179" spans="1:17" ht="15" customHeight="1">
      <c r="A179" s="8" t="str">
        <f t="shared" si="80"/>
        <v>Ø1015 Bend (65⁰)</v>
      </c>
      <c r="B179" s="94">
        <f t="shared" si="78"/>
        <v>9.0255425238553982E-2</v>
      </c>
      <c r="C179" s="99" t="s">
        <v>351</v>
      </c>
      <c r="D179" s="105">
        <v>1015</v>
      </c>
      <c r="E179" s="101">
        <f t="shared" si="64"/>
        <v>0.80913682288613598</v>
      </c>
      <c r="F179" s="101">
        <f t="shared" si="76"/>
        <v>3.1887165433936402</v>
      </c>
      <c r="G179" s="94">
        <f t="shared" si="77"/>
        <v>9.0255425238553982E-2</v>
      </c>
      <c r="H179" s="94"/>
      <c r="I179" s="94"/>
      <c r="J179" s="94"/>
      <c r="K179" s="94"/>
      <c r="L179" s="94"/>
      <c r="M179" s="94"/>
      <c r="N179" s="94"/>
      <c r="O179" s="95">
        <f t="shared" si="82"/>
        <v>65</v>
      </c>
      <c r="P179" s="97">
        <v>7.2999999999999995E-2</v>
      </c>
      <c r="Q179" s="102">
        <f t="shared" si="81"/>
        <v>4.7450000000000001</v>
      </c>
    </row>
    <row r="180" spans="1:17" ht="15" customHeight="1">
      <c r="A180" s="8" t="str">
        <f t="shared" si="80"/>
        <v>Ø1015 Bend (70⁰)</v>
      </c>
      <c r="B180" s="94">
        <f t="shared" si="78"/>
        <v>9.7198150256904273E-2</v>
      </c>
      <c r="C180" s="99" t="s">
        <v>351</v>
      </c>
      <c r="D180" s="105">
        <v>1015</v>
      </c>
      <c r="E180" s="101">
        <f t="shared" si="64"/>
        <v>0.80913682288613598</v>
      </c>
      <c r="F180" s="101">
        <f t="shared" si="76"/>
        <v>3.1887165433936402</v>
      </c>
      <c r="G180" s="94">
        <f t="shared" si="77"/>
        <v>9.7198150256904273E-2</v>
      </c>
      <c r="H180" s="94"/>
      <c r="I180" s="94"/>
      <c r="J180" s="94"/>
      <c r="K180" s="94"/>
      <c r="L180" s="94"/>
      <c r="M180" s="94"/>
      <c r="N180" s="94"/>
      <c r="O180" s="95">
        <f t="shared" si="82"/>
        <v>70</v>
      </c>
      <c r="P180" s="97">
        <v>7.2999999999999995E-2</v>
      </c>
      <c r="Q180" s="102">
        <f t="shared" si="81"/>
        <v>5.1099999999999994</v>
      </c>
    </row>
    <row r="181" spans="1:17" ht="15" customHeight="1">
      <c r="A181" s="8" t="str">
        <f t="shared" si="80"/>
        <v>Ø1015 Bend (75⁰)</v>
      </c>
      <c r="B181" s="94">
        <f t="shared" si="78"/>
        <v>0.10414087527525459</v>
      </c>
      <c r="C181" s="99" t="s">
        <v>351</v>
      </c>
      <c r="D181" s="105">
        <v>1015</v>
      </c>
      <c r="E181" s="101">
        <f t="shared" si="64"/>
        <v>0.80913682288613598</v>
      </c>
      <c r="F181" s="101">
        <f t="shared" si="76"/>
        <v>3.1887165433936402</v>
      </c>
      <c r="G181" s="94">
        <f t="shared" si="77"/>
        <v>0.10414087527525459</v>
      </c>
      <c r="H181" s="94"/>
      <c r="I181" s="94"/>
      <c r="J181" s="94"/>
      <c r="K181" s="94"/>
      <c r="L181" s="94"/>
      <c r="M181" s="94"/>
      <c r="N181" s="94"/>
      <c r="O181" s="95">
        <f t="shared" si="82"/>
        <v>75</v>
      </c>
      <c r="P181" s="97">
        <v>7.2999999999999995E-2</v>
      </c>
      <c r="Q181" s="102">
        <f t="shared" si="81"/>
        <v>5.4749999999999996</v>
      </c>
    </row>
    <row r="182" spans="1:17" ht="15" customHeight="1">
      <c r="A182" s="8" t="str">
        <f t="shared" si="80"/>
        <v>Ø1015 Bend (80⁰)</v>
      </c>
      <c r="B182" s="94">
        <f t="shared" si="78"/>
        <v>0.11108360029360489</v>
      </c>
      <c r="C182" s="99" t="s">
        <v>351</v>
      </c>
      <c r="D182" s="105">
        <v>1015</v>
      </c>
      <c r="E182" s="101">
        <f t="shared" si="64"/>
        <v>0.80913682288613598</v>
      </c>
      <c r="F182" s="101">
        <f t="shared" si="76"/>
        <v>3.1887165433936402</v>
      </c>
      <c r="G182" s="94">
        <f t="shared" si="77"/>
        <v>0.11108360029360489</v>
      </c>
      <c r="H182" s="94"/>
      <c r="I182" s="94"/>
      <c r="J182" s="94"/>
      <c r="K182" s="94"/>
      <c r="L182" s="94"/>
      <c r="M182" s="94"/>
      <c r="N182" s="94"/>
      <c r="O182" s="95">
        <f t="shared" si="82"/>
        <v>80</v>
      </c>
      <c r="P182" s="97">
        <v>7.2999999999999995E-2</v>
      </c>
      <c r="Q182" s="102">
        <f t="shared" si="81"/>
        <v>5.84</v>
      </c>
    </row>
    <row r="183" spans="1:17" ht="15" customHeight="1">
      <c r="A183" s="8" t="str">
        <f t="shared" si="80"/>
        <v>Ø1015 Bend (85⁰)</v>
      </c>
      <c r="B183" s="94">
        <f t="shared" si="78"/>
        <v>0.1180263253119552</v>
      </c>
      <c r="C183" s="99" t="s">
        <v>351</v>
      </c>
      <c r="D183" s="105">
        <v>1015</v>
      </c>
      <c r="E183" s="101">
        <f t="shared" si="64"/>
        <v>0.80913682288613598</v>
      </c>
      <c r="F183" s="101">
        <f t="shared" si="76"/>
        <v>3.1887165433936402</v>
      </c>
      <c r="G183" s="94">
        <f t="shared" si="77"/>
        <v>0.1180263253119552</v>
      </c>
      <c r="H183" s="94"/>
      <c r="I183" s="94"/>
      <c r="J183" s="94"/>
      <c r="K183" s="94"/>
      <c r="L183" s="94"/>
      <c r="M183" s="94"/>
      <c r="N183" s="94"/>
      <c r="O183" s="95">
        <f t="shared" si="82"/>
        <v>85</v>
      </c>
      <c r="P183" s="97">
        <v>7.2999999999999995E-2</v>
      </c>
      <c r="Q183" s="102">
        <f t="shared" si="81"/>
        <v>6.2049999999999992</v>
      </c>
    </row>
    <row r="184" spans="1:17" ht="15" customHeight="1">
      <c r="A184" s="8" t="str">
        <f t="shared" si="80"/>
        <v>Ø1015 Bend (90⁰)</v>
      </c>
      <c r="B184" s="94">
        <f t="shared" si="78"/>
        <v>0.12496905033030549</v>
      </c>
      <c r="C184" s="99" t="s">
        <v>351</v>
      </c>
      <c r="D184" s="105">
        <v>1015</v>
      </c>
      <c r="E184" s="101">
        <f t="shared" si="64"/>
        <v>0.80913682288613598</v>
      </c>
      <c r="F184" s="101">
        <f t="shared" si="76"/>
        <v>3.1887165433936402</v>
      </c>
      <c r="G184" s="94">
        <f t="shared" si="77"/>
        <v>0.12496905033030549</v>
      </c>
      <c r="H184" s="94"/>
      <c r="I184" s="94"/>
      <c r="J184" s="94"/>
      <c r="K184" s="94"/>
      <c r="L184" s="94"/>
      <c r="M184" s="94"/>
      <c r="N184" s="94"/>
      <c r="O184" s="95">
        <f t="shared" si="82"/>
        <v>90</v>
      </c>
      <c r="P184" s="97">
        <v>7.2999999999999995E-2</v>
      </c>
      <c r="Q184" s="102">
        <f t="shared" si="81"/>
        <v>6.5699999999999994</v>
      </c>
    </row>
    <row r="185" spans="1:17" ht="15" customHeight="1">
      <c r="A185" s="8" t="str">
        <f>"Ø"&amp;D185&amp;" "&amp;C185</f>
        <v>Ø1015 T-Piece</v>
      </c>
      <c r="B185" s="94">
        <f t="shared" si="78"/>
        <v>3.8042328867672909E-3</v>
      </c>
      <c r="C185" s="99" t="s">
        <v>352</v>
      </c>
      <c r="D185" s="105">
        <v>1015</v>
      </c>
      <c r="E185" s="101">
        <f t="shared" si="64"/>
        <v>0.80913682288613598</v>
      </c>
      <c r="F185" s="101">
        <f t="shared" si="76"/>
        <v>3.1887165433936402</v>
      </c>
      <c r="G185" s="94">
        <f t="shared" si="77"/>
        <v>3.8042328867672909E-3</v>
      </c>
      <c r="H185" s="94"/>
      <c r="I185" s="94"/>
      <c r="J185" s="94"/>
      <c r="K185" s="94"/>
      <c r="L185" s="94"/>
      <c r="M185" s="94"/>
      <c r="N185" s="94"/>
      <c r="O185" s="95"/>
      <c r="P185" s="97">
        <v>0.2</v>
      </c>
      <c r="Q185" s="102">
        <f>+P185</f>
        <v>0.2</v>
      </c>
    </row>
    <row r="186" spans="1:17" ht="15" customHeight="1">
      <c r="A186" s="8" t="str">
        <f>"Ø"&amp;D186&amp;" "&amp;C186</f>
        <v>Ø1015 Y-Piece</v>
      </c>
      <c r="B186" s="94">
        <f t="shared" si="78"/>
        <v>-1.0138280643234831E-2</v>
      </c>
      <c r="C186" s="99" t="s">
        <v>353</v>
      </c>
      <c r="D186" s="105">
        <v>1015</v>
      </c>
      <c r="E186" s="101">
        <f t="shared" si="64"/>
        <v>0.80913682288613598</v>
      </c>
      <c r="F186" s="101">
        <f t="shared" si="76"/>
        <v>3.1887165433936402</v>
      </c>
      <c r="G186" s="94">
        <f t="shared" si="77"/>
        <v>-1.0138280643234831E-2</v>
      </c>
      <c r="H186" s="94"/>
      <c r="I186" s="94"/>
      <c r="J186" s="94"/>
      <c r="K186" s="94"/>
      <c r="L186" s="94"/>
      <c r="M186" s="94"/>
      <c r="N186" s="94"/>
      <c r="O186" s="95"/>
      <c r="P186" s="97">
        <v>-0.53300000000000003</v>
      </c>
      <c r="Q186" s="102">
        <f>+P186</f>
        <v>-0.53300000000000003</v>
      </c>
    </row>
    <row r="187" spans="1:17" ht="15" customHeight="1">
      <c r="A187" s="8" t="str">
        <f>"Ø"&amp;D187&amp;" "&amp;C187</f>
        <v>Ø1015 Screen</v>
      </c>
      <c r="B187" s="94">
        <f t="shared" si="78"/>
        <v>1.0708915576249924E-2</v>
      </c>
      <c r="C187" s="99" t="s">
        <v>354</v>
      </c>
      <c r="D187" s="105">
        <v>1015</v>
      </c>
      <c r="E187" s="101">
        <f t="shared" si="64"/>
        <v>0.80913682288613598</v>
      </c>
      <c r="F187" s="101">
        <f t="shared" si="76"/>
        <v>3.1887165433936402</v>
      </c>
      <c r="G187" s="94">
        <f t="shared" si="77"/>
        <v>1.0708915576249924E-2</v>
      </c>
      <c r="H187" s="94"/>
      <c r="I187" s="94"/>
      <c r="J187" s="94"/>
      <c r="K187" s="94"/>
      <c r="L187" s="94"/>
      <c r="M187" s="94"/>
      <c r="N187" s="94"/>
      <c r="O187" s="95"/>
      <c r="P187" s="97">
        <v>0.56300000000000006</v>
      </c>
      <c r="Q187" s="102">
        <f>+P187</f>
        <v>0.56300000000000006</v>
      </c>
    </row>
    <row r="188" spans="1:17">
      <c r="A188" s="8" t="str">
        <f>"Ø"&amp;D188&amp;" "&amp;C188</f>
        <v>Ø1015 Flat Nose Cone</v>
      </c>
      <c r="B188" s="94">
        <f t="shared" si="78"/>
        <v>3.7091270645981085E-3</v>
      </c>
      <c r="C188" s="99" t="s">
        <v>355</v>
      </c>
      <c r="D188" s="105">
        <v>1015</v>
      </c>
      <c r="E188" s="101">
        <f t="shared" si="64"/>
        <v>0.80913682288613598</v>
      </c>
      <c r="F188" s="101">
        <f t="shared" si="76"/>
        <v>3.1887165433936402</v>
      </c>
      <c r="G188" s="94">
        <f t="shared" si="77"/>
        <v>3.7091270645981085E-3</v>
      </c>
      <c r="H188" s="94"/>
      <c r="I188" s="94"/>
      <c r="J188" s="94"/>
      <c r="K188" s="94"/>
      <c r="L188" s="94"/>
      <c r="M188" s="94"/>
      <c r="N188" s="94"/>
      <c r="O188" s="95"/>
      <c r="P188" s="97">
        <v>0.19500000000000001</v>
      </c>
      <c r="Q188" s="102">
        <f>+P188</f>
        <v>0.19500000000000001</v>
      </c>
    </row>
    <row r="189" spans="1:17">
      <c r="A189" s="8" t="str">
        <f>"Ø"&amp;D189&amp;" "&amp;C189</f>
        <v>Ø1015 Sharp Nose Cone</v>
      </c>
      <c r="B189" s="94">
        <f t="shared" si="78"/>
        <v>0</v>
      </c>
      <c r="C189" s="99" t="s">
        <v>356</v>
      </c>
      <c r="D189" s="105">
        <v>1015</v>
      </c>
      <c r="E189" s="101">
        <f t="shared" si="64"/>
        <v>0.80913682288613598</v>
      </c>
      <c r="F189" s="101">
        <f t="shared" si="76"/>
        <v>3.1887165433936402</v>
      </c>
      <c r="G189" s="94">
        <f t="shared" si="77"/>
        <v>0</v>
      </c>
      <c r="H189" s="94"/>
      <c r="I189" s="94"/>
      <c r="J189" s="94"/>
      <c r="K189" s="94"/>
      <c r="L189" s="94"/>
      <c r="M189" s="94"/>
      <c r="N189" s="94"/>
      <c r="O189" s="95"/>
      <c r="P189" s="97">
        <v>0</v>
      </c>
      <c r="Q189" s="102">
        <f>+P189</f>
        <v>0</v>
      </c>
    </row>
    <row r="190" spans="1:17">
      <c r="A190" s="106" t="str">
        <f t="shared" ref="A190:A195" si="83">IF(D190&lt;H190,"Ø"&amp;D190&amp;" to Ø"&amp;H190&amp;" Evaseé","Ø"&amp;D190&amp;" to Ø"&amp;H190&amp;" Reducer")</f>
        <v>Ø1015 to Ø305 Reducer</v>
      </c>
      <c r="B190" s="111">
        <f t="shared" ref="B190:B195" si="84">+N190</f>
        <v>119.24874799999999</v>
      </c>
      <c r="C190" s="110"/>
      <c r="D190" s="105">
        <v>1015</v>
      </c>
      <c r="E190" s="103">
        <f t="shared" si="64"/>
        <v>0.80913682288613598</v>
      </c>
      <c r="F190" s="103">
        <f t="shared" ref="F190:F195" si="85">PI()*(H190/1000)</f>
        <v>0.95818575934488692</v>
      </c>
      <c r="G190" s="107">
        <f t="shared" ref="G190:G195" si="86">(($S$4*F190*$R$4)/(E190^3))</f>
        <v>5.7157193618917424E-3</v>
      </c>
      <c r="H190" s="105">
        <v>305</v>
      </c>
      <c r="I190" s="103">
        <f t="shared" ref="I190:I195" si="87">PI()*((H190/1000)^2)/4</f>
        <v>7.3061664150047625E-2</v>
      </c>
      <c r="J190" s="103">
        <f t="shared" ref="J190:J195" si="88">PI()*(H190/1000)</f>
        <v>0.95818575934488692</v>
      </c>
      <c r="K190" s="108">
        <f t="shared" ref="K190:K195" si="89">(($S$4*J190*$R$4)/(I190^3))</f>
        <v>7.7636887229801461</v>
      </c>
      <c r="L190" s="107">
        <f t="shared" ref="L190:L195" si="90">IF(D190&lt;H190,-K190,K190)</f>
        <v>7.7636887229801461</v>
      </c>
      <c r="M190" s="107">
        <f t="shared" ref="M190:M195" si="91">(((1/$I190)^2)*1.2/2-((1/$E190)^2)*1.2/2)/(1^2)</f>
        <v>111.48505911116776</v>
      </c>
      <c r="N190" s="107">
        <f t="shared" ref="N190:N195" si="92">ROUNDUP((M190+L190),6)</f>
        <v>119.24874799999999</v>
      </c>
    </row>
    <row r="191" spans="1:17">
      <c r="A191" s="106" t="str">
        <f t="shared" si="83"/>
        <v>Ø1015 to Ø380 Reducer</v>
      </c>
      <c r="B191" s="111">
        <f t="shared" si="84"/>
        <v>48.318114999999999</v>
      </c>
      <c r="C191" s="110"/>
      <c r="D191" s="105">
        <v>1015</v>
      </c>
      <c r="E191" s="103">
        <f t="shared" si="64"/>
        <v>0.80913682288613598</v>
      </c>
      <c r="F191" s="103">
        <f t="shared" si="85"/>
        <v>1.1938052083641213</v>
      </c>
      <c r="G191" s="107">
        <f t="shared" si="86"/>
        <v>7.1212241230126615E-3</v>
      </c>
      <c r="H191" s="105">
        <v>380</v>
      </c>
      <c r="I191" s="103">
        <f t="shared" si="87"/>
        <v>0.11341149479459153</v>
      </c>
      <c r="J191" s="103">
        <f t="shared" si="88"/>
        <v>1.1938052083641213</v>
      </c>
      <c r="K191" s="108">
        <f t="shared" si="89"/>
        <v>2.5861239014254869</v>
      </c>
      <c r="L191" s="107">
        <f t="shared" si="90"/>
        <v>2.5861239014254869</v>
      </c>
      <c r="M191" s="107">
        <f t="shared" si="91"/>
        <v>45.731990536772521</v>
      </c>
      <c r="N191" s="107">
        <f t="shared" si="92"/>
        <v>48.318114999999999</v>
      </c>
    </row>
    <row r="192" spans="1:17">
      <c r="A192" s="106" t="str">
        <f t="shared" si="83"/>
        <v>Ø1015 to Ø405 Reducer</v>
      </c>
      <c r="B192" s="111">
        <f t="shared" si="84"/>
        <v>37.117722000000001</v>
      </c>
      <c r="C192" s="110"/>
      <c r="D192" s="105">
        <v>1015</v>
      </c>
      <c r="E192" s="103">
        <f t="shared" si="64"/>
        <v>0.80913682288613598</v>
      </c>
      <c r="F192" s="103">
        <f t="shared" si="85"/>
        <v>1.2723450247038663</v>
      </c>
      <c r="G192" s="107">
        <f t="shared" si="86"/>
        <v>7.5897257100529698E-3</v>
      </c>
      <c r="H192" s="105">
        <v>405</v>
      </c>
      <c r="I192" s="103">
        <f t="shared" si="87"/>
        <v>0.12882493375126647</v>
      </c>
      <c r="J192" s="103">
        <f t="shared" si="88"/>
        <v>1.2723450247038663</v>
      </c>
      <c r="K192" s="108">
        <f t="shared" si="89"/>
        <v>1.8805816544504048</v>
      </c>
      <c r="L192" s="107">
        <f t="shared" si="90"/>
        <v>1.8805816544504048</v>
      </c>
      <c r="M192" s="107">
        <f t="shared" si="91"/>
        <v>35.237140260383072</v>
      </c>
      <c r="N192" s="107">
        <f t="shared" si="92"/>
        <v>37.117722000000001</v>
      </c>
    </row>
    <row r="193" spans="1:17">
      <c r="A193" s="106" t="str">
        <f t="shared" si="83"/>
        <v>Ø1015 to Ø570 Reducer</v>
      </c>
      <c r="B193" s="111">
        <f t="shared" si="84"/>
        <v>8.6386189999999985</v>
      </c>
      <c r="C193" s="110"/>
      <c r="D193" s="105">
        <v>1015</v>
      </c>
      <c r="E193" s="103">
        <f t="shared" si="64"/>
        <v>0.80913682288613598</v>
      </c>
      <c r="F193" s="103">
        <f t="shared" si="85"/>
        <v>1.7907078125461819</v>
      </c>
      <c r="G193" s="107">
        <f t="shared" si="86"/>
        <v>1.0681836184518992E-2</v>
      </c>
      <c r="H193" s="105">
        <v>570</v>
      </c>
      <c r="I193" s="103">
        <f t="shared" si="87"/>
        <v>0.25517586328783093</v>
      </c>
      <c r="J193" s="103">
        <f t="shared" si="88"/>
        <v>1.7907078125461819</v>
      </c>
      <c r="K193" s="108">
        <f t="shared" si="89"/>
        <v>0.34055952611364448</v>
      </c>
      <c r="L193" s="107">
        <f t="shared" si="90"/>
        <v>0.34055952611364448</v>
      </c>
      <c r="M193" s="107">
        <f t="shared" si="91"/>
        <v>8.2980592397674062</v>
      </c>
      <c r="N193" s="107">
        <f t="shared" si="92"/>
        <v>8.6386189999999985</v>
      </c>
    </row>
    <row r="194" spans="1:17">
      <c r="A194" s="106" t="str">
        <f t="shared" si="83"/>
        <v>Ø1015 to Ø760 Reducer</v>
      </c>
      <c r="B194" s="111">
        <f t="shared" si="84"/>
        <v>2.0798970000000003</v>
      </c>
      <c r="C194" s="110"/>
      <c r="D194" s="105">
        <v>1015</v>
      </c>
      <c r="E194" s="103">
        <f t="shared" si="64"/>
        <v>0.80913682288613598</v>
      </c>
      <c r="F194" s="103">
        <f t="shared" si="85"/>
        <v>2.3876104167282426</v>
      </c>
      <c r="G194" s="107">
        <f t="shared" si="86"/>
        <v>1.4242448246025323E-2</v>
      </c>
      <c r="H194" s="105">
        <v>760</v>
      </c>
      <c r="I194" s="103">
        <f t="shared" si="87"/>
        <v>0.45364597917836613</v>
      </c>
      <c r="J194" s="103">
        <f t="shared" si="88"/>
        <v>2.3876104167282426</v>
      </c>
      <c r="K194" s="108">
        <f t="shared" si="89"/>
        <v>8.0816371919546465E-2</v>
      </c>
      <c r="L194" s="107">
        <f t="shared" si="90"/>
        <v>8.0816371919546465E-2</v>
      </c>
      <c r="M194" s="107">
        <f t="shared" si="91"/>
        <v>1.9990804157521196</v>
      </c>
      <c r="N194" s="107">
        <f t="shared" si="92"/>
        <v>2.0798970000000003</v>
      </c>
    </row>
    <row r="195" spans="1:17">
      <c r="A195" s="106" t="str">
        <f t="shared" si="83"/>
        <v>Ø1015 to Ø1220 Evaseé</v>
      </c>
      <c r="B195" s="111">
        <f t="shared" si="84"/>
        <v>-0.48496099999999998</v>
      </c>
      <c r="C195" s="110"/>
      <c r="D195" s="105">
        <v>1015</v>
      </c>
      <c r="E195" s="103">
        <f t="shared" si="64"/>
        <v>0.80913682288613598</v>
      </c>
      <c r="F195" s="103">
        <f t="shared" si="85"/>
        <v>3.8327430373795477</v>
      </c>
      <c r="G195" s="107">
        <f t="shared" si="86"/>
        <v>2.286287744756697E-2</v>
      </c>
      <c r="H195" s="105">
        <v>1220</v>
      </c>
      <c r="I195" s="103">
        <f t="shared" si="87"/>
        <v>1.168986626400762</v>
      </c>
      <c r="J195" s="103">
        <f t="shared" si="88"/>
        <v>3.8327430373795477</v>
      </c>
      <c r="K195" s="108">
        <f t="shared" si="89"/>
        <v>7.5817272685352989E-3</v>
      </c>
      <c r="L195" s="107">
        <f t="shared" si="90"/>
        <v>-7.5817272685352989E-3</v>
      </c>
      <c r="M195" s="107">
        <f t="shared" si="91"/>
        <v>-0.47737854269292396</v>
      </c>
      <c r="N195" s="107">
        <f t="shared" si="92"/>
        <v>-0.48496099999999998</v>
      </c>
    </row>
    <row r="196" spans="1:17">
      <c r="A196" s="8" t="str">
        <f t="shared" ref="A196:A203" si="93">"Ø"&amp;D196&amp;" "&amp;C196&amp;" ("&amp;TEXT(Q196,"0.0")&amp;"m lengths)"</f>
        <v>Ø1220 Straight Duct (0.5m lengths)</v>
      </c>
      <c r="B196" s="94">
        <f>+G196</f>
        <v>3.7908636342676495E-3</v>
      </c>
      <c r="C196" s="94" t="s">
        <v>277</v>
      </c>
      <c r="D196" s="105">
        <v>1220</v>
      </c>
      <c r="E196" s="101">
        <f t="shared" si="64"/>
        <v>1.168986626400762</v>
      </c>
      <c r="F196" s="101">
        <f t="shared" ref="F196:F226" si="94">PI()*D196/1000</f>
        <v>3.8327430373795477</v>
      </c>
      <c r="G196" s="94">
        <f t="shared" ref="G196:G226" si="95">$S$4*F196*Q196/(E196^3)</f>
        <v>3.7908636342676495E-3</v>
      </c>
      <c r="H196" s="94"/>
      <c r="I196" s="94"/>
      <c r="J196" s="94"/>
      <c r="K196" s="94"/>
      <c r="L196" s="94"/>
      <c r="M196" s="94"/>
      <c r="N196" s="94"/>
      <c r="O196" s="94"/>
      <c r="P196" s="96"/>
      <c r="Q196" s="102">
        <v>0.5</v>
      </c>
    </row>
    <row r="197" spans="1:17">
      <c r="A197" s="8" t="str">
        <f t="shared" si="93"/>
        <v>Ø1220 Straight Duct (1.0m lengths)</v>
      </c>
      <c r="B197" s="94">
        <f t="shared" ref="B197:B226" si="96">+G197</f>
        <v>7.5817272685352989E-3</v>
      </c>
      <c r="C197" s="94" t="s">
        <v>277</v>
      </c>
      <c r="D197" s="105">
        <v>1220</v>
      </c>
      <c r="E197" s="101">
        <f t="shared" ref="E197:E232" si="97">PI()*((D197/1000)^2)/4</f>
        <v>1.168986626400762</v>
      </c>
      <c r="F197" s="101">
        <f t="shared" si="94"/>
        <v>3.8327430373795477</v>
      </c>
      <c r="G197" s="94">
        <f t="shared" si="95"/>
        <v>7.5817272685352989E-3</v>
      </c>
      <c r="H197" s="94"/>
      <c r="I197" s="94"/>
      <c r="J197" s="94"/>
      <c r="K197" s="94"/>
      <c r="L197" s="94"/>
      <c r="M197" s="94"/>
      <c r="N197" s="94"/>
      <c r="O197" s="94"/>
      <c r="P197" s="96"/>
      <c r="Q197" s="102">
        <f t="shared" ref="Q197:Q203" si="98">+Q196+0.5</f>
        <v>1</v>
      </c>
    </row>
    <row r="198" spans="1:17">
      <c r="A198" s="8" t="str">
        <f t="shared" si="93"/>
        <v>Ø1220 Straight Duct (1.5m lengths)</v>
      </c>
      <c r="B198" s="94">
        <f t="shared" si="96"/>
        <v>1.1372590902802949E-2</v>
      </c>
      <c r="C198" s="94" t="s">
        <v>277</v>
      </c>
      <c r="D198" s="105">
        <v>1220</v>
      </c>
      <c r="E198" s="101">
        <f t="shared" si="97"/>
        <v>1.168986626400762</v>
      </c>
      <c r="F198" s="101">
        <f t="shared" si="94"/>
        <v>3.8327430373795477</v>
      </c>
      <c r="G198" s="94">
        <f t="shared" si="95"/>
        <v>1.1372590902802949E-2</v>
      </c>
      <c r="H198" s="94"/>
      <c r="I198" s="94"/>
      <c r="J198" s="94"/>
      <c r="K198" s="94"/>
      <c r="L198" s="94"/>
      <c r="M198" s="94"/>
      <c r="N198" s="94"/>
      <c r="O198" s="94"/>
      <c r="P198" s="96"/>
      <c r="Q198" s="102">
        <f t="shared" si="98"/>
        <v>1.5</v>
      </c>
    </row>
    <row r="199" spans="1:17">
      <c r="A199" s="8" t="str">
        <f t="shared" si="93"/>
        <v>Ø1220 Straight Duct (2.0m lengths)</v>
      </c>
      <c r="B199" s="94">
        <f t="shared" si="96"/>
        <v>1.5163454537070598E-2</v>
      </c>
      <c r="C199" s="94" t="s">
        <v>277</v>
      </c>
      <c r="D199" s="105">
        <v>1220</v>
      </c>
      <c r="E199" s="101">
        <f t="shared" si="97"/>
        <v>1.168986626400762</v>
      </c>
      <c r="F199" s="101">
        <f t="shared" si="94"/>
        <v>3.8327430373795477</v>
      </c>
      <c r="G199" s="94">
        <f t="shared" si="95"/>
        <v>1.5163454537070598E-2</v>
      </c>
      <c r="H199" s="94"/>
      <c r="I199" s="94"/>
      <c r="J199" s="94"/>
      <c r="K199" s="94"/>
      <c r="L199" s="94"/>
      <c r="M199" s="94"/>
      <c r="N199" s="94"/>
      <c r="O199" s="94"/>
      <c r="P199" s="96"/>
      <c r="Q199" s="102">
        <f t="shared" si="98"/>
        <v>2</v>
      </c>
    </row>
    <row r="200" spans="1:17" ht="15" customHeight="1">
      <c r="A200" s="8" t="str">
        <f t="shared" si="93"/>
        <v>Ø1220 Straight Duct (2.5m lengths)</v>
      </c>
      <c r="B200" s="94">
        <f t="shared" si="96"/>
        <v>1.895431817133825E-2</v>
      </c>
      <c r="C200" s="94" t="s">
        <v>277</v>
      </c>
      <c r="D200" s="105">
        <v>1220</v>
      </c>
      <c r="E200" s="101">
        <f t="shared" si="97"/>
        <v>1.168986626400762</v>
      </c>
      <c r="F200" s="101">
        <f t="shared" si="94"/>
        <v>3.8327430373795477</v>
      </c>
      <c r="G200" s="94">
        <f t="shared" si="95"/>
        <v>1.895431817133825E-2</v>
      </c>
      <c r="H200" s="94"/>
      <c r="I200" s="94"/>
      <c r="J200" s="94"/>
      <c r="K200" s="94"/>
      <c r="L200" s="94"/>
      <c r="M200" s="94"/>
      <c r="N200" s="94"/>
      <c r="O200" s="94"/>
      <c r="P200" s="96"/>
      <c r="Q200" s="102">
        <f t="shared" si="98"/>
        <v>2.5</v>
      </c>
    </row>
    <row r="201" spans="1:17" ht="15" customHeight="1">
      <c r="A201" s="8" t="str">
        <f t="shared" si="93"/>
        <v>Ø1220 Straight Duct (3.0m lengths)</v>
      </c>
      <c r="B201" s="94">
        <f t="shared" si="96"/>
        <v>2.2745181805605898E-2</v>
      </c>
      <c r="C201" s="94" t="s">
        <v>277</v>
      </c>
      <c r="D201" s="105">
        <v>1220</v>
      </c>
      <c r="E201" s="101">
        <f t="shared" si="97"/>
        <v>1.168986626400762</v>
      </c>
      <c r="F201" s="101">
        <f t="shared" si="94"/>
        <v>3.8327430373795477</v>
      </c>
      <c r="G201" s="94">
        <f t="shared" si="95"/>
        <v>2.2745181805605898E-2</v>
      </c>
      <c r="H201" s="94"/>
      <c r="I201" s="94"/>
      <c r="J201" s="94"/>
      <c r="K201" s="94"/>
      <c r="L201" s="94"/>
      <c r="M201" s="94"/>
      <c r="N201" s="94"/>
      <c r="O201" s="94"/>
      <c r="P201" s="96"/>
      <c r="Q201" s="102">
        <f t="shared" si="98"/>
        <v>3</v>
      </c>
    </row>
    <row r="202" spans="1:17" ht="15" customHeight="1">
      <c r="A202" s="8" t="str">
        <f t="shared" si="93"/>
        <v>Ø1220 Straight Duct (3.5m lengths)</v>
      </c>
      <c r="B202" s="94">
        <f t="shared" si="96"/>
        <v>2.6536045439873548E-2</v>
      </c>
      <c r="C202" s="94" t="s">
        <v>277</v>
      </c>
      <c r="D202" s="105">
        <v>1220</v>
      </c>
      <c r="E202" s="101">
        <f t="shared" si="97"/>
        <v>1.168986626400762</v>
      </c>
      <c r="F202" s="101">
        <f t="shared" si="94"/>
        <v>3.8327430373795477</v>
      </c>
      <c r="G202" s="94">
        <f t="shared" si="95"/>
        <v>2.6536045439873548E-2</v>
      </c>
      <c r="H202" s="94"/>
      <c r="I202" s="94"/>
      <c r="J202" s="94"/>
      <c r="K202" s="94"/>
      <c r="L202" s="94"/>
      <c r="M202" s="94"/>
      <c r="N202" s="94"/>
      <c r="O202" s="94"/>
      <c r="P202" s="96"/>
      <c r="Q202" s="102">
        <f t="shared" si="98"/>
        <v>3.5</v>
      </c>
    </row>
    <row r="203" spans="1:17" ht="15" customHeight="1">
      <c r="A203" s="8" t="str">
        <f t="shared" si="93"/>
        <v>Ø1220 Straight Duct (4.0m lengths)</v>
      </c>
      <c r="B203" s="94">
        <f t="shared" si="96"/>
        <v>3.0326909074141196E-2</v>
      </c>
      <c r="C203" s="94" t="s">
        <v>277</v>
      </c>
      <c r="D203" s="105">
        <v>1220</v>
      </c>
      <c r="E203" s="101">
        <f t="shared" si="97"/>
        <v>1.168986626400762</v>
      </c>
      <c r="F203" s="101">
        <f t="shared" si="94"/>
        <v>3.8327430373795477</v>
      </c>
      <c r="G203" s="94">
        <f t="shared" si="95"/>
        <v>3.0326909074141196E-2</v>
      </c>
      <c r="H203" s="94"/>
      <c r="I203" s="94"/>
      <c r="J203" s="94"/>
      <c r="K203" s="94"/>
      <c r="L203" s="94"/>
      <c r="M203" s="94"/>
      <c r="N203" s="94"/>
      <c r="O203" s="94"/>
      <c r="P203" s="96"/>
      <c r="Q203" s="102">
        <f t="shared" si="98"/>
        <v>4</v>
      </c>
    </row>
    <row r="204" spans="1:17" ht="15" customHeight="1">
      <c r="A204" s="8" t="str">
        <f t="shared" ref="A204:A221" si="99">"Ø"&amp;D204&amp;" "&amp;C204&amp;" ("&amp;O204&amp;"⁰)"</f>
        <v>Ø1220 Bend (5⁰)</v>
      </c>
      <c r="B204" s="94">
        <f t="shared" si="96"/>
        <v>2.7673304530153845E-3</v>
      </c>
      <c r="C204" s="99" t="s">
        <v>351</v>
      </c>
      <c r="D204" s="105">
        <v>1220</v>
      </c>
      <c r="E204" s="101">
        <f t="shared" si="97"/>
        <v>1.168986626400762</v>
      </c>
      <c r="F204" s="101">
        <f t="shared" si="94"/>
        <v>3.8327430373795477</v>
      </c>
      <c r="G204" s="94">
        <f t="shared" si="95"/>
        <v>2.7673304530153845E-3</v>
      </c>
      <c r="H204" s="94"/>
      <c r="I204" s="94"/>
      <c r="J204" s="94"/>
      <c r="K204" s="94"/>
      <c r="L204" s="94"/>
      <c r="M204" s="94"/>
      <c r="N204" s="94"/>
      <c r="O204" s="95">
        <v>5</v>
      </c>
      <c r="P204" s="97">
        <v>7.2999999999999995E-2</v>
      </c>
      <c r="Q204" s="102">
        <f t="shared" ref="Q204:Q221" si="100">+O204*P204</f>
        <v>0.36499999999999999</v>
      </c>
    </row>
    <row r="205" spans="1:17" ht="15" customHeight="1">
      <c r="A205" s="8" t="str">
        <f t="shared" si="99"/>
        <v>Ø1220 Bend (10⁰)</v>
      </c>
      <c r="B205" s="94">
        <f t="shared" si="96"/>
        <v>5.5346609060307689E-3</v>
      </c>
      <c r="C205" s="99" t="s">
        <v>351</v>
      </c>
      <c r="D205" s="105">
        <v>1220</v>
      </c>
      <c r="E205" s="101">
        <f t="shared" si="97"/>
        <v>1.168986626400762</v>
      </c>
      <c r="F205" s="101">
        <f t="shared" si="94"/>
        <v>3.8327430373795477</v>
      </c>
      <c r="G205" s="94">
        <f t="shared" si="95"/>
        <v>5.5346609060307689E-3</v>
      </c>
      <c r="H205" s="94"/>
      <c r="I205" s="94"/>
      <c r="J205" s="94"/>
      <c r="K205" s="94"/>
      <c r="L205" s="94"/>
      <c r="M205" s="94"/>
      <c r="N205" s="94"/>
      <c r="O205" s="95">
        <f>+O204+5</f>
        <v>10</v>
      </c>
      <c r="P205" s="97">
        <v>7.2999999999999995E-2</v>
      </c>
      <c r="Q205" s="102">
        <f t="shared" si="100"/>
        <v>0.73</v>
      </c>
    </row>
    <row r="206" spans="1:17" ht="15" customHeight="1">
      <c r="A206" s="8" t="str">
        <f t="shared" si="99"/>
        <v>Ø1220 Bend (15⁰)</v>
      </c>
      <c r="B206" s="94">
        <f t="shared" si="96"/>
        <v>8.3019913590461521E-3</v>
      </c>
      <c r="C206" s="99" t="s">
        <v>351</v>
      </c>
      <c r="D206" s="105">
        <v>1220</v>
      </c>
      <c r="E206" s="101">
        <f t="shared" si="97"/>
        <v>1.168986626400762</v>
      </c>
      <c r="F206" s="101">
        <f t="shared" si="94"/>
        <v>3.8327430373795477</v>
      </c>
      <c r="G206" s="94">
        <f t="shared" si="95"/>
        <v>8.3019913590461521E-3</v>
      </c>
      <c r="H206" s="94"/>
      <c r="I206" s="94"/>
      <c r="J206" s="94"/>
      <c r="K206" s="94"/>
      <c r="L206" s="94"/>
      <c r="M206" s="94"/>
      <c r="N206" s="94"/>
      <c r="O206" s="95">
        <f t="shared" ref="O206:O221" si="101">+O205+5</f>
        <v>15</v>
      </c>
      <c r="P206" s="97">
        <v>7.2999999999999995E-2</v>
      </c>
      <c r="Q206" s="102">
        <f t="shared" si="100"/>
        <v>1.095</v>
      </c>
    </row>
    <row r="207" spans="1:17" ht="15" customHeight="1">
      <c r="A207" s="8" t="str">
        <f t="shared" si="99"/>
        <v>Ø1220 Bend (20⁰)</v>
      </c>
      <c r="B207" s="94">
        <f t="shared" si="96"/>
        <v>1.1069321812061538E-2</v>
      </c>
      <c r="C207" s="99" t="s">
        <v>351</v>
      </c>
      <c r="D207" s="105">
        <v>1220</v>
      </c>
      <c r="E207" s="101">
        <f t="shared" si="97"/>
        <v>1.168986626400762</v>
      </c>
      <c r="F207" s="101">
        <f t="shared" si="94"/>
        <v>3.8327430373795477</v>
      </c>
      <c r="G207" s="94">
        <f t="shared" si="95"/>
        <v>1.1069321812061538E-2</v>
      </c>
      <c r="H207" s="94"/>
      <c r="I207" s="94"/>
      <c r="J207" s="94"/>
      <c r="K207" s="94"/>
      <c r="L207" s="94"/>
      <c r="M207" s="94"/>
      <c r="N207" s="94"/>
      <c r="O207" s="95">
        <f t="shared" si="101"/>
        <v>20</v>
      </c>
      <c r="P207" s="97">
        <v>7.2999999999999995E-2</v>
      </c>
      <c r="Q207" s="102">
        <f t="shared" si="100"/>
        <v>1.46</v>
      </c>
    </row>
    <row r="208" spans="1:17" ht="15" customHeight="1">
      <c r="A208" s="8" t="str">
        <f t="shared" si="99"/>
        <v>Ø1220 Bend (25⁰)</v>
      </c>
      <c r="B208" s="94">
        <f t="shared" si="96"/>
        <v>1.3836652265076922E-2</v>
      </c>
      <c r="C208" s="99" t="s">
        <v>351</v>
      </c>
      <c r="D208" s="105">
        <v>1220</v>
      </c>
      <c r="E208" s="101">
        <f t="shared" si="97"/>
        <v>1.168986626400762</v>
      </c>
      <c r="F208" s="101">
        <f t="shared" si="94"/>
        <v>3.8327430373795477</v>
      </c>
      <c r="G208" s="94">
        <f t="shared" si="95"/>
        <v>1.3836652265076922E-2</v>
      </c>
      <c r="H208" s="94"/>
      <c r="I208" s="94"/>
      <c r="J208" s="94"/>
      <c r="K208" s="94"/>
      <c r="L208" s="94"/>
      <c r="M208" s="94"/>
      <c r="N208" s="94"/>
      <c r="O208" s="95">
        <f t="shared" si="101"/>
        <v>25</v>
      </c>
      <c r="P208" s="97">
        <v>7.2999999999999995E-2</v>
      </c>
      <c r="Q208" s="102">
        <f t="shared" si="100"/>
        <v>1.825</v>
      </c>
    </row>
    <row r="209" spans="1:17" ht="15" customHeight="1">
      <c r="A209" s="8" t="str">
        <f t="shared" si="99"/>
        <v>Ø1220 Bend (30⁰)</v>
      </c>
      <c r="B209" s="94">
        <f t="shared" si="96"/>
        <v>1.6603982718092304E-2</v>
      </c>
      <c r="C209" s="99" t="s">
        <v>351</v>
      </c>
      <c r="D209" s="105">
        <v>1220</v>
      </c>
      <c r="E209" s="101">
        <f t="shared" si="97"/>
        <v>1.168986626400762</v>
      </c>
      <c r="F209" s="101">
        <f t="shared" si="94"/>
        <v>3.8327430373795477</v>
      </c>
      <c r="G209" s="94">
        <f t="shared" si="95"/>
        <v>1.6603982718092304E-2</v>
      </c>
      <c r="H209" s="94"/>
      <c r="I209" s="94"/>
      <c r="J209" s="94"/>
      <c r="K209" s="94"/>
      <c r="L209" s="94"/>
      <c r="M209" s="94"/>
      <c r="N209" s="94"/>
      <c r="O209" s="95">
        <f t="shared" si="101"/>
        <v>30</v>
      </c>
      <c r="P209" s="97">
        <v>7.2999999999999995E-2</v>
      </c>
      <c r="Q209" s="102">
        <f t="shared" si="100"/>
        <v>2.19</v>
      </c>
    </row>
    <row r="210" spans="1:17" ht="15" customHeight="1">
      <c r="A210" s="8" t="str">
        <f t="shared" si="99"/>
        <v>Ø1220 Bend (35⁰)</v>
      </c>
      <c r="B210" s="94">
        <f t="shared" si="96"/>
        <v>1.9371313171107688E-2</v>
      </c>
      <c r="C210" s="99" t="s">
        <v>351</v>
      </c>
      <c r="D210" s="105">
        <v>1220</v>
      </c>
      <c r="E210" s="101">
        <f t="shared" si="97"/>
        <v>1.168986626400762</v>
      </c>
      <c r="F210" s="101">
        <f t="shared" si="94"/>
        <v>3.8327430373795477</v>
      </c>
      <c r="G210" s="94">
        <f t="shared" si="95"/>
        <v>1.9371313171107688E-2</v>
      </c>
      <c r="H210" s="94"/>
      <c r="I210" s="94"/>
      <c r="J210" s="94"/>
      <c r="K210" s="94"/>
      <c r="L210" s="94"/>
      <c r="M210" s="94"/>
      <c r="N210" s="94"/>
      <c r="O210" s="95">
        <f t="shared" si="101"/>
        <v>35</v>
      </c>
      <c r="P210" s="97">
        <v>7.2999999999999995E-2</v>
      </c>
      <c r="Q210" s="102">
        <f t="shared" si="100"/>
        <v>2.5549999999999997</v>
      </c>
    </row>
    <row r="211" spans="1:17" ht="15" customHeight="1">
      <c r="A211" s="8" t="str">
        <f t="shared" si="99"/>
        <v>Ø1220 Bend (40⁰)</v>
      </c>
      <c r="B211" s="94">
        <f t="shared" si="96"/>
        <v>2.2138643624123076E-2</v>
      </c>
      <c r="C211" s="99" t="s">
        <v>351</v>
      </c>
      <c r="D211" s="105">
        <v>1220</v>
      </c>
      <c r="E211" s="101">
        <f t="shared" si="97"/>
        <v>1.168986626400762</v>
      </c>
      <c r="F211" s="101">
        <f t="shared" si="94"/>
        <v>3.8327430373795477</v>
      </c>
      <c r="G211" s="94">
        <f t="shared" si="95"/>
        <v>2.2138643624123076E-2</v>
      </c>
      <c r="H211" s="94"/>
      <c r="I211" s="94"/>
      <c r="J211" s="94"/>
      <c r="K211" s="94"/>
      <c r="L211" s="94"/>
      <c r="M211" s="94"/>
      <c r="N211" s="94"/>
      <c r="O211" s="95">
        <f t="shared" si="101"/>
        <v>40</v>
      </c>
      <c r="P211" s="97">
        <v>7.2999999999999995E-2</v>
      </c>
      <c r="Q211" s="102">
        <f t="shared" si="100"/>
        <v>2.92</v>
      </c>
    </row>
    <row r="212" spans="1:17" ht="15" customHeight="1">
      <c r="A212" s="8" t="str">
        <f t="shared" si="99"/>
        <v>Ø1220 Bend (45⁰)</v>
      </c>
      <c r="B212" s="94">
        <f t="shared" si="96"/>
        <v>2.4905974077138453E-2</v>
      </c>
      <c r="C212" s="99" t="s">
        <v>351</v>
      </c>
      <c r="D212" s="105">
        <v>1220</v>
      </c>
      <c r="E212" s="101">
        <f t="shared" si="97"/>
        <v>1.168986626400762</v>
      </c>
      <c r="F212" s="101">
        <f t="shared" si="94"/>
        <v>3.8327430373795477</v>
      </c>
      <c r="G212" s="94">
        <f t="shared" si="95"/>
        <v>2.4905974077138453E-2</v>
      </c>
      <c r="H212" s="94"/>
      <c r="I212" s="94"/>
      <c r="J212" s="94"/>
      <c r="K212" s="94"/>
      <c r="L212" s="94"/>
      <c r="M212" s="94"/>
      <c r="N212" s="94"/>
      <c r="O212" s="95">
        <f t="shared" si="101"/>
        <v>45</v>
      </c>
      <c r="P212" s="97">
        <v>7.2999999999999995E-2</v>
      </c>
      <c r="Q212" s="102">
        <f t="shared" si="100"/>
        <v>3.2849999999999997</v>
      </c>
    </row>
    <row r="213" spans="1:17" ht="15" customHeight="1">
      <c r="A213" s="8" t="str">
        <f t="shared" si="99"/>
        <v>Ø1220 Bend (50⁰)</v>
      </c>
      <c r="B213" s="94">
        <f t="shared" si="96"/>
        <v>2.7673304530153844E-2</v>
      </c>
      <c r="C213" s="99" t="s">
        <v>351</v>
      </c>
      <c r="D213" s="105">
        <v>1220</v>
      </c>
      <c r="E213" s="101">
        <f t="shared" si="97"/>
        <v>1.168986626400762</v>
      </c>
      <c r="F213" s="101">
        <f t="shared" si="94"/>
        <v>3.8327430373795477</v>
      </c>
      <c r="G213" s="94">
        <f t="shared" si="95"/>
        <v>2.7673304530153844E-2</v>
      </c>
      <c r="H213" s="94"/>
      <c r="I213" s="94"/>
      <c r="J213" s="94"/>
      <c r="K213" s="94"/>
      <c r="L213" s="94"/>
      <c r="M213" s="94"/>
      <c r="N213" s="94"/>
      <c r="O213" s="95">
        <f t="shared" si="101"/>
        <v>50</v>
      </c>
      <c r="P213" s="97">
        <v>7.2999999999999995E-2</v>
      </c>
      <c r="Q213" s="102">
        <f t="shared" si="100"/>
        <v>3.65</v>
      </c>
    </row>
    <row r="214" spans="1:17" ht="15" customHeight="1">
      <c r="A214" s="8" t="str">
        <f t="shared" si="99"/>
        <v>Ø1220 Bend (55⁰)</v>
      </c>
      <c r="B214" s="94">
        <f t="shared" si="96"/>
        <v>3.0440634983169224E-2</v>
      </c>
      <c r="C214" s="99" t="s">
        <v>351</v>
      </c>
      <c r="D214" s="105">
        <v>1220</v>
      </c>
      <c r="E214" s="101">
        <f t="shared" si="97"/>
        <v>1.168986626400762</v>
      </c>
      <c r="F214" s="101">
        <f t="shared" si="94"/>
        <v>3.8327430373795477</v>
      </c>
      <c r="G214" s="94">
        <f t="shared" si="95"/>
        <v>3.0440634983169224E-2</v>
      </c>
      <c r="H214" s="94"/>
      <c r="I214" s="94"/>
      <c r="J214" s="94"/>
      <c r="K214" s="94"/>
      <c r="L214" s="94"/>
      <c r="M214" s="94"/>
      <c r="N214" s="94"/>
      <c r="O214" s="95">
        <f t="shared" si="101"/>
        <v>55</v>
      </c>
      <c r="P214" s="97">
        <v>7.2999999999999995E-2</v>
      </c>
      <c r="Q214" s="102">
        <f t="shared" si="100"/>
        <v>4.0149999999999997</v>
      </c>
    </row>
    <row r="215" spans="1:17" ht="15" customHeight="1">
      <c r="A215" s="8" t="str">
        <f t="shared" si="99"/>
        <v>Ø1220 Bend (60⁰)</v>
      </c>
      <c r="B215" s="94">
        <f t="shared" si="96"/>
        <v>3.3207965436184608E-2</v>
      </c>
      <c r="C215" s="99" t="s">
        <v>351</v>
      </c>
      <c r="D215" s="105">
        <v>1220</v>
      </c>
      <c r="E215" s="101">
        <f t="shared" si="97"/>
        <v>1.168986626400762</v>
      </c>
      <c r="F215" s="101">
        <f t="shared" si="94"/>
        <v>3.8327430373795477</v>
      </c>
      <c r="G215" s="94">
        <f t="shared" si="95"/>
        <v>3.3207965436184608E-2</v>
      </c>
      <c r="H215" s="94"/>
      <c r="I215" s="94"/>
      <c r="J215" s="94"/>
      <c r="K215" s="94"/>
      <c r="L215" s="94"/>
      <c r="M215" s="94"/>
      <c r="N215" s="94"/>
      <c r="O215" s="95">
        <f t="shared" si="101"/>
        <v>60</v>
      </c>
      <c r="P215" s="97">
        <v>7.2999999999999995E-2</v>
      </c>
      <c r="Q215" s="102">
        <f t="shared" si="100"/>
        <v>4.38</v>
      </c>
    </row>
    <row r="216" spans="1:17" ht="15" customHeight="1">
      <c r="A216" s="8" t="str">
        <f t="shared" si="99"/>
        <v>Ø1220 Bend (65⁰)</v>
      </c>
      <c r="B216" s="94">
        <f t="shared" si="96"/>
        <v>3.5975295889199996E-2</v>
      </c>
      <c r="C216" s="99" t="s">
        <v>351</v>
      </c>
      <c r="D216" s="105">
        <v>1220</v>
      </c>
      <c r="E216" s="101">
        <f t="shared" si="97"/>
        <v>1.168986626400762</v>
      </c>
      <c r="F216" s="101">
        <f t="shared" si="94"/>
        <v>3.8327430373795477</v>
      </c>
      <c r="G216" s="94">
        <f t="shared" si="95"/>
        <v>3.5975295889199996E-2</v>
      </c>
      <c r="H216" s="94"/>
      <c r="I216" s="94"/>
      <c r="J216" s="94"/>
      <c r="K216" s="94"/>
      <c r="L216" s="94"/>
      <c r="M216" s="94"/>
      <c r="N216" s="94"/>
      <c r="O216" s="95">
        <f t="shared" si="101"/>
        <v>65</v>
      </c>
      <c r="P216" s="97">
        <v>7.2999999999999995E-2</v>
      </c>
      <c r="Q216" s="102">
        <f t="shared" si="100"/>
        <v>4.7450000000000001</v>
      </c>
    </row>
    <row r="217" spans="1:17" ht="15" customHeight="1">
      <c r="A217" s="8" t="str">
        <f t="shared" si="99"/>
        <v>Ø1220 Bend (70⁰)</v>
      </c>
      <c r="B217" s="94">
        <f t="shared" si="96"/>
        <v>3.8742626342215376E-2</v>
      </c>
      <c r="C217" s="99" t="s">
        <v>351</v>
      </c>
      <c r="D217" s="105">
        <v>1220</v>
      </c>
      <c r="E217" s="101">
        <f t="shared" si="97"/>
        <v>1.168986626400762</v>
      </c>
      <c r="F217" s="101">
        <f t="shared" si="94"/>
        <v>3.8327430373795477</v>
      </c>
      <c r="G217" s="94">
        <f t="shared" si="95"/>
        <v>3.8742626342215376E-2</v>
      </c>
      <c r="H217" s="94"/>
      <c r="I217" s="94"/>
      <c r="J217" s="94"/>
      <c r="K217" s="94"/>
      <c r="L217" s="94"/>
      <c r="M217" s="94"/>
      <c r="N217" s="94"/>
      <c r="O217" s="95">
        <f t="shared" si="101"/>
        <v>70</v>
      </c>
      <c r="P217" s="97">
        <v>7.2999999999999995E-2</v>
      </c>
      <c r="Q217" s="102">
        <f t="shared" si="100"/>
        <v>5.1099999999999994</v>
      </c>
    </row>
    <row r="218" spans="1:17" ht="15" customHeight="1">
      <c r="A218" s="8" t="str">
        <f t="shared" si="99"/>
        <v>Ø1220 Bend (75⁰)</v>
      </c>
      <c r="B218" s="94">
        <f t="shared" si="96"/>
        <v>4.1509956795230757E-2</v>
      </c>
      <c r="C218" s="99" t="s">
        <v>351</v>
      </c>
      <c r="D218" s="105">
        <v>1220</v>
      </c>
      <c r="E218" s="101">
        <f t="shared" si="97"/>
        <v>1.168986626400762</v>
      </c>
      <c r="F218" s="101">
        <f t="shared" si="94"/>
        <v>3.8327430373795477</v>
      </c>
      <c r="G218" s="94">
        <f t="shared" si="95"/>
        <v>4.1509956795230757E-2</v>
      </c>
      <c r="H218" s="94"/>
      <c r="I218" s="94"/>
      <c r="J218" s="94"/>
      <c r="K218" s="94"/>
      <c r="L218" s="94"/>
      <c r="M218" s="94"/>
      <c r="N218" s="94"/>
      <c r="O218" s="95">
        <f t="shared" si="101"/>
        <v>75</v>
      </c>
      <c r="P218" s="97">
        <v>7.2999999999999995E-2</v>
      </c>
      <c r="Q218" s="102">
        <f t="shared" si="100"/>
        <v>5.4749999999999996</v>
      </c>
    </row>
    <row r="219" spans="1:17" ht="15" customHeight="1">
      <c r="A219" s="8" t="str">
        <f t="shared" si="99"/>
        <v>Ø1220 Bend (80⁰)</v>
      </c>
      <c r="B219" s="94">
        <f t="shared" si="96"/>
        <v>4.4277287248246151E-2</v>
      </c>
      <c r="C219" s="99" t="s">
        <v>351</v>
      </c>
      <c r="D219" s="105">
        <v>1220</v>
      </c>
      <c r="E219" s="101">
        <f t="shared" si="97"/>
        <v>1.168986626400762</v>
      </c>
      <c r="F219" s="101">
        <f t="shared" si="94"/>
        <v>3.8327430373795477</v>
      </c>
      <c r="G219" s="94">
        <f t="shared" si="95"/>
        <v>4.4277287248246151E-2</v>
      </c>
      <c r="H219" s="94"/>
      <c r="I219" s="94"/>
      <c r="J219" s="94"/>
      <c r="K219" s="94"/>
      <c r="L219" s="94"/>
      <c r="M219" s="94"/>
      <c r="N219" s="94"/>
      <c r="O219" s="95">
        <f t="shared" si="101"/>
        <v>80</v>
      </c>
      <c r="P219" s="97">
        <v>7.2999999999999995E-2</v>
      </c>
      <c r="Q219" s="102">
        <f t="shared" si="100"/>
        <v>5.84</v>
      </c>
    </row>
    <row r="220" spans="1:17" ht="15" customHeight="1">
      <c r="A220" s="8" t="str">
        <f t="shared" si="99"/>
        <v>Ø1220 Bend (85⁰)</v>
      </c>
      <c r="B220" s="94">
        <f t="shared" si="96"/>
        <v>4.7044617701261525E-2</v>
      </c>
      <c r="C220" s="99" t="s">
        <v>351</v>
      </c>
      <c r="D220" s="105">
        <v>1220</v>
      </c>
      <c r="E220" s="101">
        <f t="shared" si="97"/>
        <v>1.168986626400762</v>
      </c>
      <c r="F220" s="101">
        <f t="shared" si="94"/>
        <v>3.8327430373795477</v>
      </c>
      <c r="G220" s="94">
        <f t="shared" si="95"/>
        <v>4.7044617701261525E-2</v>
      </c>
      <c r="H220" s="94"/>
      <c r="I220" s="94"/>
      <c r="J220" s="94"/>
      <c r="K220" s="94"/>
      <c r="L220" s="94"/>
      <c r="M220" s="94"/>
      <c r="N220" s="94"/>
      <c r="O220" s="95">
        <f t="shared" si="101"/>
        <v>85</v>
      </c>
      <c r="P220" s="97">
        <v>7.2999999999999995E-2</v>
      </c>
      <c r="Q220" s="102">
        <f t="shared" si="100"/>
        <v>6.2049999999999992</v>
      </c>
    </row>
    <row r="221" spans="1:17" ht="15" customHeight="1">
      <c r="A221" s="8" t="str">
        <f t="shared" si="99"/>
        <v>Ø1220 Bend (90⁰)</v>
      </c>
      <c r="B221" s="94">
        <f t="shared" si="96"/>
        <v>4.9811948154276905E-2</v>
      </c>
      <c r="C221" s="99" t="s">
        <v>351</v>
      </c>
      <c r="D221" s="105">
        <v>1220</v>
      </c>
      <c r="E221" s="101">
        <f t="shared" si="97"/>
        <v>1.168986626400762</v>
      </c>
      <c r="F221" s="101">
        <f t="shared" si="94"/>
        <v>3.8327430373795477</v>
      </c>
      <c r="G221" s="94">
        <f t="shared" si="95"/>
        <v>4.9811948154276905E-2</v>
      </c>
      <c r="H221" s="94"/>
      <c r="I221" s="94"/>
      <c r="J221" s="94"/>
      <c r="K221" s="94"/>
      <c r="L221" s="94"/>
      <c r="M221" s="94"/>
      <c r="N221" s="94"/>
      <c r="O221" s="95">
        <f t="shared" si="101"/>
        <v>90</v>
      </c>
      <c r="P221" s="97">
        <v>7.2999999999999995E-2</v>
      </c>
      <c r="Q221" s="102">
        <f t="shared" si="100"/>
        <v>6.5699999999999994</v>
      </c>
    </row>
    <row r="222" spans="1:17" ht="15" customHeight="1">
      <c r="A222" s="8" t="str">
        <f>"Ø"&amp;D222&amp;" "&amp;C222</f>
        <v>Ø1220 T-Piece</v>
      </c>
      <c r="B222" s="94">
        <f t="shared" si="96"/>
        <v>1.5163454537070599E-3</v>
      </c>
      <c r="C222" s="99" t="s">
        <v>352</v>
      </c>
      <c r="D222" s="105">
        <v>1220</v>
      </c>
      <c r="E222" s="101">
        <f t="shared" si="97"/>
        <v>1.168986626400762</v>
      </c>
      <c r="F222" s="101">
        <f t="shared" si="94"/>
        <v>3.8327430373795477</v>
      </c>
      <c r="G222" s="94">
        <f t="shared" si="95"/>
        <v>1.5163454537070599E-3</v>
      </c>
      <c r="H222" s="94"/>
      <c r="I222" s="94"/>
      <c r="J222" s="94"/>
      <c r="K222" s="94"/>
      <c r="L222" s="94"/>
      <c r="M222" s="94"/>
      <c r="N222" s="94"/>
      <c r="O222" s="95"/>
      <c r="P222" s="97">
        <v>0.2</v>
      </c>
      <c r="Q222" s="102">
        <f>+P222</f>
        <v>0.2</v>
      </c>
    </row>
    <row r="223" spans="1:17" ht="15" customHeight="1">
      <c r="A223" s="8" t="str">
        <f>"Ø"&amp;D223&amp;" "&amp;C223</f>
        <v>Ø1220 Y-Piece</v>
      </c>
      <c r="B223" s="94">
        <f t="shared" si="96"/>
        <v>-4.041060634129315E-3</v>
      </c>
      <c r="C223" s="99" t="s">
        <v>353</v>
      </c>
      <c r="D223" s="105">
        <v>1220</v>
      </c>
      <c r="E223" s="101">
        <f t="shared" si="97"/>
        <v>1.168986626400762</v>
      </c>
      <c r="F223" s="101">
        <f t="shared" si="94"/>
        <v>3.8327430373795477</v>
      </c>
      <c r="G223" s="94">
        <f t="shared" si="95"/>
        <v>-4.041060634129315E-3</v>
      </c>
      <c r="H223" s="94"/>
      <c r="I223" s="94"/>
      <c r="J223" s="94"/>
      <c r="K223" s="94"/>
      <c r="L223" s="94"/>
      <c r="M223" s="94"/>
      <c r="N223" s="94"/>
      <c r="O223" s="95"/>
      <c r="P223" s="97">
        <v>-0.53300000000000003</v>
      </c>
      <c r="Q223" s="102">
        <f>+P223</f>
        <v>-0.53300000000000003</v>
      </c>
    </row>
    <row r="224" spans="1:17" ht="15" customHeight="1">
      <c r="A224" s="8" t="str">
        <f>"Ø"&amp;D224&amp;" "&amp;C224</f>
        <v>Ø1220 Screen</v>
      </c>
      <c r="B224" s="94">
        <f t="shared" si="96"/>
        <v>4.2685124521853737E-3</v>
      </c>
      <c r="C224" s="99" t="s">
        <v>354</v>
      </c>
      <c r="D224" s="105">
        <v>1220</v>
      </c>
      <c r="E224" s="101">
        <f t="shared" si="97"/>
        <v>1.168986626400762</v>
      </c>
      <c r="F224" s="101">
        <f t="shared" si="94"/>
        <v>3.8327430373795477</v>
      </c>
      <c r="G224" s="94">
        <f t="shared" si="95"/>
        <v>4.2685124521853737E-3</v>
      </c>
      <c r="H224" s="94"/>
      <c r="I224" s="94"/>
      <c r="J224" s="94"/>
      <c r="K224" s="94"/>
      <c r="L224" s="94"/>
      <c r="M224" s="94"/>
      <c r="N224" s="94"/>
      <c r="O224" s="95"/>
      <c r="P224" s="97">
        <v>0.56300000000000006</v>
      </c>
      <c r="Q224" s="102">
        <f>+P224</f>
        <v>0.56300000000000006</v>
      </c>
    </row>
    <row r="225" spans="1:17">
      <c r="A225" s="8" t="str">
        <f>"Ø"&amp;D225&amp;" "&amp;C225</f>
        <v>Ø1220 Flat Nose Cone</v>
      </c>
      <c r="B225" s="94">
        <f t="shared" si="96"/>
        <v>1.4784368173643833E-3</v>
      </c>
      <c r="C225" s="99" t="s">
        <v>355</v>
      </c>
      <c r="D225" s="105">
        <v>1220</v>
      </c>
      <c r="E225" s="101">
        <f t="shared" si="97"/>
        <v>1.168986626400762</v>
      </c>
      <c r="F225" s="101">
        <f t="shared" si="94"/>
        <v>3.8327430373795477</v>
      </c>
      <c r="G225" s="94">
        <f t="shared" si="95"/>
        <v>1.4784368173643833E-3</v>
      </c>
      <c r="H225" s="94"/>
      <c r="I225" s="94"/>
      <c r="J225" s="94"/>
      <c r="K225" s="94"/>
      <c r="L225" s="94"/>
      <c r="M225" s="94"/>
      <c r="N225" s="94"/>
      <c r="O225" s="95"/>
      <c r="P225" s="97">
        <v>0.19500000000000001</v>
      </c>
      <c r="Q225" s="102">
        <f>+P225</f>
        <v>0.19500000000000001</v>
      </c>
    </row>
    <row r="226" spans="1:17">
      <c r="A226" s="8" t="str">
        <f>"Ø"&amp;D226&amp;" "&amp;C226</f>
        <v>Ø1220 Sharp Nose Cone</v>
      </c>
      <c r="B226" s="94">
        <f t="shared" si="96"/>
        <v>0</v>
      </c>
      <c r="C226" s="99" t="s">
        <v>356</v>
      </c>
      <c r="D226" s="105">
        <v>1220</v>
      </c>
      <c r="E226" s="101">
        <f t="shared" si="97"/>
        <v>1.168986626400762</v>
      </c>
      <c r="F226" s="101">
        <f t="shared" si="94"/>
        <v>3.8327430373795477</v>
      </c>
      <c r="G226" s="94">
        <f t="shared" si="95"/>
        <v>0</v>
      </c>
      <c r="H226" s="94"/>
      <c r="I226" s="94"/>
      <c r="J226" s="94"/>
      <c r="K226" s="94"/>
      <c r="L226" s="94"/>
      <c r="M226" s="94"/>
      <c r="N226" s="94"/>
      <c r="O226" s="95"/>
      <c r="P226" s="97">
        <v>0</v>
      </c>
      <c r="Q226" s="102">
        <f>+P226</f>
        <v>0</v>
      </c>
    </row>
    <row r="227" spans="1:17">
      <c r="A227" s="106" t="str">
        <f t="shared" ref="A227:A232" si="102">IF(D227&lt;H227,"Ø"&amp;D227&amp;" to Ø"&amp;H227&amp;" Evaseé","Ø"&amp;D227&amp;" to Ø"&amp;H227&amp;" Reducer")</f>
        <v>Ø1220 to Ø305 Reducer</v>
      </c>
      <c r="B227" s="111">
        <f t="shared" ref="B227:B232" si="103">+N227</f>
        <v>119.72612699999999</v>
      </c>
      <c r="C227" s="110"/>
      <c r="D227" s="105">
        <v>1220</v>
      </c>
      <c r="E227" s="103">
        <f t="shared" si="97"/>
        <v>1.168986626400762</v>
      </c>
      <c r="F227" s="103">
        <f t="shared" ref="F227:F232" si="104">PI()*(H227/1000)</f>
        <v>0.95818575934488692</v>
      </c>
      <c r="G227" s="107">
        <f t="shared" ref="G227:G232" si="105">(($S$4*F227*$R$4)/(E227^3))</f>
        <v>1.8954318171338247E-3</v>
      </c>
      <c r="H227" s="105">
        <v>305</v>
      </c>
      <c r="I227" s="103">
        <f t="shared" ref="I227:I232" si="106">PI()*((H227/1000)^2)/4</f>
        <v>7.3061664150047625E-2</v>
      </c>
      <c r="J227" s="103">
        <f t="shared" ref="J227:J232" si="107">PI()*(H227/1000)</f>
        <v>0.95818575934488692</v>
      </c>
      <c r="K227" s="108">
        <f t="shared" ref="K227:K232" si="108">(($S$4*J227*$R$4)/(I227^3))</f>
        <v>7.7636887229801461</v>
      </c>
      <c r="L227" s="107">
        <f t="shared" ref="L227:L232" si="109">IF(D227&lt;H227,-K227,K227)</f>
        <v>7.7636887229801461</v>
      </c>
      <c r="M227" s="107">
        <f t="shared" ref="M227:M232" si="110">(((1/$I227)^2)*1.2/2-((1/$E227)^2)*1.2/2)/(1^2)</f>
        <v>111.96243765386068</v>
      </c>
      <c r="N227" s="107">
        <f t="shared" ref="N227:N232" si="111">ROUNDUP((M227+L227),6)</f>
        <v>119.72612699999999</v>
      </c>
    </row>
    <row r="228" spans="1:17">
      <c r="A228" s="106" t="str">
        <f t="shared" si="102"/>
        <v>Ø1220 to Ø380 Reducer</v>
      </c>
      <c r="B228" s="111">
        <f t="shared" si="103"/>
        <v>48.795493</v>
      </c>
      <c r="C228" s="110"/>
      <c r="D228" s="105">
        <v>1220</v>
      </c>
      <c r="E228" s="103">
        <f t="shared" si="97"/>
        <v>1.168986626400762</v>
      </c>
      <c r="F228" s="103">
        <f t="shared" si="104"/>
        <v>1.1938052083641213</v>
      </c>
      <c r="G228" s="107">
        <f t="shared" si="105"/>
        <v>2.3615216082323062E-3</v>
      </c>
      <c r="H228" s="105">
        <v>380</v>
      </c>
      <c r="I228" s="103">
        <f t="shared" si="106"/>
        <v>0.11341149479459153</v>
      </c>
      <c r="J228" s="103">
        <f t="shared" si="107"/>
        <v>1.1938052083641213</v>
      </c>
      <c r="K228" s="108">
        <f t="shared" si="108"/>
        <v>2.5861239014254869</v>
      </c>
      <c r="L228" s="107">
        <f t="shared" si="109"/>
        <v>2.5861239014254869</v>
      </c>
      <c r="M228" s="107">
        <f t="shared" si="110"/>
        <v>46.209369079465446</v>
      </c>
      <c r="N228" s="107">
        <f t="shared" si="111"/>
        <v>48.795493</v>
      </c>
    </row>
    <row r="229" spans="1:17">
      <c r="A229" s="106" t="str">
        <f t="shared" si="102"/>
        <v>Ø1220 to Ø405 Reducer</v>
      </c>
      <c r="B229" s="111">
        <f t="shared" si="103"/>
        <v>37.595101</v>
      </c>
      <c r="C229" s="110"/>
      <c r="D229" s="105">
        <v>1220</v>
      </c>
      <c r="E229" s="103">
        <f t="shared" si="97"/>
        <v>1.168986626400762</v>
      </c>
      <c r="F229" s="103">
        <f t="shared" si="104"/>
        <v>1.2723450247038663</v>
      </c>
      <c r="G229" s="107">
        <f t="shared" si="105"/>
        <v>2.5168848719318002E-3</v>
      </c>
      <c r="H229" s="105">
        <v>405</v>
      </c>
      <c r="I229" s="103">
        <f t="shared" si="106"/>
        <v>0.12882493375126647</v>
      </c>
      <c r="J229" s="103">
        <f t="shared" si="107"/>
        <v>1.2723450247038663</v>
      </c>
      <c r="K229" s="108">
        <f t="shared" si="108"/>
        <v>1.8805816544504048</v>
      </c>
      <c r="L229" s="107">
        <f t="shared" si="109"/>
        <v>1.8805816544504048</v>
      </c>
      <c r="M229" s="107">
        <f t="shared" si="110"/>
        <v>35.714518803075997</v>
      </c>
      <c r="N229" s="107">
        <f t="shared" si="111"/>
        <v>37.595101</v>
      </c>
    </row>
    <row r="230" spans="1:17">
      <c r="A230" s="106" t="str">
        <f t="shared" si="102"/>
        <v>Ø1220 to Ø570 Reducer</v>
      </c>
      <c r="B230" s="111">
        <f t="shared" si="103"/>
        <v>9.1159979999999994</v>
      </c>
      <c r="C230" s="110"/>
      <c r="D230" s="105">
        <v>1220</v>
      </c>
      <c r="E230" s="103">
        <f t="shared" si="97"/>
        <v>1.168986626400762</v>
      </c>
      <c r="F230" s="103">
        <f t="shared" si="104"/>
        <v>1.7907078125461819</v>
      </c>
      <c r="G230" s="107">
        <f t="shared" si="105"/>
        <v>3.5422824123484591E-3</v>
      </c>
      <c r="H230" s="105">
        <v>570</v>
      </c>
      <c r="I230" s="103">
        <f t="shared" si="106"/>
        <v>0.25517586328783093</v>
      </c>
      <c r="J230" s="103">
        <f t="shared" si="107"/>
        <v>1.7907078125461819</v>
      </c>
      <c r="K230" s="108">
        <f t="shared" si="108"/>
        <v>0.34055952611364448</v>
      </c>
      <c r="L230" s="107">
        <f t="shared" si="109"/>
        <v>0.34055952611364448</v>
      </c>
      <c r="M230" s="107">
        <f t="shared" si="110"/>
        <v>8.7754377824603296</v>
      </c>
      <c r="N230" s="107">
        <f t="shared" si="111"/>
        <v>9.1159979999999994</v>
      </c>
    </row>
    <row r="231" spans="1:17">
      <c r="A231" s="106" t="str">
        <f t="shared" si="102"/>
        <v>Ø1220 to Ø760 Reducer</v>
      </c>
      <c r="B231" s="111">
        <f t="shared" si="103"/>
        <v>2.5572760000000003</v>
      </c>
      <c r="C231" s="110"/>
      <c r="D231" s="105">
        <v>1220</v>
      </c>
      <c r="E231" s="103">
        <f t="shared" si="97"/>
        <v>1.168986626400762</v>
      </c>
      <c r="F231" s="103">
        <f t="shared" si="104"/>
        <v>2.3876104167282426</v>
      </c>
      <c r="G231" s="107">
        <f t="shared" si="105"/>
        <v>4.7230432164646124E-3</v>
      </c>
      <c r="H231" s="105">
        <v>760</v>
      </c>
      <c r="I231" s="103">
        <f t="shared" si="106"/>
        <v>0.45364597917836613</v>
      </c>
      <c r="J231" s="103">
        <f t="shared" si="107"/>
        <v>2.3876104167282426</v>
      </c>
      <c r="K231" s="108">
        <f t="shared" si="108"/>
        <v>8.0816371919546465E-2</v>
      </c>
      <c r="L231" s="107">
        <f t="shared" si="109"/>
        <v>8.0816371919546465E-2</v>
      </c>
      <c r="M231" s="107">
        <f t="shared" si="110"/>
        <v>2.4764589584450438</v>
      </c>
      <c r="N231" s="107">
        <f t="shared" si="111"/>
        <v>2.5572760000000003</v>
      </c>
    </row>
    <row r="232" spans="1:17">
      <c r="A232" s="106" t="str">
        <f t="shared" si="102"/>
        <v>Ø1220 to Ø1015 Reducer</v>
      </c>
      <c r="B232" s="111">
        <f t="shared" si="103"/>
        <v>0.49639999999999995</v>
      </c>
      <c r="C232" s="110"/>
      <c r="D232" s="105">
        <v>1220</v>
      </c>
      <c r="E232" s="103">
        <f t="shared" si="97"/>
        <v>1.168986626400762</v>
      </c>
      <c r="F232" s="103">
        <f t="shared" si="104"/>
        <v>3.1887165433936397</v>
      </c>
      <c r="G232" s="107">
        <f t="shared" si="105"/>
        <v>6.3077485061994489E-3</v>
      </c>
      <c r="H232" s="105">
        <v>1015</v>
      </c>
      <c r="I232" s="103">
        <f t="shared" si="106"/>
        <v>0.80913682288613598</v>
      </c>
      <c r="J232" s="103">
        <f t="shared" si="107"/>
        <v>3.1887165433936397</v>
      </c>
      <c r="K232" s="108">
        <f t="shared" si="108"/>
        <v>1.902116443383645E-2</v>
      </c>
      <c r="L232" s="107">
        <f t="shared" si="109"/>
        <v>1.902116443383645E-2</v>
      </c>
      <c r="M232" s="107">
        <f t="shared" si="110"/>
        <v>0.47737854269292396</v>
      </c>
      <c r="N232" s="107">
        <f t="shared" si="111"/>
        <v>0.49639999999999995</v>
      </c>
    </row>
  </sheetData>
  <mergeCells count="12">
    <mergeCell ref="P1:P4"/>
    <mergeCell ref="Q1:Q4"/>
    <mergeCell ref="T1:T4"/>
    <mergeCell ref="C1:C4"/>
    <mergeCell ref="B1:B4"/>
    <mergeCell ref="N1:N2"/>
    <mergeCell ref="O1:O4"/>
    <mergeCell ref="A1:A4"/>
    <mergeCell ref="H1:K1"/>
    <mergeCell ref="D1:G1"/>
    <mergeCell ref="L1:L2"/>
    <mergeCell ref="M1:M2"/>
  </mergeCell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A207"/>
  <sheetViews>
    <sheetView workbookViewId="0">
      <selection sqref="A1:B2"/>
    </sheetView>
  </sheetViews>
  <sheetFormatPr defaultColWidth="0" defaultRowHeight="15" zeroHeight="1"/>
  <cols>
    <col min="1" max="1" width="31.42578125" bestFit="1" customWidth="1"/>
    <col min="2" max="2" width="40.42578125" customWidth="1"/>
    <col min="3" max="27" width="0" hidden="1" customWidth="1"/>
    <col min="28" max="16384" width="9.140625" hidden="1"/>
  </cols>
  <sheetData>
    <row r="1" spans="1:2" ht="27.75" customHeight="1">
      <c r="A1" s="3300"/>
      <c r="B1" s="3301"/>
    </row>
    <row r="2" spans="1:2" ht="21" customHeight="1">
      <c r="A2" s="3302"/>
      <c r="B2" s="3303"/>
    </row>
    <row r="3" spans="1:2">
      <c r="A3" s="50" t="s">
        <v>0</v>
      </c>
      <c r="B3" s="2" t="s">
        <v>282</v>
      </c>
    </row>
    <row r="4" spans="1:2" ht="138.75" customHeight="1">
      <c r="A4" s="51" t="s">
        <v>277</v>
      </c>
      <c r="B4" s="53"/>
    </row>
    <row r="5" spans="1:2" ht="138.75" customHeight="1">
      <c r="A5" s="51" t="s">
        <v>278</v>
      </c>
      <c r="B5" s="53"/>
    </row>
    <row r="6" spans="1:2" ht="138.75" customHeight="1">
      <c r="A6" s="51" t="s">
        <v>283</v>
      </c>
      <c r="B6" s="53"/>
    </row>
    <row r="7" spans="1:2" ht="138.75" customHeight="1">
      <c r="A7" s="51" t="s">
        <v>281</v>
      </c>
      <c r="B7" s="53"/>
    </row>
    <row r="8" spans="1:2" ht="138.75" customHeight="1">
      <c r="A8" s="51" t="s">
        <v>280</v>
      </c>
      <c r="B8" s="53"/>
    </row>
    <row r="9" spans="1:2" ht="138.75" customHeight="1">
      <c r="A9" s="51" t="s">
        <v>279</v>
      </c>
      <c r="B9" s="53"/>
    </row>
    <row r="10" spans="1:2" ht="138.75" customHeight="1">
      <c r="A10" s="52" t="s">
        <v>284</v>
      </c>
      <c r="B10" s="54"/>
    </row>
    <row r="11" spans="1:2" ht="138.75" hidden="1" customHeight="1"/>
    <row r="12" spans="1:2" ht="138.75" hidden="1" customHeight="1"/>
    <row r="13" spans="1:2" ht="138.75" hidden="1" customHeight="1"/>
    <row r="14" spans="1:2" ht="138.75" hidden="1" customHeight="1"/>
    <row r="15" spans="1:2" ht="138.75" hidden="1" customHeight="1"/>
    <row r="16" spans="1:2" ht="138.75" hidden="1" customHeight="1"/>
    <row r="17" ht="138.75" hidden="1" customHeight="1"/>
    <row r="18" ht="138.75" hidden="1" customHeight="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sheetData>
  <mergeCells count="1">
    <mergeCell ref="A1:B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12</vt:i4>
      </vt:variant>
    </vt:vector>
  </HeadingPairs>
  <TitlesOfParts>
    <vt:vector size="56" baseType="lpstr">
      <vt:lpstr>INDEX</vt:lpstr>
      <vt:lpstr>Calendar</vt:lpstr>
      <vt:lpstr>Planning Tool (New)</vt:lpstr>
      <vt:lpstr>Planning Graph Calcs 1 </vt:lpstr>
      <vt:lpstr>Planning Graph Calcs 2</vt:lpstr>
      <vt:lpstr>Tons generator</vt:lpstr>
      <vt:lpstr>Refuge Bays</vt:lpstr>
      <vt:lpstr>Gas</vt:lpstr>
      <vt:lpstr>Air Flow</vt:lpstr>
      <vt:lpstr>Psychometry</vt:lpstr>
      <vt:lpstr>Comp Air</vt:lpstr>
      <vt:lpstr>Water</vt:lpstr>
      <vt:lpstr>Fans</vt:lpstr>
      <vt:lpstr>FAN LAWS</vt:lpstr>
      <vt:lpstr>Trig &amp; Volume</vt:lpstr>
      <vt:lpstr>Cost</vt:lpstr>
      <vt:lpstr>PLoss Atkins &amp; Resist</vt:lpstr>
      <vt:lpstr>Stope Calcs</vt:lpstr>
      <vt:lpstr>Long Columns</vt:lpstr>
      <vt:lpstr>Dev Calcs</vt:lpstr>
      <vt:lpstr>Dev Qtys</vt:lpstr>
      <vt:lpstr>Interpolation</vt:lpstr>
      <vt:lpstr>Dust</vt:lpstr>
      <vt:lpstr>DUST Treatment</vt:lpstr>
      <vt:lpstr>Stores Req Dev</vt:lpstr>
      <vt:lpstr>Heat Calc</vt:lpstr>
      <vt:lpstr>Vent calculator</vt:lpstr>
      <vt:lpstr>Flammable gas</vt:lpstr>
      <vt:lpstr>Airchange re-entry</vt:lpstr>
      <vt:lpstr>Cold Stress</vt:lpstr>
      <vt:lpstr>SCP - Kata - Vel</vt:lpstr>
      <vt:lpstr>WP</vt:lpstr>
      <vt:lpstr>B</vt:lpstr>
      <vt:lpstr>DATA</vt:lpstr>
      <vt:lpstr>Unit Conversion</vt:lpstr>
      <vt:lpstr>Duct and Fan Selection</vt:lpstr>
      <vt:lpstr>Vehicle Qty &amp; heat graph</vt:lpstr>
      <vt:lpstr>T-less Veh + Qtys</vt:lpstr>
      <vt:lpstr>Planning Tool (Old)</vt:lpstr>
      <vt:lpstr>Sheet1</vt:lpstr>
      <vt:lpstr>Chart Information</vt:lpstr>
      <vt:lpstr>Fan Data</vt:lpstr>
      <vt:lpstr>Resistance Criteria</vt:lpstr>
      <vt:lpstr>Duct Components</vt:lpstr>
      <vt:lpstr>'T-less Veh + Qtys'!_Ref257269071</vt:lpstr>
      <vt:lpstr>'T-less Veh + Qtys'!_Toc255485583</vt:lpstr>
      <vt:lpstr>INST_ANN_HOURS</vt:lpstr>
      <vt:lpstr>INST_WORK_PRESS</vt:lpstr>
      <vt:lpstr>Natural_Ventilation_Pressure__NVP__No_Fans_B4</vt:lpstr>
      <vt:lpstr>'Airchange re-entry'!Print_Area</vt:lpstr>
      <vt:lpstr>Calendar!Print_Area</vt:lpstr>
      <vt:lpstr>'Planning Tool (New)'!Print_Area</vt:lpstr>
      <vt:lpstr>'Refuge Bays'!Print_Area</vt:lpstr>
      <vt:lpstr>'Trig &amp; Volume'!Print_Area</vt:lpstr>
      <vt:lpstr>'Unit Conversion'!Print_Area</vt:lpstr>
      <vt:lpstr>'Vent calculator'!Print_Area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van Sittert</dc:creator>
  <cp:lastModifiedBy>Wits Student Labs</cp:lastModifiedBy>
  <cp:lastPrinted>2016-01-04T11:05:32Z</cp:lastPrinted>
  <dcterms:created xsi:type="dcterms:W3CDTF">2011-09-24T20:52:39Z</dcterms:created>
  <dcterms:modified xsi:type="dcterms:W3CDTF">2020-11-11T17:56:37Z</dcterms:modified>
</cp:coreProperties>
</file>